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cultivos\plantilla\"/>
    </mc:Choice>
  </mc:AlternateContent>
  <xr:revisionPtr revIDLastSave="0" documentId="13_ncr:1_{9C595FFA-568D-410F-B209-D51ACA2823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" sheetId="1" r:id="rId1"/>
    <sheet name="YUCA" sheetId="2" r:id="rId2"/>
    <sheet name="MAIZ" sheetId="3" r:id="rId3"/>
    <sheet name="ÑAME" sheetId="4" r:id="rId4"/>
    <sheet name="PLATANO" sheetId="5" r:id="rId5"/>
    <sheet name="MANGO" sheetId="6" r:id="rId6"/>
    <sheet name="GUAYABA" sheetId="7" r:id="rId7"/>
    <sheet name="PALMA ACEITE" sheetId="8" r:id="rId8"/>
    <sheet name="LIMON" sheetId="9" r:id="rId9"/>
    <sheet name="PAPAYA" sheetId="10" r:id="rId10"/>
    <sheet name="GUANDUL" sheetId="11" r:id="rId11"/>
    <sheet name="MARAÑON" sheetId="12" r:id="rId12"/>
    <sheet name="CIRUEL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F6" i="13" s="1"/>
  <c r="E7" i="13"/>
  <c r="F7" i="13" s="1"/>
  <c r="E8" i="13"/>
  <c r="F8" i="13" s="1"/>
  <c r="I8" i="13" s="1"/>
  <c r="E9" i="13"/>
  <c r="F9" i="13" s="1"/>
  <c r="E15" i="13"/>
  <c r="F15" i="13" s="1"/>
  <c r="E16" i="13"/>
  <c r="F16" i="13" s="1"/>
  <c r="E17" i="13"/>
  <c r="F17" i="13" s="1"/>
  <c r="E18" i="13"/>
  <c r="F18" i="13" s="1"/>
  <c r="E19" i="13"/>
  <c r="F19" i="13" s="1"/>
  <c r="E25" i="13"/>
  <c r="F25" i="13" s="1"/>
  <c r="E26" i="13"/>
  <c r="F26" i="13" s="1"/>
  <c r="E27" i="13"/>
  <c r="F27" i="13" s="1"/>
  <c r="H26" i="13" l="1"/>
  <c r="N26" i="13"/>
  <c r="K26" i="13"/>
  <c r="G26" i="13"/>
  <c r="J26" i="13"/>
  <c r="G19" i="13"/>
  <c r="J19" i="13"/>
  <c r="H18" i="13"/>
  <c r="K18" i="13"/>
  <c r="J18" i="13"/>
  <c r="G18" i="13"/>
  <c r="I17" i="13"/>
  <c r="K17" i="13"/>
  <c r="L17" i="13"/>
  <c r="G17" i="13"/>
  <c r="H17" i="13"/>
  <c r="J17" i="13"/>
  <c r="G15" i="13"/>
  <c r="J15" i="13"/>
  <c r="H9" i="13"/>
  <c r="K9" i="13"/>
  <c r="J9" i="13"/>
  <c r="G9" i="13"/>
  <c r="K8" i="13"/>
  <c r="J8" i="13"/>
  <c r="H8" i="13"/>
  <c r="L8" i="13"/>
  <c r="G8" i="13"/>
  <c r="G6" i="13"/>
  <c r="J6" i="13"/>
  <c r="J25" i="13"/>
  <c r="N25" i="13"/>
  <c r="G25" i="13"/>
  <c r="K25" i="13"/>
  <c r="H25" i="13"/>
  <c r="L25" i="13"/>
  <c r="I25" i="13"/>
  <c r="M25" i="13"/>
  <c r="J16" i="13"/>
  <c r="G16" i="13"/>
  <c r="K16" i="13"/>
  <c r="H16" i="13"/>
  <c r="L16" i="13"/>
  <c r="I16" i="13"/>
  <c r="M16" i="13"/>
  <c r="J7" i="13"/>
  <c r="G7" i="13"/>
  <c r="K7" i="13"/>
  <c r="H7" i="13"/>
  <c r="L7" i="13"/>
  <c r="I7" i="13"/>
  <c r="M7" i="13"/>
  <c r="M19" i="13"/>
  <c r="I19" i="13"/>
  <c r="M15" i="13"/>
  <c r="I15" i="13"/>
  <c r="M6" i="13"/>
  <c r="I6" i="13"/>
  <c r="M26" i="13"/>
  <c r="I26" i="13"/>
  <c r="L19" i="13"/>
  <c r="H19" i="13"/>
  <c r="M18" i="13"/>
  <c r="I18" i="13"/>
  <c r="L15" i="13"/>
  <c r="H15" i="13"/>
  <c r="M9" i="13"/>
  <c r="I9" i="13"/>
  <c r="L6" i="13"/>
  <c r="H6" i="13"/>
  <c r="L26" i="13"/>
  <c r="K19" i="13"/>
  <c r="L18" i="13"/>
  <c r="M17" i="13"/>
  <c r="K15" i="13"/>
  <c r="L9" i="13"/>
  <c r="M8" i="13"/>
  <c r="K6" i="13"/>
  <c r="N27" i="13"/>
  <c r="J27" i="13"/>
  <c r="M27" i="13"/>
  <c r="I27" i="13"/>
  <c r="L27" i="13"/>
  <c r="H27" i="13"/>
  <c r="K27" i="13"/>
  <c r="G27" i="13"/>
  <c r="E26" i="9" l="1"/>
  <c r="F26" i="9" s="1"/>
  <c r="E27" i="9"/>
  <c r="F27" i="9" s="1"/>
  <c r="E17" i="9"/>
  <c r="F17" i="9" s="1"/>
  <c r="E18" i="9"/>
  <c r="F18" i="9" s="1"/>
  <c r="E19" i="9"/>
  <c r="F19" i="9" s="1"/>
  <c r="E9" i="9"/>
  <c r="F9" i="9" s="1"/>
  <c r="I17" i="9" l="1"/>
  <c r="J17" i="9"/>
  <c r="H17" i="9"/>
  <c r="K17" i="9"/>
  <c r="L17" i="9"/>
  <c r="M17" i="9"/>
  <c r="G17" i="9"/>
  <c r="O17" i="9"/>
  <c r="N17" i="9"/>
  <c r="K9" i="9"/>
  <c r="L9" i="9"/>
  <c r="I9" i="9"/>
  <c r="M9" i="9"/>
  <c r="N9" i="9"/>
  <c r="G9" i="9"/>
  <c r="H9" i="9"/>
  <c r="J9" i="9"/>
  <c r="O9" i="9"/>
  <c r="N26" i="9"/>
  <c r="G26" i="9"/>
  <c r="O26" i="9"/>
  <c r="H26" i="9"/>
  <c r="P26" i="9" s="1"/>
  <c r="I26" i="9"/>
  <c r="J26" i="9"/>
  <c r="K26" i="9"/>
  <c r="L26" i="9"/>
  <c r="M26" i="9"/>
  <c r="G19" i="9"/>
  <c r="O19" i="9"/>
  <c r="H19" i="9"/>
  <c r="I19" i="9"/>
  <c r="J19" i="9"/>
  <c r="K19" i="9"/>
  <c r="N19" i="9"/>
  <c r="L19" i="9"/>
  <c r="M19" i="9"/>
  <c r="M27" i="9"/>
  <c r="N27" i="9"/>
  <c r="G27" i="9"/>
  <c r="O27" i="9"/>
  <c r="H27" i="9"/>
  <c r="K27" i="9"/>
  <c r="I27" i="9"/>
  <c r="J27" i="9"/>
  <c r="L27" i="9"/>
  <c r="H18" i="9"/>
  <c r="I18" i="9"/>
  <c r="N18" i="9"/>
  <c r="O18" i="9"/>
  <c r="J18" i="9"/>
  <c r="K18" i="9"/>
  <c r="M18" i="9"/>
  <c r="L18" i="9"/>
  <c r="G18" i="9"/>
  <c r="P27" i="9"/>
  <c r="C25" i="1" l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C21" i="1"/>
  <c r="E21" i="1" s="1"/>
  <c r="F21" i="1" s="1"/>
  <c r="C20" i="1"/>
  <c r="E20" i="1" s="1"/>
  <c r="F20" i="1" s="1"/>
  <c r="C19" i="1"/>
  <c r="E19" i="1" s="1"/>
  <c r="F19" i="1" s="1"/>
  <c r="C18" i="1"/>
  <c r="E18" i="1" s="1"/>
  <c r="F18" i="1" s="1"/>
  <c r="C17" i="1"/>
  <c r="E17" i="1" s="1"/>
  <c r="F17" i="1" s="1"/>
  <c r="I7" i="1"/>
  <c r="K7" i="1" s="1"/>
  <c r="E10" i="1" l="1"/>
  <c r="G10" i="1" s="1"/>
  <c r="E9" i="1"/>
  <c r="G9" i="1" s="1"/>
  <c r="E11" i="1"/>
  <c r="G11" i="1" s="1"/>
  <c r="E8" i="1"/>
  <c r="G8" i="1" s="1"/>
  <c r="I8" i="1" s="1"/>
  <c r="E25" i="5" l="1"/>
  <c r="F25" i="5" s="1"/>
  <c r="E27" i="11"/>
  <c r="F27" i="11" s="1"/>
  <c r="E26" i="11"/>
  <c r="F26" i="11" s="1"/>
  <c r="E25" i="11"/>
  <c r="F25" i="11" s="1"/>
  <c r="E27" i="10"/>
  <c r="F27" i="10" s="1"/>
  <c r="E26" i="10"/>
  <c r="F26" i="10" s="1"/>
  <c r="E25" i="10"/>
  <c r="F25" i="10" s="1"/>
  <c r="E27" i="12"/>
  <c r="F27" i="12" s="1"/>
  <c r="E26" i="12"/>
  <c r="F26" i="12" s="1"/>
  <c r="E25" i="12"/>
  <c r="F25" i="12" s="1"/>
  <c r="E8" i="9"/>
  <c r="F8" i="9" s="1"/>
  <c r="E25" i="9"/>
  <c r="F25" i="9" s="1"/>
  <c r="E16" i="9"/>
  <c r="F16" i="9" s="1"/>
  <c r="E6" i="12"/>
  <c r="F6" i="12" s="1"/>
  <c r="E6" i="10"/>
  <c r="F6" i="10" s="1"/>
  <c r="E9" i="11"/>
  <c r="F9" i="11" s="1"/>
  <c r="E8" i="10"/>
  <c r="F8" i="10" s="1"/>
  <c r="E7" i="12"/>
  <c r="F7" i="12" s="1"/>
  <c r="E8" i="11"/>
  <c r="F8" i="11" s="1"/>
  <c r="E7" i="11"/>
  <c r="F7" i="11" s="1"/>
  <c r="E6" i="11"/>
  <c r="F6" i="11" s="1"/>
  <c r="E9" i="12"/>
  <c r="F9" i="12" s="1"/>
  <c r="E9" i="10"/>
  <c r="F9" i="10" s="1"/>
  <c r="E8" i="12"/>
  <c r="F8" i="12" s="1"/>
  <c r="E7" i="10"/>
  <c r="F7" i="10" s="1"/>
  <c r="E6" i="9"/>
  <c r="F6" i="9" s="1"/>
  <c r="E7" i="8"/>
  <c r="F7" i="8" s="1"/>
  <c r="E17" i="8"/>
  <c r="F17" i="8" s="1"/>
  <c r="J17" i="8" s="1"/>
  <c r="E19" i="12"/>
  <c r="F19" i="12" s="1"/>
  <c r="E15" i="11"/>
  <c r="F15" i="11" s="1"/>
  <c r="E19" i="10"/>
  <c r="E18" i="12"/>
  <c r="F18" i="12" s="1"/>
  <c r="E18" i="10"/>
  <c r="E17" i="11"/>
  <c r="F17" i="11" s="1"/>
  <c r="E17" i="12"/>
  <c r="F17" i="12" s="1"/>
  <c r="E17" i="10"/>
  <c r="E16" i="12"/>
  <c r="F16" i="12" s="1"/>
  <c r="E16" i="10"/>
  <c r="E15" i="12"/>
  <c r="F15" i="12" s="1"/>
  <c r="E19" i="11"/>
  <c r="F19" i="11" s="1"/>
  <c r="E15" i="10"/>
  <c r="F15" i="10" s="1"/>
  <c r="E18" i="11"/>
  <c r="F18" i="11" s="1"/>
  <c r="E16" i="11"/>
  <c r="F16" i="11" s="1"/>
  <c r="E7" i="9"/>
  <c r="F7" i="9" s="1"/>
  <c r="E15" i="9"/>
  <c r="F15" i="9" s="1"/>
  <c r="E21" i="8"/>
  <c r="F21" i="8" s="1"/>
  <c r="E18" i="8"/>
  <c r="F18" i="8" s="1"/>
  <c r="E20" i="8"/>
  <c r="F20" i="8" s="1"/>
  <c r="E19" i="8"/>
  <c r="F19" i="8" s="1"/>
  <c r="E22" i="8"/>
  <c r="F22" i="8" s="1"/>
  <c r="E16" i="7"/>
  <c r="F16" i="7" s="1"/>
  <c r="E19" i="7"/>
  <c r="F19" i="7" s="1"/>
  <c r="E17" i="7"/>
  <c r="F17" i="7" s="1"/>
  <c r="E15" i="7"/>
  <c r="F15" i="7" s="1"/>
  <c r="E18" i="7"/>
  <c r="F18" i="7" s="1"/>
  <c r="E18" i="6"/>
  <c r="F18" i="6" s="1"/>
  <c r="E16" i="6"/>
  <c r="F16" i="6" s="1"/>
  <c r="E19" i="6"/>
  <c r="F19" i="6" s="1"/>
  <c r="E17" i="6"/>
  <c r="F17" i="6" s="1"/>
  <c r="E15" i="6"/>
  <c r="F15" i="6" s="1"/>
  <c r="E18" i="5"/>
  <c r="F18" i="5" s="1"/>
  <c r="E17" i="3"/>
  <c r="F17" i="3" s="1"/>
  <c r="E17" i="2"/>
  <c r="F17" i="2" s="1"/>
  <c r="E16" i="5"/>
  <c r="F16" i="5" s="1"/>
  <c r="E15" i="3"/>
  <c r="F15" i="3" s="1"/>
  <c r="E19" i="2"/>
  <c r="F19" i="2" s="1"/>
  <c r="E19" i="5"/>
  <c r="F19" i="5" s="1"/>
  <c r="E15" i="4"/>
  <c r="F15" i="4" s="1"/>
  <c r="E17" i="5"/>
  <c r="F17" i="5" s="1"/>
  <c r="E16" i="3"/>
  <c r="F16" i="3" s="1"/>
  <c r="E17" i="4"/>
  <c r="F17" i="4" s="1"/>
  <c r="E16" i="2"/>
  <c r="F16" i="2" s="1"/>
  <c r="E19" i="3"/>
  <c r="F19" i="3" s="1"/>
  <c r="E19" i="4"/>
  <c r="F19" i="4" s="1"/>
  <c r="E16" i="4"/>
  <c r="F16" i="4" s="1"/>
  <c r="E15" i="2"/>
  <c r="F15" i="2" s="1"/>
  <c r="E15" i="5"/>
  <c r="F15" i="5" s="1"/>
  <c r="E18" i="3"/>
  <c r="F18" i="3" s="1"/>
  <c r="E18" i="4"/>
  <c r="F18" i="4" s="1"/>
  <c r="E18" i="2"/>
  <c r="F18" i="2" s="1"/>
  <c r="E31" i="8"/>
  <c r="F31" i="8" s="1"/>
  <c r="E29" i="8"/>
  <c r="F29" i="8" s="1"/>
  <c r="E30" i="8"/>
  <c r="F30" i="8" s="1"/>
  <c r="E27" i="7"/>
  <c r="F27" i="7" s="1"/>
  <c r="E25" i="7"/>
  <c r="F25" i="7" s="1"/>
  <c r="E26" i="7"/>
  <c r="F26" i="7" s="1"/>
  <c r="E27" i="6"/>
  <c r="F27" i="6" s="1"/>
  <c r="E26" i="6"/>
  <c r="F26" i="6" s="1"/>
  <c r="E25" i="6"/>
  <c r="F25" i="6" s="1"/>
  <c r="E27" i="5"/>
  <c r="F27" i="5" s="1"/>
  <c r="E26" i="3"/>
  <c r="F26" i="3" s="1"/>
  <c r="E26" i="4"/>
  <c r="F26" i="4" s="1"/>
  <c r="E26" i="2"/>
  <c r="F26" i="2" s="1"/>
  <c r="E27" i="3"/>
  <c r="F27" i="3" s="1"/>
  <c r="E27" i="4"/>
  <c r="F27" i="4" s="1"/>
  <c r="E25" i="2"/>
  <c r="F25" i="2" s="1"/>
  <c r="E26" i="5"/>
  <c r="F26" i="5" s="1"/>
  <c r="E25" i="3"/>
  <c r="F25" i="3" s="1"/>
  <c r="E25" i="4"/>
  <c r="F25" i="4" s="1"/>
  <c r="E27" i="2"/>
  <c r="F27" i="2" s="1"/>
  <c r="E10" i="8"/>
  <c r="F10" i="8" s="1"/>
  <c r="E6" i="7"/>
  <c r="F6" i="7" s="1"/>
  <c r="M6" i="7" s="1"/>
  <c r="E9" i="6"/>
  <c r="F9" i="6" s="1"/>
  <c r="E7" i="2"/>
  <c r="F7" i="2" s="1"/>
  <c r="E8" i="4"/>
  <c r="F8" i="4" s="1"/>
  <c r="E9" i="2"/>
  <c r="F9" i="2" s="1"/>
  <c r="E6" i="2"/>
  <c r="F6" i="2" s="1"/>
  <c r="E8" i="8"/>
  <c r="F8" i="8" s="1"/>
  <c r="E7" i="6"/>
  <c r="F7" i="6" s="1"/>
  <c r="E8" i="5"/>
  <c r="F8" i="5" s="1"/>
  <c r="E8" i="3"/>
  <c r="F8" i="3" s="1"/>
  <c r="E9" i="3"/>
  <c r="F9" i="3" s="1"/>
  <c r="E9" i="8"/>
  <c r="F9" i="8" s="1"/>
  <c r="E9" i="7"/>
  <c r="F9" i="7" s="1"/>
  <c r="E8" i="6"/>
  <c r="F8" i="6" s="1"/>
  <c r="E7" i="4"/>
  <c r="F7" i="4" s="1"/>
  <c r="E7" i="3"/>
  <c r="F7" i="3" s="1"/>
  <c r="E6" i="4"/>
  <c r="F6" i="4" s="1"/>
  <c r="E9" i="4"/>
  <c r="F9" i="4" s="1"/>
  <c r="E7" i="7"/>
  <c r="F7" i="7" s="1"/>
  <c r="E6" i="3"/>
  <c r="F6" i="3" s="1"/>
  <c r="E8" i="7"/>
  <c r="F8" i="7" s="1"/>
  <c r="E6" i="6"/>
  <c r="F6" i="6" s="1"/>
  <c r="E8" i="2"/>
  <c r="F8" i="2" s="1"/>
  <c r="E9" i="5"/>
  <c r="F9" i="5" s="1"/>
  <c r="E6" i="5"/>
  <c r="F6" i="5" s="1"/>
  <c r="E7" i="5"/>
  <c r="F7" i="5" s="1"/>
  <c r="K17" i="8" l="1"/>
  <c r="I17" i="8"/>
  <c r="H17" i="8"/>
  <c r="L17" i="8"/>
  <c r="I19" i="11"/>
  <c r="H19" i="11"/>
  <c r="G19" i="11"/>
  <c r="J19" i="11"/>
  <c r="J18" i="12"/>
  <c r="H18" i="12"/>
  <c r="L18" i="12"/>
  <c r="G18" i="12"/>
  <c r="K18" i="12"/>
  <c r="I18" i="12"/>
  <c r="M18" i="12"/>
  <c r="L8" i="12"/>
  <c r="K8" i="12"/>
  <c r="J8" i="12"/>
  <c r="M8" i="12"/>
  <c r="I8" i="12"/>
  <c r="H8" i="12"/>
  <c r="G8" i="12"/>
  <c r="J9" i="11"/>
  <c r="H9" i="11"/>
  <c r="G9" i="11"/>
  <c r="I9" i="11"/>
  <c r="G27" i="12"/>
  <c r="N27" i="12"/>
  <c r="J27" i="12"/>
  <c r="M27" i="12"/>
  <c r="I27" i="12"/>
  <c r="H27" i="12"/>
  <c r="L27" i="12"/>
  <c r="K27" i="12"/>
  <c r="H15" i="12"/>
  <c r="K15" i="12"/>
  <c r="G15" i="12"/>
  <c r="J15" i="12"/>
  <c r="M15" i="12"/>
  <c r="I15" i="12"/>
  <c r="L15" i="12"/>
  <c r="F19" i="10"/>
  <c r="G19" i="10" s="1"/>
  <c r="I9" i="10"/>
  <c r="H9" i="10"/>
  <c r="J9" i="10"/>
  <c r="G9" i="10"/>
  <c r="K9" i="10"/>
  <c r="H6" i="10"/>
  <c r="I6" i="10"/>
  <c r="K6" i="10"/>
  <c r="G6" i="10"/>
  <c r="J6" i="10"/>
  <c r="K25" i="10"/>
  <c r="H25" i="10"/>
  <c r="I25" i="10"/>
  <c r="L25" i="10"/>
  <c r="J25" i="10"/>
  <c r="G25" i="10"/>
  <c r="F16" i="10"/>
  <c r="K16" i="10" s="1"/>
  <c r="H16" i="12"/>
  <c r="K16" i="12"/>
  <c r="G16" i="12"/>
  <c r="J16" i="12"/>
  <c r="I16" i="12"/>
  <c r="M16" i="12"/>
  <c r="L16" i="12"/>
  <c r="J16" i="9"/>
  <c r="K16" i="9"/>
  <c r="L16" i="9"/>
  <c r="M16" i="9"/>
  <c r="O16" i="9"/>
  <c r="N16" i="9"/>
  <c r="G16" i="9"/>
  <c r="H16" i="9"/>
  <c r="I16" i="9"/>
  <c r="L27" i="10"/>
  <c r="G27" i="10"/>
  <c r="J27" i="10"/>
  <c r="K27" i="10"/>
  <c r="H27" i="10"/>
  <c r="I27" i="10"/>
  <c r="J15" i="11"/>
  <c r="I15" i="11"/>
  <c r="H15" i="11"/>
  <c r="G15" i="11"/>
  <c r="L19" i="12"/>
  <c r="H19" i="12"/>
  <c r="K19" i="12"/>
  <c r="G19" i="12"/>
  <c r="J19" i="12"/>
  <c r="M19" i="12"/>
  <c r="I19" i="12"/>
  <c r="M7" i="9"/>
  <c r="N7" i="9"/>
  <c r="J7" i="9"/>
  <c r="G7" i="9"/>
  <c r="O7" i="9"/>
  <c r="H7" i="9"/>
  <c r="I7" i="9"/>
  <c r="L7" i="9"/>
  <c r="K7" i="9"/>
  <c r="F17" i="10"/>
  <c r="K17" i="10" s="1"/>
  <c r="H7" i="11"/>
  <c r="G7" i="11"/>
  <c r="J7" i="11"/>
  <c r="I7" i="11"/>
  <c r="J25" i="9"/>
  <c r="I25" i="9"/>
  <c r="L25" i="9"/>
  <c r="H25" i="9"/>
  <c r="O25" i="9"/>
  <c r="G25" i="9"/>
  <c r="N25" i="9"/>
  <c r="P25" i="9"/>
  <c r="M25" i="9"/>
  <c r="K25" i="9"/>
  <c r="H25" i="11"/>
  <c r="K25" i="11"/>
  <c r="G25" i="11"/>
  <c r="J25" i="11"/>
  <c r="I25" i="11"/>
  <c r="J9" i="12"/>
  <c r="G9" i="12"/>
  <c r="K9" i="12"/>
  <c r="I9" i="12"/>
  <c r="M9" i="12"/>
  <c r="H9" i="12"/>
  <c r="L9" i="12"/>
  <c r="I6" i="11"/>
  <c r="H6" i="11"/>
  <c r="J6" i="11"/>
  <c r="G6" i="11"/>
  <c r="J16" i="11"/>
  <c r="I16" i="11"/>
  <c r="H16" i="11"/>
  <c r="G16" i="11"/>
  <c r="J17" i="12"/>
  <c r="M17" i="12"/>
  <c r="I17" i="12"/>
  <c r="L17" i="12"/>
  <c r="H17" i="12"/>
  <c r="K17" i="12"/>
  <c r="G17" i="12"/>
  <c r="J8" i="11"/>
  <c r="H8" i="11"/>
  <c r="G8" i="11"/>
  <c r="I8" i="11"/>
  <c r="L8" i="9"/>
  <c r="M8" i="9"/>
  <c r="N8" i="9"/>
  <c r="G8" i="9"/>
  <c r="O8" i="9"/>
  <c r="J8" i="9"/>
  <c r="H8" i="9"/>
  <c r="I8" i="9"/>
  <c r="K8" i="9"/>
  <c r="K26" i="11"/>
  <c r="G26" i="11"/>
  <c r="I26" i="11"/>
  <c r="H26" i="11"/>
  <c r="J26" i="11"/>
  <c r="M6" i="12"/>
  <c r="J6" i="12"/>
  <c r="L6" i="12"/>
  <c r="H6" i="12"/>
  <c r="I6" i="12"/>
  <c r="K6" i="12"/>
  <c r="G6" i="12"/>
  <c r="H15" i="9"/>
  <c r="O15" i="9"/>
  <c r="G15" i="9"/>
  <c r="N15" i="9"/>
  <c r="M15" i="9"/>
  <c r="K15" i="9"/>
  <c r="J15" i="9"/>
  <c r="L15" i="9"/>
  <c r="I15" i="9"/>
  <c r="G17" i="8"/>
  <c r="I18" i="11"/>
  <c r="J18" i="11"/>
  <c r="H18" i="11"/>
  <c r="G18" i="11"/>
  <c r="G17" i="11"/>
  <c r="J17" i="11"/>
  <c r="I17" i="11"/>
  <c r="H17" i="11"/>
  <c r="I6" i="9"/>
  <c r="J6" i="9"/>
  <c r="K6" i="9"/>
  <c r="L6" i="9"/>
  <c r="M6" i="9"/>
  <c r="O6" i="9"/>
  <c r="N6" i="9"/>
  <c r="H6" i="9"/>
  <c r="G6" i="9"/>
  <c r="J7" i="12"/>
  <c r="M7" i="12"/>
  <c r="I7" i="12"/>
  <c r="H7" i="12"/>
  <c r="L7" i="12"/>
  <c r="K7" i="12"/>
  <c r="G7" i="12"/>
  <c r="N25" i="12"/>
  <c r="J25" i="12"/>
  <c r="M25" i="12"/>
  <c r="I25" i="12"/>
  <c r="H25" i="12"/>
  <c r="L25" i="12"/>
  <c r="K25" i="12"/>
  <c r="G25" i="12"/>
  <c r="H27" i="11"/>
  <c r="G27" i="11"/>
  <c r="J27" i="11"/>
  <c r="I27" i="11"/>
  <c r="K27" i="11"/>
  <c r="K26" i="10"/>
  <c r="I26" i="10"/>
  <c r="G26" i="10"/>
  <c r="L26" i="10"/>
  <c r="H26" i="10"/>
  <c r="J26" i="10"/>
  <c r="G15" i="10"/>
  <c r="K15" i="10"/>
  <c r="I15" i="10"/>
  <c r="J15" i="10"/>
  <c r="H15" i="10"/>
  <c r="F18" i="10"/>
  <c r="K18" i="10" s="1"/>
  <c r="H7" i="10"/>
  <c r="G7" i="10"/>
  <c r="K7" i="10"/>
  <c r="J7" i="10"/>
  <c r="I7" i="10"/>
  <c r="H8" i="10"/>
  <c r="K8" i="10"/>
  <c r="G8" i="10"/>
  <c r="I8" i="10"/>
  <c r="J8" i="10"/>
  <c r="M26" i="12"/>
  <c r="I26" i="12"/>
  <c r="H26" i="12"/>
  <c r="L26" i="12"/>
  <c r="K26" i="12"/>
  <c r="G26" i="12"/>
  <c r="J26" i="12"/>
  <c r="N26" i="12"/>
  <c r="J22" i="8"/>
  <c r="G22" i="8"/>
  <c r="K22" i="8"/>
  <c r="H22" i="8"/>
  <c r="L22" i="8"/>
  <c r="I22" i="8"/>
  <c r="H21" i="8"/>
  <c r="L21" i="8"/>
  <c r="I21" i="8"/>
  <c r="J21" i="8"/>
  <c r="G21" i="8"/>
  <c r="K21" i="8"/>
  <c r="J18" i="8"/>
  <c r="G18" i="8"/>
  <c r="K18" i="8"/>
  <c r="H18" i="8"/>
  <c r="L18" i="8"/>
  <c r="I18" i="8"/>
  <c r="H19" i="8"/>
  <c r="L19" i="8"/>
  <c r="I19" i="8"/>
  <c r="J19" i="8"/>
  <c r="G19" i="8"/>
  <c r="K19" i="8"/>
  <c r="J20" i="8"/>
  <c r="G20" i="8"/>
  <c r="K20" i="8"/>
  <c r="H20" i="8"/>
  <c r="L20" i="8"/>
  <c r="I20" i="8"/>
  <c r="M29" i="8"/>
  <c r="L29" i="8"/>
  <c r="J29" i="8"/>
  <c r="K29" i="8"/>
  <c r="G29" i="8"/>
  <c r="H29" i="8"/>
  <c r="I29" i="8"/>
  <c r="G30" i="8"/>
  <c r="K30" i="8"/>
  <c r="H30" i="8"/>
  <c r="L30" i="8"/>
  <c r="I30" i="8"/>
  <c r="J30" i="8"/>
  <c r="I31" i="8"/>
  <c r="J31" i="8"/>
  <c r="H31" i="8"/>
  <c r="G31" i="8"/>
  <c r="K31" i="8"/>
  <c r="L31" i="8"/>
  <c r="H8" i="8"/>
  <c r="L8" i="8"/>
  <c r="I8" i="8"/>
  <c r="J8" i="8"/>
  <c r="G8" i="8"/>
  <c r="K8" i="8"/>
  <c r="J9" i="8"/>
  <c r="G9" i="8"/>
  <c r="K9" i="8"/>
  <c r="H9" i="8"/>
  <c r="L9" i="8"/>
  <c r="I9" i="8"/>
  <c r="H10" i="8"/>
  <c r="L10" i="8"/>
  <c r="I10" i="8"/>
  <c r="J10" i="8"/>
  <c r="G10" i="8"/>
  <c r="K10" i="8"/>
  <c r="I7" i="8"/>
  <c r="H7" i="8"/>
  <c r="G7" i="8"/>
  <c r="J7" i="8"/>
  <c r="K7" i="8"/>
  <c r="L7" i="8"/>
  <c r="L6" i="6"/>
  <c r="G6" i="6"/>
  <c r="K6" i="6"/>
  <c r="H6" i="6"/>
  <c r="J6" i="6"/>
  <c r="I6" i="6"/>
  <c r="M7" i="7"/>
  <c r="K7" i="7"/>
  <c r="H7" i="7"/>
  <c r="I7" i="7"/>
  <c r="J7" i="7"/>
  <c r="L7" i="7"/>
  <c r="G7" i="7"/>
  <c r="J9" i="3"/>
  <c r="I9" i="3"/>
  <c r="G9" i="3"/>
  <c r="H9" i="3"/>
  <c r="I7" i="2"/>
  <c r="G7" i="2"/>
  <c r="H7" i="2"/>
  <c r="J7" i="2"/>
  <c r="K26" i="5"/>
  <c r="I26" i="5"/>
  <c r="L26" i="5"/>
  <c r="J26" i="5"/>
  <c r="H26" i="5"/>
  <c r="G26" i="5"/>
  <c r="J25" i="6"/>
  <c r="H25" i="6"/>
  <c r="K25" i="6"/>
  <c r="I25" i="6"/>
  <c r="L25" i="6"/>
  <c r="M25" i="6"/>
  <c r="G25" i="6"/>
  <c r="M31" i="8"/>
  <c r="G19" i="3"/>
  <c r="J19" i="3"/>
  <c r="I19" i="3"/>
  <c r="H19" i="3"/>
  <c r="H15" i="3"/>
  <c r="J15" i="3"/>
  <c r="I15" i="3"/>
  <c r="G15" i="3"/>
  <c r="H16" i="6"/>
  <c r="L16" i="6"/>
  <c r="J16" i="6"/>
  <c r="K16" i="6"/>
  <c r="I16" i="6"/>
  <c r="G16" i="6"/>
  <c r="M8" i="7"/>
  <c r="H8" i="7"/>
  <c r="I8" i="7"/>
  <c r="J8" i="7"/>
  <c r="L8" i="7"/>
  <c r="G8" i="7"/>
  <c r="K8" i="7"/>
  <c r="I8" i="6"/>
  <c r="G8" i="6"/>
  <c r="H8" i="6"/>
  <c r="L8" i="6"/>
  <c r="J8" i="6"/>
  <c r="K8" i="6"/>
  <c r="J8" i="3"/>
  <c r="I8" i="3"/>
  <c r="H8" i="3"/>
  <c r="G8" i="3"/>
  <c r="G9" i="6"/>
  <c r="I9" i="6"/>
  <c r="L9" i="6"/>
  <c r="H9" i="6"/>
  <c r="J9" i="6"/>
  <c r="K9" i="6"/>
  <c r="K25" i="2"/>
  <c r="G25" i="2"/>
  <c r="H25" i="2"/>
  <c r="J25" i="2"/>
  <c r="I25" i="2"/>
  <c r="I26" i="6"/>
  <c r="G26" i="6"/>
  <c r="L26" i="6"/>
  <c r="J26" i="6"/>
  <c r="M26" i="6"/>
  <c r="K26" i="6"/>
  <c r="H26" i="6"/>
  <c r="I18" i="2"/>
  <c r="J18" i="2"/>
  <c r="H18" i="2"/>
  <c r="G18" i="2"/>
  <c r="J16" i="2"/>
  <c r="H16" i="2"/>
  <c r="I16" i="2"/>
  <c r="G16" i="2"/>
  <c r="K16" i="5"/>
  <c r="I16" i="5"/>
  <c r="J16" i="5"/>
  <c r="H16" i="5"/>
  <c r="G16" i="5"/>
  <c r="H18" i="6"/>
  <c r="L18" i="6"/>
  <c r="G18" i="6"/>
  <c r="I18" i="6"/>
  <c r="J18" i="6"/>
  <c r="K18" i="6"/>
  <c r="I9" i="5"/>
  <c r="G9" i="5"/>
  <c r="H9" i="5"/>
  <c r="K9" i="5"/>
  <c r="J9" i="5"/>
  <c r="J6" i="4"/>
  <c r="G6" i="4"/>
  <c r="H6" i="4"/>
  <c r="I6" i="4"/>
  <c r="I9" i="7"/>
  <c r="K9" i="7"/>
  <c r="M9" i="7"/>
  <c r="L9" i="7"/>
  <c r="J9" i="7"/>
  <c r="H9" i="7"/>
  <c r="G9" i="7"/>
  <c r="G8" i="5"/>
  <c r="I8" i="5"/>
  <c r="J8" i="5"/>
  <c r="K8" i="5"/>
  <c r="H8" i="5"/>
  <c r="J9" i="2"/>
  <c r="I9" i="2"/>
  <c r="H9" i="2"/>
  <c r="G9" i="2"/>
  <c r="K6" i="7"/>
  <c r="L6" i="7"/>
  <c r="H6" i="7"/>
  <c r="I6" i="7"/>
  <c r="G6" i="7"/>
  <c r="J6" i="7"/>
  <c r="I25" i="4"/>
  <c r="H25" i="4"/>
  <c r="J25" i="4"/>
  <c r="G25" i="4"/>
  <c r="K25" i="4"/>
  <c r="I27" i="4"/>
  <c r="G27" i="4"/>
  <c r="J27" i="4"/>
  <c r="K27" i="4"/>
  <c r="H27" i="4"/>
  <c r="G26" i="3"/>
  <c r="I26" i="3"/>
  <c r="J26" i="3"/>
  <c r="H26" i="3"/>
  <c r="K26" i="3"/>
  <c r="G27" i="6"/>
  <c r="K27" i="6"/>
  <c r="M27" i="6"/>
  <c r="I27" i="6"/>
  <c r="H27" i="6"/>
  <c r="L27" i="6"/>
  <c r="J27" i="6"/>
  <c r="M30" i="8"/>
  <c r="G18" i="4"/>
  <c r="H18" i="4"/>
  <c r="I18" i="4"/>
  <c r="J18" i="4"/>
  <c r="H16" i="4"/>
  <c r="G16" i="4"/>
  <c r="J16" i="4"/>
  <c r="I16" i="4"/>
  <c r="I17" i="4"/>
  <c r="H17" i="4"/>
  <c r="G17" i="4"/>
  <c r="J17" i="4"/>
  <c r="J19" i="5"/>
  <c r="I19" i="5"/>
  <c r="K19" i="5"/>
  <c r="H19" i="5"/>
  <c r="G19" i="5"/>
  <c r="G17" i="2"/>
  <c r="J17" i="2"/>
  <c r="I17" i="2"/>
  <c r="H17" i="2"/>
  <c r="J17" i="6"/>
  <c r="L17" i="6"/>
  <c r="G17" i="6"/>
  <c r="K17" i="6"/>
  <c r="H17" i="6"/>
  <c r="I17" i="6"/>
  <c r="M18" i="7"/>
  <c r="I18" i="7"/>
  <c r="K18" i="7"/>
  <c r="J18" i="7"/>
  <c r="H18" i="7"/>
  <c r="G18" i="7"/>
  <c r="L18" i="7"/>
  <c r="H16" i="7"/>
  <c r="M16" i="7"/>
  <c r="K16" i="7"/>
  <c r="G16" i="7"/>
  <c r="L16" i="7"/>
  <c r="J16" i="7"/>
  <c r="I16" i="7"/>
  <c r="I7" i="5"/>
  <c r="J7" i="5"/>
  <c r="G7" i="5"/>
  <c r="H7" i="5"/>
  <c r="K7" i="5"/>
  <c r="G7" i="4"/>
  <c r="J7" i="4"/>
  <c r="H7" i="4"/>
  <c r="I7" i="4"/>
  <c r="K25" i="5"/>
  <c r="I25" i="5"/>
  <c r="G25" i="5"/>
  <c r="H25" i="5"/>
  <c r="L25" i="5"/>
  <c r="J25" i="5"/>
  <c r="K26" i="2"/>
  <c r="G26" i="2"/>
  <c r="H26" i="2"/>
  <c r="J26" i="2"/>
  <c r="I26" i="2"/>
  <c r="J25" i="7"/>
  <c r="N25" i="7"/>
  <c r="L25" i="7"/>
  <c r="G25" i="7"/>
  <c r="M25" i="7"/>
  <c r="I25" i="7"/>
  <c r="H25" i="7"/>
  <c r="K25" i="7"/>
  <c r="G15" i="5"/>
  <c r="H15" i="5"/>
  <c r="K15" i="5"/>
  <c r="J15" i="5"/>
  <c r="I15" i="5"/>
  <c r="J17" i="5"/>
  <c r="K17" i="5"/>
  <c r="H17" i="5"/>
  <c r="I17" i="5"/>
  <c r="G17" i="5"/>
  <c r="I18" i="5"/>
  <c r="G18" i="5"/>
  <c r="K18" i="5"/>
  <c r="H18" i="5"/>
  <c r="J18" i="5"/>
  <c r="K17" i="7"/>
  <c r="G17" i="7"/>
  <c r="I17" i="7"/>
  <c r="H17" i="7"/>
  <c r="L17" i="7"/>
  <c r="J17" i="7"/>
  <c r="M17" i="7"/>
  <c r="H6" i="5"/>
  <c r="G6" i="5"/>
  <c r="J6" i="5"/>
  <c r="K6" i="5"/>
  <c r="I6" i="5"/>
  <c r="G9" i="4"/>
  <c r="J9" i="4"/>
  <c r="I9" i="4"/>
  <c r="H9" i="4"/>
  <c r="J6" i="2"/>
  <c r="G6" i="2"/>
  <c r="H6" i="2"/>
  <c r="I6" i="2"/>
  <c r="K27" i="2"/>
  <c r="J27" i="2"/>
  <c r="I27" i="2"/>
  <c r="G27" i="2"/>
  <c r="H27" i="2"/>
  <c r="J26" i="4"/>
  <c r="H26" i="4"/>
  <c r="I26" i="4"/>
  <c r="K26" i="4"/>
  <c r="G26" i="4"/>
  <c r="N27" i="7"/>
  <c r="G27" i="7"/>
  <c r="K27" i="7"/>
  <c r="J27" i="7"/>
  <c r="H27" i="7"/>
  <c r="L27" i="7"/>
  <c r="I27" i="7"/>
  <c r="M27" i="7"/>
  <c r="H15" i="2"/>
  <c r="G15" i="2"/>
  <c r="I15" i="2"/>
  <c r="J15" i="2"/>
  <c r="I15" i="4"/>
  <c r="H15" i="4"/>
  <c r="G15" i="4"/>
  <c r="J15" i="4"/>
  <c r="K15" i="6"/>
  <c r="G15" i="6"/>
  <c r="I15" i="6"/>
  <c r="H15" i="6"/>
  <c r="J15" i="6"/>
  <c r="L15" i="6"/>
  <c r="M19" i="7"/>
  <c r="H19" i="7"/>
  <c r="K19" i="7"/>
  <c r="G19" i="7"/>
  <c r="L19" i="7"/>
  <c r="J19" i="7"/>
  <c r="I19" i="7"/>
  <c r="J8" i="2"/>
  <c r="I8" i="2"/>
  <c r="G8" i="2"/>
  <c r="H8" i="2"/>
  <c r="J6" i="3"/>
  <c r="G6" i="3"/>
  <c r="H6" i="3"/>
  <c r="I6" i="3"/>
  <c r="J7" i="3"/>
  <c r="G7" i="3"/>
  <c r="H7" i="3"/>
  <c r="I7" i="3"/>
  <c r="H7" i="6"/>
  <c r="I7" i="6"/>
  <c r="K7" i="6"/>
  <c r="L7" i="6"/>
  <c r="G7" i="6"/>
  <c r="J7" i="6"/>
  <c r="J8" i="4"/>
  <c r="G8" i="4"/>
  <c r="I8" i="4"/>
  <c r="H8" i="4"/>
  <c r="K25" i="3"/>
  <c r="J25" i="3"/>
  <c r="I25" i="3"/>
  <c r="G25" i="3"/>
  <c r="H25" i="3"/>
  <c r="J27" i="3"/>
  <c r="I27" i="3"/>
  <c r="H27" i="3"/>
  <c r="K27" i="3"/>
  <c r="G27" i="3"/>
  <c r="L27" i="5"/>
  <c r="H27" i="5"/>
  <c r="I27" i="5"/>
  <c r="G27" i="5"/>
  <c r="J27" i="5"/>
  <c r="K27" i="5"/>
  <c r="M26" i="7"/>
  <c r="I26" i="7"/>
  <c r="G26" i="7"/>
  <c r="K26" i="7"/>
  <c r="H26" i="7"/>
  <c r="N26" i="7"/>
  <c r="J26" i="7"/>
  <c r="L26" i="7"/>
  <c r="J18" i="3"/>
  <c r="H18" i="3"/>
  <c r="G18" i="3"/>
  <c r="I18" i="3"/>
  <c r="I19" i="4"/>
  <c r="G19" i="4"/>
  <c r="H19" i="4"/>
  <c r="J19" i="4"/>
  <c r="H16" i="3"/>
  <c r="J16" i="3"/>
  <c r="G16" i="3"/>
  <c r="I16" i="3"/>
  <c r="J19" i="2"/>
  <c r="I19" i="2"/>
  <c r="G19" i="2"/>
  <c r="H19" i="2"/>
  <c r="I17" i="3"/>
  <c r="J17" i="3"/>
  <c r="H17" i="3"/>
  <c r="G17" i="3"/>
  <c r="J19" i="6"/>
  <c r="H19" i="6"/>
  <c r="I19" i="6"/>
  <c r="G19" i="6"/>
  <c r="K19" i="6"/>
  <c r="L19" i="6"/>
  <c r="K15" i="7"/>
  <c r="I15" i="7"/>
  <c r="M15" i="7"/>
  <c r="J15" i="7"/>
  <c r="L15" i="7"/>
  <c r="H15" i="7"/>
  <c r="G15" i="7"/>
  <c r="J19" i="10" l="1"/>
  <c r="K19" i="10"/>
  <c r="I19" i="10"/>
  <c r="H19" i="10"/>
  <c r="H17" i="10"/>
  <c r="I17" i="10"/>
  <c r="J17" i="10"/>
  <c r="G17" i="10"/>
  <c r="J18" i="10"/>
  <c r="H18" i="10"/>
  <c r="G18" i="10"/>
  <c r="I18" i="10"/>
  <c r="J16" i="10"/>
  <c r="G16" i="10"/>
  <c r="H16" i="10"/>
  <c r="I1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JuanDavid</author>
  </authors>
  <commentList>
    <comment ref="E12" authorId="0" shapeId="0" xr:uid="{FB2260D7-C605-4EA4-A299-675DD8D75D02}">
      <text>
        <r>
          <rPr>
            <b/>
            <sz val="9"/>
            <color indexed="81"/>
            <rFont val="Tahoma"/>
            <charset val="1"/>
          </rPr>
          <t>JuanDavid:</t>
        </r>
        <r>
          <rPr>
            <sz val="9"/>
            <color indexed="81"/>
            <rFont val="Tahoma"/>
            <charset val="1"/>
          </rPr>
          <t xml:space="preserve">
Operación: Ph del cultivo - Ph estandar del cultivo</t>
        </r>
      </text>
    </comment>
  </commentList>
</comments>
</file>

<file path=xl/sharedStrings.xml><?xml version="1.0" encoding="utf-8"?>
<sst xmlns="http://schemas.openxmlformats.org/spreadsheetml/2006/main" count="705" uniqueCount="155">
  <si>
    <t>NOMBRE DEL PROYECTO:</t>
  </si>
  <si>
    <t>RESPONSABLES:</t>
  </si>
  <si>
    <t>DATOS GENERALES</t>
  </si>
  <si>
    <t>M.O (Kg):</t>
  </si>
  <si>
    <t>Nitrogeno total (Kg):</t>
  </si>
  <si>
    <t>Nitrogeno disponible (Kg):</t>
  </si>
  <si>
    <t>Potasio (Kg):</t>
  </si>
  <si>
    <t>K20 (Kg):</t>
  </si>
  <si>
    <t>PH Suelo Acido:</t>
  </si>
  <si>
    <t>Dolomita</t>
  </si>
  <si>
    <t>Carbonato Mg</t>
  </si>
  <si>
    <t>Hidroxido Ca</t>
  </si>
  <si>
    <t>Oxido de Ca</t>
  </si>
  <si>
    <t>Oxido de Mg</t>
  </si>
  <si>
    <t>Hidroxido Mg</t>
  </si>
  <si>
    <t>Carbonato Ca</t>
  </si>
  <si>
    <t>Silicato de Ca</t>
  </si>
  <si>
    <t>Silicato de Mg</t>
  </si>
  <si>
    <t xml:space="preserve">Neutralización </t>
  </si>
  <si>
    <t>Formula QCA</t>
  </si>
  <si>
    <t>Grado de PH a Neutralizar</t>
  </si>
  <si>
    <t>CaCO3</t>
  </si>
  <si>
    <t>CaCO3*MgCO3</t>
  </si>
  <si>
    <t>CaO</t>
  </si>
  <si>
    <t>Ca(OH)2</t>
  </si>
  <si>
    <t>MgCO3</t>
  </si>
  <si>
    <t>MgO</t>
  </si>
  <si>
    <t>Mg(OH)2</t>
  </si>
  <si>
    <t>CaSiO3</t>
  </si>
  <si>
    <t>MgSiO3</t>
  </si>
  <si>
    <t>Fuentes</t>
  </si>
  <si>
    <r>
      <t xml:space="preserve">M.O </t>
    </r>
    <r>
      <rPr>
        <sz val="11"/>
        <color theme="1"/>
        <rFont val="Calibri"/>
        <family val="2"/>
        <scheme val="minor"/>
      </rPr>
      <t>(%):</t>
    </r>
  </si>
  <si>
    <r>
      <t xml:space="preserve">Da </t>
    </r>
    <r>
      <rPr>
        <sz val="11"/>
        <color theme="1"/>
        <rFont val="Calibri"/>
        <family val="2"/>
        <scheme val="minor"/>
      </rPr>
      <t>(Gr/Cm3):</t>
    </r>
  </si>
  <si>
    <r>
      <t xml:space="preserve">Profundidad </t>
    </r>
    <r>
      <rPr>
        <sz val="11"/>
        <color theme="1"/>
        <rFont val="Calibri"/>
        <family val="2"/>
        <scheme val="minor"/>
      </rPr>
      <t>(M)</t>
    </r>
    <r>
      <rPr>
        <b/>
        <sz val="11"/>
        <color theme="1"/>
        <rFont val="Calibri"/>
        <family val="2"/>
        <scheme val="minor"/>
      </rPr>
      <t>:</t>
    </r>
  </si>
  <si>
    <r>
      <t>Area</t>
    </r>
    <r>
      <rPr>
        <sz val="11"/>
        <color theme="1"/>
        <rFont val="Calibri"/>
        <family val="2"/>
        <scheme val="minor"/>
      </rPr>
      <t xml:space="preserve"> (M2)</t>
    </r>
    <r>
      <rPr>
        <b/>
        <sz val="11"/>
        <color theme="1"/>
        <rFont val="Calibri"/>
        <family val="2"/>
        <scheme val="minor"/>
      </rPr>
      <t>:</t>
    </r>
  </si>
  <si>
    <r>
      <t xml:space="preserve">Volumen </t>
    </r>
    <r>
      <rPr>
        <sz val="11"/>
        <color theme="1"/>
        <rFont val="Calibri"/>
        <family val="2"/>
        <scheme val="minor"/>
      </rPr>
      <t>(M3)</t>
    </r>
    <r>
      <rPr>
        <b/>
        <sz val="11"/>
        <color theme="1"/>
        <rFont val="Calibri"/>
        <family val="2"/>
        <scheme val="minor"/>
      </rPr>
      <t>:</t>
    </r>
  </si>
  <si>
    <r>
      <t xml:space="preserve">Peso </t>
    </r>
    <r>
      <rPr>
        <sz val="11"/>
        <color theme="1"/>
        <rFont val="Calibri"/>
        <family val="2"/>
        <scheme val="minor"/>
      </rPr>
      <t>(Kg):</t>
    </r>
  </si>
  <si>
    <r>
      <t xml:space="preserve"> Dosis del Encalante </t>
    </r>
    <r>
      <rPr>
        <sz val="11"/>
        <color theme="1"/>
        <rFont val="Calibri"/>
        <family val="2"/>
        <scheme val="minor"/>
      </rPr>
      <t>(Ton)</t>
    </r>
  </si>
  <si>
    <r>
      <t xml:space="preserve">Nitrogeno </t>
    </r>
    <r>
      <rPr>
        <sz val="11"/>
        <color theme="1"/>
        <rFont val="Calibri"/>
        <family val="2"/>
        <scheme val="minor"/>
      </rPr>
      <t>(mg/Kg):</t>
    </r>
  </si>
  <si>
    <r>
      <rPr>
        <b/>
        <sz val="11"/>
        <color theme="1"/>
        <rFont val="Calibri"/>
        <family val="2"/>
        <scheme val="minor"/>
      </rPr>
      <t xml:space="preserve">Potasio </t>
    </r>
    <r>
      <rPr>
        <sz val="11"/>
        <color theme="1"/>
        <rFont val="Calibri"/>
        <family val="2"/>
        <scheme val="minor"/>
      </rPr>
      <t>(mg/kg):</t>
    </r>
  </si>
  <si>
    <r>
      <t xml:space="preserve">Fósforo </t>
    </r>
    <r>
      <rPr>
        <sz val="11"/>
        <color theme="1"/>
        <rFont val="Calibri"/>
        <family val="2"/>
        <scheme val="minor"/>
      </rPr>
      <t>(mg/Kg):</t>
    </r>
  </si>
  <si>
    <t>Nitrogeno (Kg)</t>
  </si>
  <si>
    <r>
      <t xml:space="preserve">Fósforo </t>
    </r>
    <r>
      <rPr>
        <sz val="11"/>
        <color theme="1"/>
        <rFont val="Calibri"/>
        <family val="2"/>
        <scheme val="minor"/>
      </rPr>
      <t>(Kg):</t>
    </r>
  </si>
  <si>
    <r>
      <rPr>
        <b/>
        <sz val="11"/>
        <color theme="1"/>
        <rFont val="Calibri"/>
        <family val="2"/>
        <scheme val="minor"/>
      </rPr>
      <t>P2O5</t>
    </r>
    <r>
      <rPr>
        <sz val="11"/>
        <color theme="1"/>
        <rFont val="Calibri"/>
        <family val="2"/>
        <scheme val="minor"/>
      </rPr>
      <t xml:space="preserve"> (Kg):</t>
    </r>
  </si>
  <si>
    <t>Superfosfato Simple (SFS)</t>
  </si>
  <si>
    <t>Superfosfato triple(SFT)</t>
  </si>
  <si>
    <t>Fosfato monoamonico (MAP)</t>
  </si>
  <si>
    <t>Fosfato Diamonico (DAP)</t>
  </si>
  <si>
    <r>
      <t xml:space="preserve">Contenido de P2O5 </t>
    </r>
    <r>
      <rPr>
        <sz val="11"/>
        <color theme="1"/>
        <rFont val="Calibri"/>
        <family val="2"/>
        <scheme val="minor"/>
      </rPr>
      <t>(%)</t>
    </r>
  </si>
  <si>
    <t>Sulfato de amonio</t>
  </si>
  <si>
    <r>
      <t xml:space="preserve">Contenido de N </t>
    </r>
    <r>
      <rPr>
        <sz val="11"/>
        <color theme="1"/>
        <rFont val="Calibri"/>
        <family val="2"/>
        <scheme val="minor"/>
      </rPr>
      <t>(%)</t>
    </r>
  </si>
  <si>
    <t>Amoniaco anhidrico</t>
  </si>
  <si>
    <t>Nitrato de amonio</t>
  </si>
  <si>
    <t>Urea</t>
  </si>
  <si>
    <r>
      <t xml:space="preserve">Contenido de K2O </t>
    </r>
    <r>
      <rPr>
        <sz val="11"/>
        <color theme="1"/>
        <rFont val="Calibri"/>
        <family val="2"/>
        <scheme val="minor"/>
      </rPr>
      <t>(%)</t>
    </r>
  </si>
  <si>
    <t>Nitrato Potasico</t>
  </si>
  <si>
    <t>Sulfato Potasico</t>
  </si>
  <si>
    <t>Cloruro Potasico</t>
  </si>
  <si>
    <t>1.</t>
  </si>
  <si>
    <t>2.</t>
  </si>
  <si>
    <t>3.</t>
  </si>
  <si>
    <r>
      <t xml:space="preserve">Nitrogeno Requerido x Cultivo </t>
    </r>
    <r>
      <rPr>
        <sz val="11"/>
        <color theme="1"/>
        <rFont val="Calibri"/>
        <family val="2"/>
        <scheme val="minor"/>
      </rPr>
      <t>(KG/Ha)</t>
    </r>
  </si>
  <si>
    <r>
      <t>Nitrogeno a aportar al suelo</t>
    </r>
    <r>
      <rPr>
        <sz val="11"/>
        <color theme="1"/>
        <rFont val="Calibri"/>
        <family val="2"/>
        <scheme val="minor"/>
      </rPr>
      <t>(Kg/ha)</t>
    </r>
  </si>
  <si>
    <r>
      <t xml:space="preserve">Fósforo Requerido x Cultivo </t>
    </r>
    <r>
      <rPr>
        <sz val="11"/>
        <color theme="1"/>
        <rFont val="Calibri"/>
        <family val="2"/>
        <scheme val="minor"/>
      </rPr>
      <t>(Kg/ha)</t>
    </r>
  </si>
  <si>
    <r>
      <t>Fósforo a aportar al suelo</t>
    </r>
    <r>
      <rPr>
        <sz val="11"/>
        <color theme="1"/>
        <rFont val="Calibri"/>
        <family val="2"/>
        <scheme val="minor"/>
      </rPr>
      <t>(Kg/ha)</t>
    </r>
  </si>
  <si>
    <r>
      <t xml:space="preserve">Distribución de la fertilización </t>
    </r>
    <r>
      <rPr>
        <sz val="11"/>
        <color theme="1"/>
        <rFont val="Calibri"/>
        <family val="2"/>
        <scheme val="minor"/>
      </rPr>
      <t>(Kg/Ha)</t>
    </r>
  </si>
  <si>
    <t>30 DDS</t>
  </si>
  <si>
    <t>SIEMBRA</t>
  </si>
  <si>
    <t>60 DDS</t>
  </si>
  <si>
    <t>90 DDS</t>
  </si>
  <si>
    <r>
      <t xml:space="preserve">Potasio Requerido x Cultivo </t>
    </r>
    <r>
      <rPr>
        <sz val="11"/>
        <color theme="1"/>
        <rFont val="Calibri"/>
        <family val="2"/>
        <scheme val="minor"/>
      </rPr>
      <t>(Kg/ha)</t>
    </r>
  </si>
  <si>
    <r>
      <t xml:space="preserve">Contenido de N Adicional </t>
    </r>
    <r>
      <rPr>
        <sz val="11"/>
        <color theme="1"/>
        <rFont val="Calibri"/>
        <family val="2"/>
        <scheme val="minor"/>
      </rPr>
      <t>(13%)</t>
    </r>
  </si>
  <si>
    <r>
      <t>Potasio a aportar al suelo</t>
    </r>
    <r>
      <rPr>
        <sz val="11"/>
        <color theme="1"/>
        <rFont val="Calibri"/>
        <family val="2"/>
        <scheme val="minor"/>
      </rPr>
      <t>(Kg/ha)</t>
    </r>
  </si>
  <si>
    <t>Etapa V3 (25-30 días)</t>
  </si>
  <si>
    <t>Etapa V6 (55-60 días)</t>
  </si>
  <si>
    <t>Etapa V9 (75-80 días)</t>
  </si>
  <si>
    <t>Etapa VE    (0-4 días)</t>
  </si>
  <si>
    <t>Etapa 1 Plantula    (0-20 DDS)</t>
  </si>
  <si>
    <t>Etapa 2 D. vegetativo (20-90 DDS)</t>
  </si>
  <si>
    <t>Etapa 3 tuberización (90-210 DDS)</t>
  </si>
  <si>
    <t>Etapa 4 Senescencia (210-270 DDS)</t>
  </si>
  <si>
    <t>Dosificación de Enmienda o encalante (Ton - Bultos)</t>
  </si>
  <si>
    <r>
      <t xml:space="preserve"> Dosis del Encalante      </t>
    </r>
    <r>
      <rPr>
        <sz val="11"/>
        <color theme="1"/>
        <rFont val="Calibri"/>
        <family val="2"/>
        <scheme val="minor"/>
      </rPr>
      <t>(Bultosx50 Kg)</t>
    </r>
  </si>
  <si>
    <r>
      <t xml:space="preserve">Fósforo a aportar al suelo    </t>
    </r>
    <r>
      <rPr>
        <sz val="11"/>
        <color theme="1"/>
        <rFont val="Calibri"/>
        <family val="2"/>
        <scheme val="minor"/>
      </rPr>
      <t>(Kg/ha)</t>
    </r>
  </si>
  <si>
    <r>
      <t xml:space="preserve">Nitrogeno a aportar al suelo    </t>
    </r>
    <r>
      <rPr>
        <sz val="11"/>
        <color theme="1"/>
        <rFont val="Calibri"/>
        <family val="2"/>
        <scheme val="minor"/>
      </rPr>
      <t>(Kg/ha)</t>
    </r>
  </si>
  <si>
    <r>
      <t xml:space="preserve">Nitrogeno Requerido x Cultivo </t>
    </r>
    <r>
      <rPr>
        <sz val="11"/>
        <color theme="1"/>
        <rFont val="Calibri"/>
        <family val="2"/>
        <scheme val="minor"/>
      </rPr>
      <t>(Kg/Ha)</t>
    </r>
  </si>
  <si>
    <r>
      <t xml:space="preserve">Potasio a aportar al suelo    </t>
    </r>
    <r>
      <rPr>
        <sz val="11"/>
        <color theme="1"/>
        <rFont val="Calibri"/>
        <family val="2"/>
        <scheme val="minor"/>
      </rPr>
      <t>(Kg/ha)</t>
    </r>
  </si>
  <si>
    <t>Fase 1       (0-30 DDS)</t>
  </si>
  <si>
    <t>Fase 2       (30-60 DDS)</t>
  </si>
  <si>
    <t>Fase 3             (60-120 DDS)</t>
  </si>
  <si>
    <t>Fase 4        (120-150 DDS)</t>
  </si>
  <si>
    <t>Fase 5        (150-210 DDS)</t>
  </si>
  <si>
    <r>
      <t xml:space="preserve">Nitrogeno a aportar al suelo  </t>
    </r>
    <r>
      <rPr>
        <sz val="11"/>
        <color theme="1"/>
        <rFont val="Calibri"/>
        <family val="2"/>
        <scheme val="minor"/>
      </rPr>
      <t>(Kg/ha/Año)</t>
    </r>
  </si>
  <si>
    <r>
      <t xml:space="preserve">Fósforo Requerido x Cultivo </t>
    </r>
    <r>
      <rPr>
        <sz val="11"/>
        <color theme="1"/>
        <rFont val="Calibri"/>
        <family val="2"/>
        <scheme val="minor"/>
      </rPr>
      <t>(Kg/ha/Año)</t>
    </r>
  </si>
  <si>
    <r>
      <t xml:space="preserve">Fósforo a aportar al suelo </t>
    </r>
    <r>
      <rPr>
        <sz val="11"/>
        <color theme="1"/>
        <rFont val="Calibri"/>
        <family val="2"/>
        <scheme val="minor"/>
      </rPr>
      <t>(Kg/ha/Año)</t>
    </r>
  </si>
  <si>
    <r>
      <t xml:space="preserve">Potasio Requerido x Cultivo </t>
    </r>
    <r>
      <rPr>
        <sz val="11"/>
        <color theme="1"/>
        <rFont val="Calibri"/>
        <family val="2"/>
        <scheme val="minor"/>
      </rPr>
      <t>(Kg/ha/Año)</t>
    </r>
  </si>
  <si>
    <r>
      <t xml:space="preserve">Potasio a aportar al suelo </t>
    </r>
    <r>
      <rPr>
        <sz val="11"/>
        <color theme="1"/>
        <rFont val="Calibri"/>
        <family val="2"/>
        <scheme val="minor"/>
      </rPr>
      <t>(Kg/ha/Año)</t>
    </r>
  </si>
  <si>
    <t>Edad        (0-1 Años)</t>
  </si>
  <si>
    <t>Edad         (2-4 Años)</t>
  </si>
  <si>
    <t>Edad          (5-10 Años)</t>
  </si>
  <si>
    <t>Edad          (10-15 Años)</t>
  </si>
  <si>
    <t>Edad          (15-20 Años)</t>
  </si>
  <si>
    <t>Edad                       (más 20 Años)</t>
  </si>
  <si>
    <t>Edad         (1-2 Años)</t>
  </si>
  <si>
    <t>Edad          (3-4 Años)</t>
  </si>
  <si>
    <t>Edad          (5-6 Años)</t>
  </si>
  <si>
    <t>Edad          (7-8 Años)</t>
  </si>
  <si>
    <t>Edad                       (9 -10 Años)</t>
  </si>
  <si>
    <t>Edad                       (más 11 Años)</t>
  </si>
  <si>
    <t>Escorias Thomas</t>
  </si>
  <si>
    <t>Edad        (0-Años)</t>
  </si>
  <si>
    <t>Edad         (1-Años)</t>
  </si>
  <si>
    <t>Edad          (2- Años)</t>
  </si>
  <si>
    <t>Edad          (3- Años)</t>
  </si>
  <si>
    <t>Adultas            ( 1 Semestre)</t>
  </si>
  <si>
    <t>Adultas            ( 2 Semestre)</t>
  </si>
  <si>
    <t>Plantación Joven de 0 - 3 años</t>
  </si>
  <si>
    <t>Plantación adulta de 4 años en adelante</t>
  </si>
  <si>
    <r>
      <t xml:space="preserve">Nitrogeno Requerido x Cultivo </t>
    </r>
    <r>
      <rPr>
        <sz val="11"/>
        <color theme="1"/>
        <rFont val="Calibri"/>
        <family val="2"/>
        <scheme val="minor"/>
      </rPr>
      <t>(Kg/Ciclo)</t>
    </r>
  </si>
  <si>
    <r>
      <t xml:space="preserve">Nitrogeno a aportar al suelo  </t>
    </r>
    <r>
      <rPr>
        <sz val="11"/>
        <color theme="1"/>
        <rFont val="Calibri"/>
        <family val="2"/>
        <scheme val="minor"/>
      </rPr>
      <t>(Kg/Ciclo)</t>
    </r>
  </si>
  <si>
    <r>
      <t xml:space="preserve">Fósforo Requerido x Cultivo </t>
    </r>
    <r>
      <rPr>
        <sz val="11"/>
        <color theme="1"/>
        <rFont val="Calibri"/>
        <family val="2"/>
        <scheme val="minor"/>
      </rPr>
      <t>(Kg/Ciclo)</t>
    </r>
  </si>
  <si>
    <r>
      <t xml:space="preserve">Fósforo a aportar al suelo </t>
    </r>
    <r>
      <rPr>
        <sz val="11"/>
        <color theme="1"/>
        <rFont val="Calibri"/>
        <family val="2"/>
        <scheme val="minor"/>
      </rPr>
      <t>(Kg/Ciclo)</t>
    </r>
  </si>
  <si>
    <r>
      <t xml:space="preserve">Potasio Requerido x Cultivo </t>
    </r>
    <r>
      <rPr>
        <sz val="11"/>
        <color theme="1"/>
        <rFont val="Calibri"/>
        <family val="2"/>
        <scheme val="minor"/>
      </rPr>
      <t>(Kg/Ciclo)</t>
    </r>
  </si>
  <si>
    <r>
      <t xml:space="preserve">Potasio a aportar al suelo </t>
    </r>
    <r>
      <rPr>
        <sz val="11"/>
        <color theme="1"/>
        <rFont val="Calibri"/>
        <family val="2"/>
        <scheme val="minor"/>
      </rPr>
      <t>(Kg/Ciclo)</t>
    </r>
  </si>
  <si>
    <r>
      <t xml:space="preserve">P2O5 Aplicación x Fuentes </t>
    </r>
    <r>
      <rPr>
        <sz val="11"/>
        <color theme="1"/>
        <rFont val="Calibri"/>
        <family val="2"/>
        <scheme val="minor"/>
      </rPr>
      <t>(Kg/Ciclo)</t>
    </r>
  </si>
  <si>
    <r>
      <t xml:space="preserve">N    Aplicación x Fuentes </t>
    </r>
    <r>
      <rPr>
        <sz val="11"/>
        <color theme="1"/>
        <rFont val="Calibri"/>
        <family val="2"/>
        <scheme val="minor"/>
      </rPr>
      <t>(Kg/Ciclo)</t>
    </r>
  </si>
  <si>
    <r>
      <t xml:space="preserve">K2O  Aplicación x Fuentes </t>
    </r>
    <r>
      <rPr>
        <sz val="11"/>
        <color theme="1"/>
        <rFont val="Calibri"/>
        <family val="2"/>
        <scheme val="minor"/>
      </rPr>
      <t>(Kg/ha/Año)</t>
    </r>
  </si>
  <si>
    <r>
      <t xml:space="preserve">K2O  Aplicación x Fuentes </t>
    </r>
    <r>
      <rPr>
        <sz val="11"/>
        <color theme="1"/>
        <rFont val="Calibri"/>
        <family val="2"/>
        <scheme val="minor"/>
      </rPr>
      <t>(Kg/Ciclo)</t>
    </r>
  </si>
  <si>
    <r>
      <t xml:space="preserve">P2O5  Aplicación x Fuentes </t>
    </r>
    <r>
      <rPr>
        <sz val="11"/>
        <color theme="1"/>
        <rFont val="Calibri"/>
        <family val="2"/>
        <scheme val="minor"/>
      </rPr>
      <t>(Kg/Ciclo)</t>
    </r>
  </si>
  <si>
    <r>
      <t xml:space="preserve">N    Aplicación x Fuentes </t>
    </r>
    <r>
      <rPr>
        <sz val="11"/>
        <color theme="1"/>
        <rFont val="Calibri"/>
        <family val="2"/>
        <scheme val="minor"/>
      </rPr>
      <t>(Kg/ha/Año)</t>
    </r>
  </si>
  <si>
    <r>
      <t xml:space="preserve">Nitrogeno Requerido x Cultivo </t>
    </r>
    <r>
      <rPr>
        <sz val="11"/>
        <color theme="1"/>
        <rFont val="Calibri"/>
        <family val="2"/>
        <scheme val="minor"/>
      </rPr>
      <t>(Kg/ha/Año)</t>
    </r>
  </si>
  <si>
    <r>
      <t xml:space="preserve">N      Aplicación x Fuentes </t>
    </r>
    <r>
      <rPr>
        <sz val="11"/>
        <color theme="1"/>
        <rFont val="Calibri"/>
        <family val="2"/>
        <scheme val="minor"/>
      </rPr>
      <t>(Kg/ha)</t>
    </r>
  </si>
  <si>
    <r>
      <t xml:space="preserve">P205 Aplicación x Fuentes </t>
    </r>
    <r>
      <rPr>
        <sz val="11"/>
        <color theme="1"/>
        <rFont val="Calibri"/>
        <family val="2"/>
        <scheme val="minor"/>
      </rPr>
      <t>(Kg/ha)</t>
    </r>
  </si>
  <si>
    <r>
      <t xml:space="preserve">K20  Aplicación x Fuentes </t>
    </r>
    <r>
      <rPr>
        <sz val="11"/>
        <color theme="1"/>
        <rFont val="Calibri"/>
        <family val="2"/>
        <scheme val="minor"/>
      </rPr>
      <t>(Kg/ha)</t>
    </r>
  </si>
  <si>
    <r>
      <t xml:space="preserve">P205 Aplicación x Fuentes </t>
    </r>
    <r>
      <rPr>
        <sz val="11"/>
        <color theme="1"/>
        <rFont val="Calibri"/>
        <family val="2"/>
        <scheme val="minor"/>
      </rPr>
      <t>(Kg/ha/año)</t>
    </r>
  </si>
  <si>
    <r>
      <t xml:space="preserve">N     Aplicación x Fuentes </t>
    </r>
    <r>
      <rPr>
        <sz val="11"/>
        <color theme="1"/>
        <rFont val="Calibri"/>
        <family val="2"/>
        <scheme val="minor"/>
      </rPr>
      <t>(Kg/Ciclo)</t>
    </r>
  </si>
  <si>
    <t>Dosis de Fósforo (P)</t>
  </si>
  <si>
    <t>Dosis de Nitrogeno (N)</t>
  </si>
  <si>
    <t>Dosis de Potasio (K)</t>
  </si>
  <si>
    <t>Edad          (2-3 Años)</t>
  </si>
  <si>
    <t>Edad          (4-5 Años)</t>
  </si>
  <si>
    <t>Edad                       (7 -8 Años)</t>
  </si>
  <si>
    <t>Edad                       (5-6 Años)</t>
  </si>
  <si>
    <t>Edad                       (6-7 Años)</t>
  </si>
  <si>
    <t>Edad                       (8-9 Años)</t>
  </si>
  <si>
    <r>
      <t xml:space="preserve">Distribución de la fertilización </t>
    </r>
    <r>
      <rPr>
        <sz val="11"/>
        <color theme="1"/>
        <rFont val="Calibri"/>
        <family val="2"/>
        <scheme val="minor"/>
      </rPr>
      <t>(Kg/plantas/Año); (Densidad de siembra de 625 árboles/ha)</t>
    </r>
  </si>
  <si>
    <r>
      <t xml:space="preserve">Distribución de la fertilización </t>
    </r>
    <r>
      <rPr>
        <sz val="11"/>
        <color theme="1"/>
        <rFont val="Calibri"/>
        <family val="2"/>
        <scheme val="minor"/>
      </rPr>
      <t>(Kg/plantas/Año); (Densidad de siembra de 116 Palmas/ha)</t>
    </r>
  </si>
  <si>
    <r>
      <t xml:space="preserve">Distribución de la fertilización </t>
    </r>
    <r>
      <rPr>
        <sz val="11"/>
        <color theme="1"/>
        <rFont val="Calibri"/>
        <family val="2"/>
        <scheme val="minor"/>
      </rPr>
      <t>(Kg/plantas/Año); (Densidad de siembra de 185 árboles/ha)</t>
    </r>
  </si>
  <si>
    <r>
      <t xml:space="preserve">Distribución de la fertilización </t>
    </r>
    <r>
      <rPr>
        <sz val="11"/>
        <color theme="1"/>
        <rFont val="Calibri"/>
        <family val="2"/>
        <scheme val="minor"/>
      </rPr>
      <t>(Kg/plantas/Año); (Densidad de siembra de 334 árboles/ha) (Fraccionar 4 dosis/año)</t>
    </r>
  </si>
  <si>
    <t>Año 1</t>
  </si>
  <si>
    <t>Año 2</t>
  </si>
  <si>
    <t>Año 3</t>
  </si>
  <si>
    <t>Año 4</t>
  </si>
  <si>
    <t>Año 5</t>
  </si>
  <si>
    <r>
      <t xml:space="preserve">P205 Aplicación x Fuentes </t>
    </r>
    <r>
      <rPr>
        <sz val="11"/>
        <color theme="1"/>
        <rFont val="Calibri"/>
        <family val="2"/>
        <scheme val="minor"/>
      </rPr>
      <t>(Kg/Ciclo)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</si>
</sst>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2" fontId="0" fillId="0" borderId="4" xfId="0" applyNumberFormat="1" applyBorder="1"/>
    <xf numFmtId="2" fontId="0" fillId="0" borderId="1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1" fillId="2" borderId="12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wrapText="1"/>
    </xf>
    <xf numFmtId="0" fontId="1" fillId="6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vertical="center"/>
    </xf>
    <xf numFmtId="0" fontId="1" fillId="9" borderId="13" xfId="0" applyFont="1" applyFill="1" applyBorder="1"/>
    <xf numFmtId="0" fontId="1" fillId="9" borderId="12" xfId="0" applyFont="1" applyFill="1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9" borderId="2" xfId="0" applyFont="1" applyFill="1" applyBorder="1"/>
    <xf numFmtId="0" fontId="0" fillId="0" borderId="13" xfId="0" applyBorder="1" applyAlignment="1">
      <alignment horizontal="center"/>
    </xf>
    <xf numFmtId="0" fontId="0" fillId="4" borderId="19" xfId="0" applyFill="1" applyBorder="1" applyAlignment="1">
      <alignment vertical="center" wrapText="1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3" xfId="0" applyFill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6" borderId="13" xfId="0" applyFill="1" applyBorder="1" applyAlignment="1">
      <alignment vertical="center" wrapText="1"/>
    </xf>
    <xf numFmtId="0" fontId="1" fillId="0" borderId="0" xfId="0" applyFont="1" applyFill="1" applyBorder="1" applyAlignment="1">
      <alignment horizontal="left"/>
    </xf>
    <xf numFmtId="1" fontId="0" fillId="0" borderId="17" xfId="0" applyNumberFormat="1" applyBorder="1" applyAlignment="1">
      <alignment horizontal="center" vertical="center"/>
    </xf>
    <xf numFmtId="0" fontId="0" fillId="0" borderId="18" xfId="0" applyBorder="1"/>
    <xf numFmtId="1" fontId="0" fillId="0" borderId="6" xfId="0" applyNumberFormat="1" applyBorder="1" applyAlignment="1">
      <alignment horizontal="center" vertical="center"/>
    </xf>
    <xf numFmtId="0" fontId="2" fillId="9" borderId="43" xfId="0" applyFont="1" applyFill="1" applyBorder="1" applyAlignment="1">
      <alignment horizontal="center" vertical="center" wrapText="1"/>
    </xf>
    <xf numFmtId="0" fontId="0" fillId="10" borderId="46" xfId="0" applyFill="1" applyBorder="1" applyAlignment="1">
      <alignment wrapText="1"/>
    </xf>
    <xf numFmtId="0" fontId="0" fillId="15" borderId="47" xfId="0" applyFill="1" applyBorder="1" applyAlignment="1">
      <alignment wrapText="1"/>
    </xf>
    <xf numFmtId="0" fontId="0" fillId="17" borderId="47" xfId="0" applyFill="1" applyBorder="1" applyAlignment="1">
      <alignment wrapText="1"/>
    </xf>
    <xf numFmtId="0" fontId="0" fillId="7" borderId="48" xfId="0" applyFill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/>
    <xf numFmtId="0" fontId="2" fillId="9" borderId="40" xfId="0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wrapText="1"/>
    </xf>
    <xf numFmtId="0" fontId="0" fillId="15" borderId="22" xfId="0" applyFill="1" applyBorder="1" applyAlignment="1">
      <alignment wrapText="1"/>
    </xf>
    <xf numFmtId="0" fontId="0" fillId="17" borderId="22" xfId="0" applyFill="1" applyBorder="1" applyAlignment="1">
      <alignment wrapText="1"/>
    </xf>
    <xf numFmtId="0" fontId="0" fillId="5" borderId="22" xfId="0" applyFill="1" applyBorder="1" applyAlignment="1">
      <alignment wrapText="1"/>
    </xf>
    <xf numFmtId="0" fontId="0" fillId="12" borderId="23" xfId="0" applyFill="1" applyBorder="1" applyAlignment="1">
      <alignment wrapText="1"/>
    </xf>
    <xf numFmtId="164" fontId="1" fillId="18" borderId="12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2" fontId="0" fillId="0" borderId="17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16" xfId="0" applyNumberFormat="1" applyBorder="1"/>
    <xf numFmtId="164" fontId="1" fillId="20" borderId="33" xfId="0" applyNumberFormat="1" applyFont="1" applyFill="1" applyBorder="1" applyAlignment="1">
      <alignment horizontal="center" vertical="center"/>
    </xf>
    <xf numFmtId="164" fontId="1" fillId="20" borderId="12" xfId="0" applyNumberFormat="1" applyFont="1" applyFill="1" applyBorder="1" applyAlignment="1">
      <alignment horizontal="center" vertical="center"/>
    </xf>
    <xf numFmtId="2" fontId="0" fillId="0" borderId="3" xfId="0" applyNumberFormat="1" applyBorder="1"/>
    <xf numFmtId="2" fontId="0" fillId="0" borderId="5" xfId="0" applyNumberFormat="1" applyBorder="1"/>
    <xf numFmtId="0" fontId="2" fillId="9" borderId="43" xfId="0" applyFont="1" applyFill="1" applyBorder="1" applyAlignment="1">
      <alignment horizontal="right" vertical="center" wrapText="1"/>
    </xf>
    <xf numFmtId="0" fontId="2" fillId="9" borderId="44" xfId="0" applyFont="1" applyFill="1" applyBorder="1" applyAlignment="1">
      <alignment horizontal="right" vertical="center" wrapText="1"/>
    </xf>
    <xf numFmtId="0" fontId="2" fillId="9" borderId="45" xfId="0" applyFont="1" applyFill="1" applyBorder="1" applyAlignment="1">
      <alignment horizontal="right" vertical="center"/>
    </xf>
    <xf numFmtId="2" fontId="0" fillId="0" borderId="9" xfId="0" applyNumberFormat="1" applyBorder="1"/>
    <xf numFmtId="0" fontId="2" fillId="9" borderId="40" xfId="0" applyFont="1" applyFill="1" applyBorder="1" applyAlignment="1">
      <alignment horizontal="right" vertical="center" wrapText="1"/>
    </xf>
    <xf numFmtId="0" fontId="2" fillId="9" borderId="11" xfId="0" applyFont="1" applyFill="1" applyBorder="1" applyAlignment="1">
      <alignment horizontal="right" vertical="center" wrapText="1"/>
    </xf>
    <xf numFmtId="0" fontId="2" fillId="9" borderId="11" xfId="0" applyFont="1" applyFill="1" applyBorder="1" applyAlignment="1">
      <alignment horizontal="right" vertical="center"/>
    </xf>
    <xf numFmtId="0" fontId="2" fillId="9" borderId="41" xfId="0" applyFont="1" applyFill="1" applyBorder="1" applyAlignment="1">
      <alignment horizontal="right" vertical="center"/>
    </xf>
    <xf numFmtId="2" fontId="0" fillId="0" borderId="8" xfId="0" applyNumberFormat="1" applyBorder="1"/>
    <xf numFmtId="164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0" fillId="0" borderId="0" xfId="0" applyFill="1" applyBorder="1"/>
    <xf numFmtId="2" fontId="0" fillId="0" borderId="18" xfId="0" applyNumberFormat="1" applyBorder="1"/>
    <xf numFmtId="0" fontId="2" fillId="9" borderId="44" xfId="0" applyFont="1" applyFill="1" applyBorder="1" applyAlignment="1">
      <alignment horizontal="right" vertical="center"/>
    </xf>
    <xf numFmtId="2" fontId="0" fillId="0" borderId="7" xfId="0" applyNumberFormat="1" applyBorder="1"/>
    <xf numFmtId="164" fontId="1" fillId="20" borderId="37" xfId="0" applyNumberFormat="1" applyFont="1" applyFill="1" applyBorder="1" applyAlignment="1">
      <alignment horizontal="center" vertical="center"/>
    </xf>
    <xf numFmtId="164" fontId="1" fillId="20" borderId="13" xfId="0" applyNumberFormat="1" applyFont="1" applyFill="1" applyBorder="1" applyAlignment="1">
      <alignment horizontal="center" vertical="center"/>
    </xf>
    <xf numFmtId="0" fontId="0" fillId="10" borderId="46" xfId="0" applyFill="1" applyBorder="1" applyAlignment="1">
      <alignment horizontal="left" wrapText="1"/>
    </xf>
    <xf numFmtId="0" fontId="0" fillId="15" borderId="47" xfId="0" applyFill="1" applyBorder="1" applyAlignment="1">
      <alignment horizontal="left" wrapText="1"/>
    </xf>
    <xf numFmtId="0" fontId="0" fillId="22" borderId="48" xfId="0" applyFill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9" borderId="2" xfId="0" applyFont="1" applyFill="1" applyBorder="1" applyAlignment="1">
      <alignment horizontal="center" vertical="center" wrapText="1"/>
    </xf>
    <xf numFmtId="2" fontId="0" fillId="0" borderId="14" xfId="0" applyNumberFormat="1" applyBorder="1"/>
    <xf numFmtId="2" fontId="0" fillId="0" borderId="15" xfId="0" applyNumberFormat="1" applyBorder="1"/>
    <xf numFmtId="2" fontId="0" fillId="0" borderId="49" xfId="0" applyNumberFormat="1" applyBorder="1"/>
    <xf numFmtId="0" fontId="2" fillId="9" borderId="34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35" xfId="0" applyBorder="1"/>
    <xf numFmtId="0" fontId="1" fillId="9" borderId="19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2" fontId="1" fillId="21" borderId="24" xfId="0" applyNumberFormat="1" applyFont="1" applyFill="1" applyBorder="1" applyAlignment="1">
      <alignment horizontal="center"/>
    </xf>
    <xf numFmtId="2" fontId="1" fillId="21" borderId="25" xfId="0" applyNumberFormat="1" applyFont="1" applyFill="1" applyBorder="1" applyAlignment="1">
      <alignment horizontal="center"/>
    </xf>
    <xf numFmtId="2" fontId="1" fillId="21" borderId="26" xfId="0" applyNumberFormat="1" applyFont="1" applyFill="1" applyBorder="1" applyAlignment="1">
      <alignment horizontal="center"/>
    </xf>
    <xf numFmtId="0" fontId="1" fillId="9" borderId="42" xfId="0" applyFont="1" applyFill="1" applyBorder="1" applyAlignment="1">
      <alignment horizontal="center" vertical="center" wrapText="1"/>
    </xf>
    <xf numFmtId="1" fontId="1" fillId="19" borderId="21" xfId="0" applyNumberFormat="1" applyFont="1" applyFill="1" applyBorder="1" applyAlignment="1">
      <alignment horizontal="center"/>
    </xf>
    <xf numFmtId="1" fontId="1" fillId="19" borderId="22" xfId="0" applyNumberFormat="1" applyFont="1" applyFill="1" applyBorder="1" applyAlignment="1">
      <alignment horizontal="center"/>
    </xf>
    <xf numFmtId="1" fontId="1" fillId="19" borderId="23" xfId="0" applyNumberFormat="1" applyFont="1" applyFill="1" applyBorder="1" applyAlignment="1">
      <alignment horizontal="center"/>
    </xf>
    <xf numFmtId="0" fontId="0" fillId="5" borderId="50" xfId="0" applyFill="1" applyBorder="1" applyAlignment="1">
      <alignment wrapText="1"/>
    </xf>
    <xf numFmtId="0" fontId="0" fillId="12" borderId="2" xfId="0" applyFill="1" applyBorder="1" applyAlignment="1">
      <alignment wrapText="1"/>
    </xf>
    <xf numFmtId="164" fontId="1" fillId="18" borderId="13" xfId="0" applyNumberFormat="1" applyFont="1" applyFill="1" applyBorder="1" applyAlignment="1">
      <alignment horizontal="center" vertical="center"/>
    </xf>
    <xf numFmtId="164" fontId="1" fillId="18" borderId="20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wrapText="1"/>
    </xf>
    <xf numFmtId="0" fontId="0" fillId="12" borderId="48" xfId="0" applyFill="1" applyBorder="1" applyAlignment="1">
      <alignment wrapText="1"/>
    </xf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2" fillId="9" borderId="51" xfId="0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wrapText="1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1" fillId="2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2" fillId="9" borderId="33" xfId="0" applyFont="1" applyFill="1" applyBorder="1" applyAlignment="1">
      <alignment horizontal="center" vertical="center" wrapText="1"/>
    </xf>
    <xf numFmtId="164" fontId="5" fillId="0" borderId="16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 wrapText="1"/>
    </xf>
    <xf numFmtId="1" fontId="0" fillId="0" borderId="18" xfId="0" applyNumberFormat="1" applyFont="1" applyFill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64" fontId="0" fillId="0" borderId="0" xfId="0" applyNumberFormat="1" applyFill="1" applyBorder="1"/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64" fontId="5" fillId="0" borderId="40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164" fontId="5" fillId="0" borderId="41" xfId="0" applyNumberFormat="1" applyFont="1" applyFill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8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64" fontId="1" fillId="24" borderId="37" xfId="0" applyNumberFormat="1" applyFont="1" applyFill="1" applyBorder="1" applyAlignment="1">
      <alignment horizontal="center" vertical="center"/>
    </xf>
    <xf numFmtId="164" fontId="1" fillId="24" borderId="13" xfId="0" applyNumberFormat="1" applyFont="1" applyFill="1" applyBorder="1" applyAlignment="1">
      <alignment horizontal="center" vertical="center"/>
    </xf>
    <xf numFmtId="164" fontId="1" fillId="5" borderId="37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64" fontId="0" fillId="24" borderId="27" xfId="0" applyNumberFormat="1" applyFill="1" applyBorder="1"/>
    <xf numFmtId="164" fontId="0" fillId="24" borderId="28" xfId="0" applyNumberFormat="1" applyFill="1" applyBorder="1"/>
    <xf numFmtId="164" fontId="0" fillId="24" borderId="29" xfId="0" applyNumberFormat="1" applyFill="1" applyBorder="1"/>
    <xf numFmtId="164" fontId="0" fillId="24" borderId="21" xfId="0" applyNumberFormat="1" applyFill="1" applyBorder="1"/>
    <xf numFmtId="164" fontId="0" fillId="24" borderId="22" xfId="0" applyNumberFormat="1" applyFill="1" applyBorder="1"/>
    <xf numFmtId="164" fontId="0" fillId="24" borderId="23" xfId="0" applyNumberFormat="1" applyFill="1" applyBorder="1"/>
    <xf numFmtId="164" fontId="0" fillId="24" borderId="27" xfId="0" applyNumberFormat="1" applyFill="1" applyBorder="1" applyAlignment="1">
      <alignment horizontal="right"/>
    </xf>
    <xf numFmtId="2" fontId="0" fillId="24" borderId="27" xfId="0" applyNumberFormat="1" applyFill="1" applyBorder="1" applyAlignment="1">
      <alignment horizontal="right"/>
    </xf>
    <xf numFmtId="2" fontId="0" fillId="24" borderId="28" xfId="0" applyNumberFormat="1" applyFill="1" applyBorder="1"/>
    <xf numFmtId="2" fontId="0" fillId="24" borderId="29" xfId="0" applyNumberFormat="1" applyFill="1" applyBorder="1"/>
    <xf numFmtId="0" fontId="0" fillId="0" borderId="53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3" fontId="0" fillId="15" borderId="2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14" borderId="35" xfId="0" applyFont="1" applyFill="1" applyBorder="1" applyAlignment="1">
      <alignment horizontal="center" vertical="center"/>
    </xf>
    <xf numFmtId="0" fontId="1" fillId="17" borderId="34" xfId="0" applyFont="1" applyFill="1" applyBorder="1" applyAlignment="1">
      <alignment horizontal="center" vertical="center" wrapText="1"/>
    </xf>
    <xf numFmtId="0" fontId="1" fillId="17" borderId="4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1" fillId="23" borderId="33" xfId="0" applyFont="1" applyFill="1" applyBorder="1" applyAlignment="1">
      <alignment horizontal="center" wrapText="1"/>
    </xf>
    <xf numFmtId="0" fontId="1" fillId="23" borderId="37" xfId="0" applyFont="1" applyFill="1" applyBorder="1" applyAlignment="1">
      <alignment horizontal="center" wrapText="1"/>
    </xf>
    <xf numFmtId="0" fontId="1" fillId="23" borderId="38" xfId="0" applyFont="1" applyFill="1" applyBorder="1" applyAlignment="1">
      <alignment horizontal="center" wrapText="1"/>
    </xf>
    <xf numFmtId="0" fontId="1" fillId="24" borderId="34" xfId="0" applyFont="1" applyFill="1" applyBorder="1" applyAlignment="1">
      <alignment horizontal="center" vertical="center"/>
    </xf>
    <xf numFmtId="0" fontId="1" fillId="24" borderId="42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 wrapText="1"/>
    </xf>
    <xf numFmtId="0" fontId="1" fillId="24" borderId="42" xfId="0" applyFont="1" applyFill="1" applyBorder="1" applyAlignment="1">
      <alignment horizontal="center" vertical="center" wrapText="1"/>
    </xf>
    <xf numFmtId="0" fontId="1" fillId="24" borderId="37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21" borderId="34" xfId="0" applyFont="1" applyFill="1" applyBorder="1" applyAlignment="1">
      <alignment horizontal="center" vertical="center" wrapText="1"/>
    </xf>
    <xf numFmtId="0" fontId="1" fillId="21" borderId="19" xfId="0" applyFont="1" applyFill="1" applyBorder="1" applyAlignment="1">
      <alignment horizontal="center" vertical="center" wrapText="1"/>
    </xf>
    <xf numFmtId="0" fontId="1" fillId="12" borderId="34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 wrapText="1"/>
    </xf>
    <xf numFmtId="0" fontId="1" fillId="12" borderId="39" xfId="0" applyFont="1" applyFill="1" applyBorder="1" applyAlignment="1">
      <alignment horizontal="center" vertic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37" xfId="0" applyFont="1" applyFill="1" applyBorder="1" applyAlignment="1">
      <alignment horizontal="center" wrapText="1"/>
    </xf>
    <xf numFmtId="0" fontId="1" fillId="10" borderId="38" xfId="0" applyFont="1" applyFill="1" applyBorder="1" applyAlignment="1">
      <alignment horizontal="center" wrapText="1"/>
    </xf>
    <xf numFmtId="0" fontId="1" fillId="18" borderId="33" xfId="0" applyFont="1" applyFill="1" applyBorder="1" applyAlignment="1">
      <alignment horizontal="center" vertical="center"/>
    </xf>
    <xf numFmtId="0" fontId="1" fillId="18" borderId="36" xfId="0" applyFont="1" applyFill="1" applyBorder="1" applyAlignment="1">
      <alignment horizontal="center" vertical="center"/>
    </xf>
    <xf numFmtId="0" fontId="1" fillId="18" borderId="34" xfId="0" applyFont="1" applyFill="1" applyBorder="1" applyAlignment="1">
      <alignment horizontal="center" vertical="center" wrapText="1"/>
    </xf>
    <xf numFmtId="0" fontId="1" fillId="18" borderId="42" xfId="0" applyFont="1" applyFill="1" applyBorder="1" applyAlignment="1">
      <alignment horizontal="center" vertical="center" wrapText="1"/>
    </xf>
    <xf numFmtId="0" fontId="1" fillId="18" borderId="37" xfId="0" applyFont="1" applyFill="1" applyBorder="1" applyAlignment="1">
      <alignment horizontal="center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0" fontId="3" fillId="15" borderId="35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/>
    </xf>
    <xf numFmtId="0" fontId="1" fillId="20" borderId="34" xfId="0" applyFont="1" applyFill="1" applyBorder="1" applyAlignment="1">
      <alignment horizontal="center" vertical="center"/>
    </xf>
    <xf numFmtId="0" fontId="1" fillId="20" borderId="39" xfId="0" applyFont="1" applyFill="1" applyBorder="1" applyAlignment="1">
      <alignment horizontal="center" vertical="center"/>
    </xf>
    <xf numFmtId="0" fontId="1" fillId="20" borderId="34" xfId="0" applyFont="1" applyFill="1" applyBorder="1" applyAlignment="1">
      <alignment horizontal="center" vertical="center" wrapText="1"/>
    </xf>
    <xf numFmtId="0" fontId="1" fillId="20" borderId="39" xfId="0" applyFont="1" applyFill="1" applyBorder="1" applyAlignment="1">
      <alignment horizontal="center" vertical="center" wrapText="1"/>
    </xf>
    <xf numFmtId="0" fontId="1" fillId="20" borderId="37" xfId="0" applyFont="1" applyFill="1" applyBorder="1" applyAlignment="1">
      <alignment horizontal="center" vertical="center" wrapText="1"/>
    </xf>
    <xf numFmtId="0" fontId="1" fillId="20" borderId="20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 wrapText="1"/>
    </xf>
    <xf numFmtId="0" fontId="1" fillId="10" borderId="35" xfId="0" applyFont="1" applyFill="1" applyBorder="1" applyAlignment="1">
      <alignment horizontal="center" wrapText="1"/>
    </xf>
    <xf numFmtId="0" fontId="3" fillId="16" borderId="12" xfId="0" applyFont="1" applyFill="1" applyBorder="1" applyAlignment="1">
      <alignment horizontal="center"/>
    </xf>
    <xf numFmtId="0" fontId="3" fillId="16" borderId="13" xfId="0" applyFont="1" applyFill="1" applyBorder="1" applyAlignment="1">
      <alignment horizontal="center"/>
    </xf>
    <xf numFmtId="0" fontId="3" fillId="16" borderId="35" xfId="0" applyFont="1" applyFill="1" applyBorder="1" applyAlignment="1">
      <alignment horizontal="center"/>
    </xf>
    <xf numFmtId="0" fontId="3" fillId="19" borderId="12" xfId="0" applyFont="1" applyFill="1" applyBorder="1" applyAlignment="1">
      <alignment horizontal="center"/>
    </xf>
    <xf numFmtId="0" fontId="3" fillId="19" borderId="13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1" fillId="23" borderId="12" xfId="0" applyFont="1" applyFill="1" applyBorder="1" applyAlignment="1">
      <alignment horizontal="center" wrapText="1"/>
    </xf>
    <xf numFmtId="0" fontId="1" fillId="23" borderId="13" xfId="0" applyFont="1" applyFill="1" applyBorder="1" applyAlignment="1">
      <alignment horizontal="center" wrapText="1"/>
    </xf>
    <xf numFmtId="0" fontId="1" fillId="23" borderId="35" xfId="0" applyFont="1" applyFill="1" applyBorder="1" applyAlignment="1">
      <alignment horizontal="center" wrapText="1"/>
    </xf>
    <xf numFmtId="0" fontId="1" fillId="20" borderId="42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25" borderId="34" xfId="0" applyFont="1" applyFill="1" applyBorder="1" applyAlignment="1">
      <alignment horizontal="center" vertical="center" wrapText="1"/>
    </xf>
    <xf numFmtId="0" fontId="1" fillId="25" borderId="19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" fillId="17" borderId="12" xfId="0" applyFont="1" applyFill="1" applyBorder="1" applyAlignment="1">
      <alignment horizontal="center"/>
    </xf>
    <xf numFmtId="0" fontId="3" fillId="17" borderId="13" xfId="0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 wrapText="1"/>
    </xf>
    <xf numFmtId="0" fontId="1" fillId="18" borderId="22" xfId="0" applyFont="1" applyFill="1" applyBorder="1" applyAlignment="1">
      <alignment horizontal="center" vertical="center" wrapText="1"/>
    </xf>
    <xf numFmtId="0" fontId="1" fillId="18" borderId="23" xfId="0" applyFont="1" applyFill="1" applyBorder="1" applyAlignment="1">
      <alignment horizontal="center" vertical="center" wrapText="1"/>
    </xf>
    <xf numFmtId="0" fontId="1" fillId="20" borderId="24" xfId="0" applyFont="1" applyFill="1" applyBorder="1" applyAlignment="1">
      <alignment horizontal="center" vertical="center" wrapText="1"/>
    </xf>
    <xf numFmtId="0" fontId="1" fillId="20" borderId="25" xfId="0" applyFont="1" applyFill="1" applyBorder="1" applyAlignment="1">
      <alignment horizontal="center" vertical="center" wrapText="1"/>
    </xf>
    <xf numFmtId="0" fontId="1" fillId="20" borderId="55" xfId="0" applyFont="1" applyFill="1" applyBorder="1" applyAlignment="1">
      <alignment horizontal="center" vertical="center" wrapText="1"/>
    </xf>
    <xf numFmtId="0" fontId="1" fillId="20" borderId="21" xfId="0" applyFont="1" applyFill="1" applyBorder="1" applyAlignment="1">
      <alignment horizontal="center" vertical="center" wrapText="1"/>
    </xf>
    <xf numFmtId="0" fontId="1" fillId="20" borderId="22" xfId="0" applyFont="1" applyFill="1" applyBorder="1" applyAlignment="1">
      <alignment horizontal="center" vertical="center" wrapText="1"/>
    </xf>
    <xf numFmtId="0" fontId="1" fillId="20" borderId="50" xfId="0" applyFont="1" applyFill="1" applyBorder="1" applyAlignment="1">
      <alignment horizontal="center" vertical="center" wrapText="1"/>
    </xf>
    <xf numFmtId="0" fontId="1" fillId="21" borderId="27" xfId="0" applyFont="1" applyFill="1" applyBorder="1" applyAlignment="1">
      <alignment horizontal="center" vertical="center" wrapText="1"/>
    </xf>
    <xf numFmtId="0" fontId="1" fillId="21" borderId="28" xfId="0" applyFont="1" applyFill="1" applyBorder="1" applyAlignment="1">
      <alignment horizontal="center" vertical="center" wrapText="1"/>
    </xf>
    <xf numFmtId="0" fontId="1" fillId="21" borderId="29" xfId="0" applyFont="1" applyFill="1" applyBorder="1" applyAlignment="1">
      <alignment horizontal="center" vertical="center" wrapText="1"/>
    </xf>
    <xf numFmtId="0" fontId="1" fillId="24" borderId="12" xfId="0" applyFont="1" applyFill="1" applyBorder="1" applyAlignment="1">
      <alignment horizontal="center" vertical="center" wrapText="1"/>
    </xf>
    <xf numFmtId="0" fontId="1" fillId="24" borderId="13" xfId="0" applyFont="1" applyFill="1" applyBorder="1" applyAlignment="1">
      <alignment horizontal="center" vertical="center" wrapText="1"/>
    </xf>
    <xf numFmtId="0" fontId="1" fillId="24" borderId="3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17" borderId="21" xfId="0" applyFont="1" applyFill="1" applyBorder="1" applyAlignment="1">
      <alignment horizontal="center" vertical="center" wrapText="1"/>
    </xf>
    <xf numFmtId="0" fontId="1" fillId="17" borderId="22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39" xfId="0" applyFont="1" applyFill="1" applyBorder="1" applyAlignment="1">
      <alignment horizontal="center" vertical="center" wrapText="1"/>
    </xf>
    <xf numFmtId="0" fontId="1" fillId="20" borderId="46" xfId="0" applyFont="1" applyFill="1" applyBorder="1" applyAlignment="1">
      <alignment horizontal="center" vertical="center"/>
    </xf>
    <xf numFmtId="0" fontId="1" fillId="20" borderId="47" xfId="0" applyFont="1" applyFill="1" applyBorder="1" applyAlignment="1">
      <alignment horizontal="center" vertical="center"/>
    </xf>
    <xf numFmtId="0" fontId="1" fillId="20" borderId="54" xfId="0" applyFont="1" applyFill="1" applyBorder="1" applyAlignment="1">
      <alignment horizontal="center" vertical="center"/>
    </xf>
    <xf numFmtId="0" fontId="1" fillId="24" borderId="39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 wrapText="1"/>
    </xf>
    <xf numFmtId="0" fontId="1" fillId="8" borderId="39" xfId="0" applyFont="1" applyFill="1" applyBorder="1" applyAlignment="1">
      <alignment horizontal="center" vertical="center" wrapText="1"/>
    </xf>
    <xf numFmtId="0" fontId="3" fillId="26" borderId="12" xfId="0" applyFont="1" applyFill="1" applyBorder="1" applyAlignment="1">
      <alignment horizontal="center"/>
    </xf>
    <xf numFmtId="0" fontId="3" fillId="26" borderId="13" xfId="0" applyFont="1" applyFill="1" applyBorder="1" applyAlignment="1">
      <alignment horizontal="center"/>
    </xf>
    <xf numFmtId="0" fontId="3" fillId="26" borderId="35" xfId="0" applyFont="1" applyFill="1" applyBorder="1" applyAlignment="1">
      <alignment horizontal="center"/>
    </xf>
    <xf numFmtId="0" fontId="3" fillId="27" borderId="12" xfId="0" applyFont="1" applyFill="1" applyBorder="1" applyAlignment="1">
      <alignment horizontal="center"/>
    </xf>
    <xf numFmtId="0" fontId="3" fillId="27" borderId="13" xfId="0" applyFont="1" applyFill="1" applyBorder="1" applyAlignment="1">
      <alignment horizontal="center"/>
    </xf>
    <xf numFmtId="0" fontId="3" fillId="27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workbookViewId="0">
      <selection activeCell="C9" sqref="C9"/>
    </sheetView>
  </sheetViews>
  <sheetFormatPr baseColWidth="10" defaultRowHeight="15" x14ac:dyDescent="0.25"/>
  <cols>
    <col min="1" max="1" width="4.28515625" customWidth="1"/>
    <col min="2" max="3" width="14.42578125" customWidth="1"/>
    <col min="4" max="4" width="15.7109375" bestFit="1" customWidth="1"/>
    <col min="5" max="5" width="14" customWidth="1"/>
    <col min="6" max="6" width="16.28515625" customWidth="1"/>
    <col min="7" max="7" width="13.5703125" customWidth="1"/>
    <col min="8" max="8" width="20.5703125" bestFit="1" customWidth="1"/>
    <col min="9" max="9" width="12.28515625" customWidth="1"/>
  </cols>
  <sheetData>
    <row r="1" spans="1:11" ht="18.75" x14ac:dyDescent="0.3">
      <c r="B1" s="185" t="s">
        <v>0</v>
      </c>
      <c r="C1" s="186"/>
    </row>
    <row r="2" spans="1:11" ht="18.75" x14ac:dyDescent="0.3">
      <c r="B2" s="185" t="s">
        <v>1</v>
      </c>
      <c r="C2" s="186"/>
    </row>
    <row r="4" spans="1:11" ht="15.75" thickBot="1" x14ac:dyDescent="0.3"/>
    <row r="5" spans="1:11" ht="19.5" thickBot="1" x14ac:dyDescent="0.35">
      <c r="A5" s="49" t="s">
        <v>58</v>
      </c>
      <c r="B5" s="210" t="s">
        <v>2</v>
      </c>
      <c r="C5" s="211"/>
      <c r="D5" s="211"/>
      <c r="E5" s="211"/>
      <c r="F5" s="211"/>
      <c r="G5" s="211"/>
      <c r="H5" s="211"/>
      <c r="I5" s="211"/>
      <c r="J5" s="211"/>
      <c r="K5" s="212"/>
    </row>
    <row r="6" spans="1:11" ht="15.75" thickBot="1" x14ac:dyDescent="0.3">
      <c r="B6" s="115"/>
      <c r="C6" s="116"/>
      <c r="D6" s="116"/>
      <c r="E6" s="116"/>
      <c r="F6" s="116"/>
      <c r="G6" s="116"/>
      <c r="H6" s="116"/>
      <c r="I6" s="116"/>
      <c r="J6" s="116"/>
      <c r="K6" s="117"/>
    </row>
    <row r="7" spans="1:11" ht="21.75" customHeight="1" thickBot="1" x14ac:dyDescent="0.3">
      <c r="B7" s="20" t="s">
        <v>32</v>
      </c>
      <c r="C7" s="15">
        <v>1</v>
      </c>
      <c r="D7" s="21" t="s">
        <v>33</v>
      </c>
      <c r="E7" s="15">
        <v>0.1</v>
      </c>
      <c r="F7" s="25" t="s">
        <v>34</v>
      </c>
      <c r="G7" s="26">
        <v>10000</v>
      </c>
      <c r="H7" s="25" t="s">
        <v>35</v>
      </c>
      <c r="I7" s="9">
        <f>E7*G7</f>
        <v>1000</v>
      </c>
      <c r="J7" s="22" t="s">
        <v>36</v>
      </c>
      <c r="K7" s="9">
        <f>C7*I7*1000</f>
        <v>1000000</v>
      </c>
    </row>
    <row r="8" spans="1:11" ht="30.75" thickBot="1" x14ac:dyDescent="0.3">
      <c r="B8" s="19" t="s">
        <v>31</v>
      </c>
      <c r="C8" s="9">
        <v>1</v>
      </c>
      <c r="D8" s="32" t="s">
        <v>3</v>
      </c>
      <c r="E8" s="9">
        <f>(K7*C8)/100</f>
        <v>10000</v>
      </c>
      <c r="F8" s="33" t="s">
        <v>4</v>
      </c>
      <c r="G8" s="9">
        <f>E8*5/100</f>
        <v>500</v>
      </c>
      <c r="H8" s="33" t="s">
        <v>5</v>
      </c>
      <c r="I8" s="9">
        <f>(G8*2)/100</f>
        <v>10</v>
      </c>
      <c r="J8" s="8"/>
      <c r="K8" s="8"/>
    </row>
    <row r="9" spans="1:11" ht="30.75" thickBot="1" x14ac:dyDescent="0.3">
      <c r="B9" s="16" t="s">
        <v>38</v>
      </c>
      <c r="C9" s="209"/>
      <c r="D9" s="28" t="s">
        <v>41</v>
      </c>
      <c r="E9" s="9">
        <f>(C9*K7)/1000000</f>
        <v>0</v>
      </c>
      <c r="F9" s="29" t="s">
        <v>4</v>
      </c>
      <c r="G9" s="9">
        <f>E9</f>
        <v>0</v>
      </c>
      <c r="H9" s="14"/>
      <c r="I9" s="13"/>
      <c r="J9" s="8"/>
      <c r="K9" s="8"/>
    </row>
    <row r="10" spans="1:11" ht="30.75" thickBot="1" x14ac:dyDescent="0.3">
      <c r="B10" s="17" t="s">
        <v>40</v>
      </c>
      <c r="C10" s="208"/>
      <c r="D10" s="31" t="s">
        <v>42</v>
      </c>
      <c r="E10" s="9">
        <f>(C10*K7)/1000000</f>
        <v>0</v>
      </c>
      <c r="F10" s="30" t="s">
        <v>43</v>
      </c>
      <c r="G10" s="54">
        <f>E10*2.293</f>
        <v>0</v>
      </c>
      <c r="H10" s="8"/>
      <c r="I10" s="8"/>
      <c r="J10" s="8"/>
      <c r="K10" s="8"/>
    </row>
    <row r="11" spans="1:11" ht="30.75" thickBot="1" x14ac:dyDescent="0.3">
      <c r="B11" s="27" t="s">
        <v>39</v>
      </c>
      <c r="C11" s="208"/>
      <c r="D11" s="55" t="s">
        <v>6</v>
      </c>
      <c r="E11" s="9">
        <f>(C11*K7)/1000000</f>
        <v>0</v>
      </c>
      <c r="F11" s="56" t="s">
        <v>7</v>
      </c>
      <c r="G11" s="54">
        <f>E11*1.205</f>
        <v>0</v>
      </c>
      <c r="H11" s="8"/>
      <c r="I11" s="8"/>
      <c r="J11" s="8"/>
      <c r="K11" s="8"/>
    </row>
    <row r="12" spans="1:11" ht="30.75" thickBot="1" x14ac:dyDescent="0.3">
      <c r="B12" s="18" t="s">
        <v>8</v>
      </c>
      <c r="C12" s="208"/>
      <c r="D12" s="57" t="s">
        <v>20</v>
      </c>
      <c r="E12" s="208"/>
      <c r="F12" s="8"/>
      <c r="G12" s="8"/>
      <c r="H12" s="8"/>
      <c r="I12" s="8"/>
      <c r="J12" s="8"/>
      <c r="K12" s="8"/>
    </row>
    <row r="13" spans="1:11" ht="15.75" thickBot="1" x14ac:dyDescent="0.3">
      <c r="B13" s="12"/>
      <c r="C13" s="13"/>
      <c r="D13" s="14"/>
      <c r="E13" s="13"/>
      <c r="F13" s="8"/>
      <c r="G13" s="8"/>
      <c r="H13" s="8"/>
      <c r="I13" s="8"/>
      <c r="J13" s="8"/>
      <c r="K13" s="8"/>
    </row>
    <row r="14" spans="1:11" ht="19.5" thickBot="1" x14ac:dyDescent="0.3">
      <c r="A14" s="50" t="s">
        <v>59</v>
      </c>
      <c r="B14" s="213" t="s">
        <v>81</v>
      </c>
      <c r="C14" s="214"/>
      <c r="D14" s="214"/>
      <c r="E14" s="214"/>
      <c r="F14" s="215"/>
      <c r="G14" s="34"/>
      <c r="H14" s="8"/>
      <c r="I14" s="8"/>
      <c r="J14" s="8"/>
      <c r="K14" s="8"/>
    </row>
    <row r="15" spans="1:11" ht="15.75" thickBot="1" x14ac:dyDescent="0.3">
      <c r="B15" s="115"/>
      <c r="C15" s="116"/>
      <c r="D15" s="116"/>
      <c r="E15" s="116"/>
      <c r="F15" s="117"/>
    </row>
    <row r="16" spans="1:11" ht="45.75" thickBot="1" x14ac:dyDescent="0.3">
      <c r="B16" s="118" t="s">
        <v>30</v>
      </c>
      <c r="C16" s="119" t="s">
        <v>18</v>
      </c>
      <c r="D16" s="120" t="s">
        <v>19</v>
      </c>
      <c r="E16" s="119" t="s">
        <v>37</v>
      </c>
      <c r="F16" s="124" t="s">
        <v>82</v>
      </c>
    </row>
    <row r="17" spans="2:10" x14ac:dyDescent="0.25">
      <c r="B17" s="38" t="s">
        <v>15</v>
      </c>
      <c r="C17" s="41">
        <f>100/100</f>
        <v>1</v>
      </c>
      <c r="D17" s="44" t="s">
        <v>21</v>
      </c>
      <c r="E17" s="121">
        <f>(E12*10)/C17</f>
        <v>0</v>
      </c>
      <c r="F17" s="125">
        <f>(E17*1000)/50</f>
        <v>0</v>
      </c>
    </row>
    <row r="18" spans="2:10" x14ac:dyDescent="0.25">
      <c r="B18" s="39" t="s">
        <v>9</v>
      </c>
      <c r="C18" s="42">
        <f>109/100</f>
        <v>1.0900000000000001</v>
      </c>
      <c r="D18" s="45" t="s">
        <v>22</v>
      </c>
      <c r="E18" s="122">
        <f>(E12*10)/C18</f>
        <v>0</v>
      </c>
      <c r="F18" s="126">
        <f t="shared" ref="F18:F25" si="0">(E18*1000)/50</f>
        <v>0</v>
      </c>
    </row>
    <row r="19" spans="2:10" x14ac:dyDescent="0.25">
      <c r="B19" s="39" t="s">
        <v>12</v>
      </c>
      <c r="C19" s="42">
        <f>179/100</f>
        <v>1.79</v>
      </c>
      <c r="D19" s="46" t="s">
        <v>23</v>
      </c>
      <c r="E19" s="122">
        <f>(E12*10)/C19</f>
        <v>0</v>
      </c>
      <c r="F19" s="126">
        <f t="shared" si="0"/>
        <v>0</v>
      </c>
    </row>
    <row r="20" spans="2:10" x14ac:dyDescent="0.25">
      <c r="B20" s="39" t="s">
        <v>11</v>
      </c>
      <c r="C20" s="42">
        <f>138/100</f>
        <v>1.38</v>
      </c>
      <c r="D20" s="45" t="s">
        <v>24</v>
      </c>
      <c r="E20" s="122">
        <f>(E12*10)/C20</f>
        <v>0</v>
      </c>
      <c r="F20" s="126">
        <f t="shared" si="0"/>
        <v>0</v>
      </c>
    </row>
    <row r="21" spans="2:10" x14ac:dyDescent="0.25">
      <c r="B21" s="39" t="s">
        <v>10</v>
      </c>
      <c r="C21" s="42">
        <f>119/100</f>
        <v>1.19</v>
      </c>
      <c r="D21" s="46" t="s">
        <v>25</v>
      </c>
      <c r="E21" s="122">
        <f>(E12*10)/C21</f>
        <v>0</v>
      </c>
      <c r="F21" s="126">
        <f t="shared" si="0"/>
        <v>0</v>
      </c>
    </row>
    <row r="22" spans="2:10" x14ac:dyDescent="0.25">
      <c r="B22" s="39" t="s">
        <v>13</v>
      </c>
      <c r="C22" s="42">
        <f>248/100</f>
        <v>2.48</v>
      </c>
      <c r="D22" s="45" t="s">
        <v>26</v>
      </c>
      <c r="E22" s="122">
        <f>(E12*10)/C22</f>
        <v>0</v>
      </c>
      <c r="F22" s="126">
        <f t="shared" si="0"/>
        <v>0</v>
      </c>
      <c r="G22" s="8"/>
      <c r="H22" s="35"/>
      <c r="I22" s="36"/>
      <c r="J22" s="37"/>
    </row>
    <row r="23" spans="2:10" x14ac:dyDescent="0.25">
      <c r="B23" s="39" t="s">
        <v>14</v>
      </c>
      <c r="C23" s="42">
        <f>172/100</f>
        <v>1.72</v>
      </c>
      <c r="D23" s="46" t="s">
        <v>27</v>
      </c>
      <c r="E23" s="122">
        <f>(E12*10)/C23</f>
        <v>0</v>
      </c>
      <c r="F23" s="126">
        <f t="shared" si="0"/>
        <v>0</v>
      </c>
      <c r="G23" s="8"/>
      <c r="H23" s="35"/>
      <c r="I23" s="35"/>
      <c r="J23" s="37"/>
    </row>
    <row r="24" spans="2:10" x14ac:dyDescent="0.25">
      <c r="B24" s="39" t="s">
        <v>16</v>
      </c>
      <c r="C24" s="42">
        <f>86/100</f>
        <v>0.86</v>
      </c>
      <c r="D24" s="45" t="s">
        <v>28</v>
      </c>
      <c r="E24" s="122">
        <f>(E12*10)/C24</f>
        <v>0</v>
      </c>
      <c r="F24" s="126">
        <f t="shared" si="0"/>
        <v>0</v>
      </c>
      <c r="G24" s="8"/>
      <c r="H24" s="35"/>
      <c r="I24" s="36"/>
      <c r="J24" s="37"/>
    </row>
    <row r="25" spans="2:10" ht="15.75" thickBot="1" x14ac:dyDescent="0.3">
      <c r="B25" s="40" t="s">
        <v>17</v>
      </c>
      <c r="C25" s="43">
        <f>100/100</f>
        <v>1</v>
      </c>
      <c r="D25" s="47" t="s">
        <v>29</v>
      </c>
      <c r="E25" s="123">
        <f>(E12*10)/C25</f>
        <v>0</v>
      </c>
      <c r="F25" s="127">
        <f t="shared" si="0"/>
        <v>0</v>
      </c>
      <c r="G25" s="8"/>
      <c r="H25" s="35"/>
      <c r="I25" s="35"/>
      <c r="J25" s="37"/>
    </row>
    <row r="26" spans="2:10" x14ac:dyDescent="0.25">
      <c r="G26" s="8"/>
      <c r="H26" s="8"/>
      <c r="I26" s="8"/>
      <c r="J26" s="8"/>
    </row>
  </sheetData>
  <mergeCells count="2">
    <mergeCell ref="B5:K5"/>
    <mergeCell ref="B14:F14"/>
  </mergeCells>
  <dataValidations count="6">
    <dataValidation type="list" allowBlank="1" showInputMessage="1" showErrorMessage="1" sqref="C7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"0,0","1,0","1,1","1,2","1,3","1,4","1,5","1,6"</x12ac:list>
        </mc:Choice>
        <mc:Fallback>
          <formula1>"0,0,1,0,1,1,1,2,1,3,1,4,1,5,1,6"</formula1>
        </mc:Fallback>
      </mc:AlternateContent>
    </dataValidation>
    <dataValidation type="list" allowBlank="1" showInputMessage="1" showErrorMessage="1" sqref="E7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"0,0","0,1","0,2","0,3","0,4","0,5"</x12ac:list>
        </mc:Choice>
        <mc:Fallback>
          <formula1>"0,0,0,1,0,2,0,3,0,4,0,5"</formula1>
        </mc:Fallback>
      </mc:AlternateContent>
    </dataValidation>
    <dataValidation type="list" allowBlank="1" showInputMessage="1" showErrorMessage="1" sqref="G7" xr:uid="{00000000-0002-0000-0000-000002000000}">
      <mc:AlternateContent xmlns:x12ac="http://schemas.microsoft.com/office/spreadsheetml/2011/1/ac" xmlns:mc="http://schemas.openxmlformats.org/markup-compatibility/2006">
        <mc:Choice Requires="x12ac">
          <x12ac:list>"0,0",1250,2500,5000,10000,11250,12500,15000,16250,17500,20000</x12ac:list>
        </mc:Choice>
        <mc:Fallback>
          <formula1>"0,0,1250,2500,5000,10000,11250,12500,15000,16250,17500,20000"</formula1>
        </mc:Fallback>
      </mc:AlternateContent>
    </dataValidation>
    <dataValidation type="list" allowBlank="1" showInputMessage="1" showErrorMessage="1" sqref="C13" xr:uid="{00000000-0002-0000-0000-000003000000}">
      <mc:AlternateContent xmlns:x12ac="http://schemas.microsoft.com/office/spreadsheetml/2011/1/ac" xmlns:mc="http://schemas.openxmlformats.org/markup-compatibility/2006">
        <mc:Choice Requires="x12ac">
          <x12ac:list>"3,0","3,1","3,2","3,3","3,4","3,5","3,6","3,7","3,8","3,9","4,0","4,1","4,2","4,3","4,4","4,5","4,6","4,7","4,8","4,9","5,0","5,1","5,2","5,3","5,4","5,5","5,6","5,7","5,8","5,9","6,0","6,1","6,2","6,3","6,4","6,5","6,6","6,7","6,8","6,9"</x12ac:list>
        </mc:Choice>
        <mc:Fallback>
          <formula1>"3,0,3,1,3,2,3,3,3,4,3,5,3,6,3,7,3,8,3,9,4,0,4,1,4,2,4,3,4,4,4,5,4,6,4,7,4,8,4,9,5,0,5,1,5,2,5,3,5,4,5,5,5,6,5,7,5,8,5,9,6,0,6,1,6,2,6,3,6,4,6,5,6,6,6,7,6,8,6,9"</formula1>
        </mc:Fallback>
      </mc:AlternateContent>
    </dataValidation>
    <dataValidation type="list" allowBlank="1" showInputMessage="1" showErrorMessage="1" sqref="E13" xr:uid="{00000000-0002-0000-0000-000004000000}">
      <mc:AlternateContent xmlns:x12ac="http://schemas.microsoft.com/office/spreadsheetml/2011/1/ac" xmlns:mc="http://schemas.openxmlformats.org/markup-compatibility/2006">
        <mc:Choice Requires="x12ac">
          <x12ac:list>"0,1","0,2","0,3","0,4","0,5","0,6","0,7","0,8","0,9","1,0","1,1","1,2","1,3","1,4","1,5","1,6","1,7","1,8","1,9","2,0"</x12ac:list>
        </mc:Choice>
        <mc:Fallback>
          <formula1>"0,1,0,2,0,3,0,4,0,5,0,6,0,7,0,8,0,9,1,0,1,1,1,2,1,3,1,4,1,5,1,6,1,7,1,8,1,9,2,0"</formula1>
        </mc:Fallback>
      </mc:AlternateContent>
    </dataValidation>
    <dataValidation type="list" allowBlank="1" showInputMessage="1" showErrorMessage="1" sqref="C8" xr:uid="{00000000-0002-0000-0000-000006000000}">
      <mc:AlternateContent xmlns:x12ac="http://schemas.microsoft.com/office/spreadsheetml/2011/1/ac" xmlns:mc="http://schemas.openxmlformats.org/markup-compatibility/2006">
        <mc:Choice Requires="x12ac">
          <x12ac:list>"0,0","1,0","1,1","1,2","1,3","1,4:1,5","1,6","1,7","1,8","1,9","2,0","2,1","2,2","2,3","2,4","2,5","2,6","2,7","2,8","2,9",3,0</x12ac:list>
        </mc:Choice>
        <mc:Fallback>
          <formula1>"0,0,1,0,1,1,1,2,1,3,1,4:1,5,1,6,1,7,1,8,1,9,2,0,2,1,2,2,2,3,2,4,2,5,2,6,2,7,2,8,2,9,3,0"</formula1>
        </mc:Fallback>
      </mc:AlternateContent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L27"/>
  <sheetViews>
    <sheetView topLeftCell="A18" workbookViewId="0">
      <selection activeCell="M29" sqref="M29"/>
    </sheetView>
  </sheetViews>
  <sheetFormatPr baseColWidth="10" defaultRowHeight="15" x14ac:dyDescent="0.25"/>
  <cols>
    <col min="1" max="1" width="5.5703125" customWidth="1"/>
    <col min="2" max="2" width="13.7109375" customWidth="1"/>
    <col min="4" max="5" width="12.140625" customWidth="1"/>
    <col min="6" max="6" width="12.28515625" customWidth="1"/>
  </cols>
  <sheetData>
    <row r="1" spans="1:11" ht="15.75" thickBot="1" x14ac:dyDescent="0.3"/>
    <row r="2" spans="1:11" ht="19.5" thickBot="1" x14ac:dyDescent="0.35">
      <c r="A2" s="49" t="s">
        <v>58</v>
      </c>
      <c r="B2" s="271" t="s">
        <v>137</v>
      </c>
      <c r="C2" s="272"/>
      <c r="D2" s="272"/>
      <c r="E2" s="272"/>
      <c r="F2" s="272"/>
      <c r="G2" s="272"/>
      <c r="H2" s="272"/>
      <c r="I2" s="272"/>
      <c r="J2" s="272"/>
      <c r="K2" s="273"/>
    </row>
    <row r="3" spans="1:11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1" ht="15.75" thickBot="1" x14ac:dyDescent="0.3">
      <c r="B4" s="250" t="s">
        <v>30</v>
      </c>
      <c r="C4" s="252" t="s">
        <v>50</v>
      </c>
      <c r="D4" s="252" t="s">
        <v>118</v>
      </c>
      <c r="E4" s="254" t="s">
        <v>119</v>
      </c>
      <c r="F4" s="216" t="s">
        <v>125</v>
      </c>
      <c r="G4" s="280" t="s">
        <v>65</v>
      </c>
      <c r="H4" s="281"/>
      <c r="I4" s="281"/>
      <c r="J4" s="281"/>
      <c r="K4" s="282"/>
    </row>
    <row r="5" spans="1:11" ht="48" customHeight="1" thickBot="1" x14ac:dyDescent="0.3">
      <c r="B5" s="251"/>
      <c r="C5" s="253"/>
      <c r="D5" s="253"/>
      <c r="E5" s="255"/>
      <c r="F5" s="238"/>
      <c r="G5" s="71" t="s">
        <v>149</v>
      </c>
      <c r="H5" s="71" t="s">
        <v>150</v>
      </c>
      <c r="I5" s="71" t="s">
        <v>151</v>
      </c>
      <c r="J5" s="71" t="s">
        <v>152</v>
      </c>
      <c r="K5" s="110" t="s">
        <v>153</v>
      </c>
    </row>
    <row r="6" spans="1:11" ht="30.75" thickBot="1" x14ac:dyDescent="0.3">
      <c r="B6" s="63" t="s">
        <v>49</v>
      </c>
      <c r="C6" s="67">
        <v>21</v>
      </c>
      <c r="D6" s="59">
        <v>460</v>
      </c>
      <c r="E6" s="175">
        <f>D6-General!G9</f>
        <v>460</v>
      </c>
      <c r="F6" s="130">
        <f>E6*100/C6</f>
        <v>2190.4761904761904</v>
      </c>
      <c r="G6" s="137">
        <f>F6*0.2</f>
        <v>438.09523809523807</v>
      </c>
      <c r="H6" s="138">
        <f>F6*0.2</f>
        <v>438.09523809523807</v>
      </c>
      <c r="I6" s="138">
        <f>F6*0.2</f>
        <v>438.09523809523807</v>
      </c>
      <c r="J6" s="138">
        <f>F6*0.2</f>
        <v>438.09523809523807</v>
      </c>
      <c r="K6" s="139">
        <f>F6*0.2</f>
        <v>438.09523809523807</v>
      </c>
    </row>
    <row r="7" spans="1:11" ht="30.75" thickBot="1" x14ac:dyDescent="0.3">
      <c r="B7" s="64" t="s">
        <v>51</v>
      </c>
      <c r="C7" s="68">
        <v>82</v>
      </c>
      <c r="D7" s="53">
        <v>460</v>
      </c>
      <c r="E7" s="176">
        <f>D7-General!G9</f>
        <v>460</v>
      </c>
      <c r="F7" s="130">
        <f>E7*100/C7</f>
        <v>560.97560975609758</v>
      </c>
      <c r="G7" s="134">
        <f>F7*0.2</f>
        <v>112.19512195121952</v>
      </c>
      <c r="H7" s="135">
        <f>F7*0.2</f>
        <v>112.19512195121952</v>
      </c>
      <c r="I7" s="135">
        <f>F7*0.2</f>
        <v>112.19512195121952</v>
      </c>
      <c r="J7" s="135">
        <f>F7*0.2</f>
        <v>112.19512195121952</v>
      </c>
      <c r="K7" s="136">
        <f>F7*0.2</f>
        <v>112.19512195121952</v>
      </c>
    </row>
    <row r="8" spans="1:11" ht="30.75" thickBot="1" x14ac:dyDescent="0.3">
      <c r="B8" s="65" t="s">
        <v>52</v>
      </c>
      <c r="C8" s="68">
        <v>34</v>
      </c>
      <c r="D8" s="53">
        <v>460</v>
      </c>
      <c r="E8" s="176">
        <f>D8-General!G9</f>
        <v>460</v>
      </c>
      <c r="F8" s="130">
        <f>E8*100/C8</f>
        <v>1352.9411764705883</v>
      </c>
      <c r="G8" s="134">
        <f>F8*0.2</f>
        <v>270.58823529411768</v>
      </c>
      <c r="H8" s="135">
        <f>F8*0.2</f>
        <v>270.58823529411768</v>
      </c>
      <c r="I8" s="135">
        <f>F8*0.2</f>
        <v>270.58823529411768</v>
      </c>
      <c r="J8" s="135">
        <f>F8*0.2</f>
        <v>270.58823529411768</v>
      </c>
      <c r="K8" s="136">
        <f>F8*0.2</f>
        <v>270.58823529411768</v>
      </c>
    </row>
    <row r="9" spans="1:11" ht="15.75" thickBot="1" x14ac:dyDescent="0.3">
      <c r="B9" s="66" t="s">
        <v>53</v>
      </c>
      <c r="C9" s="69">
        <v>46</v>
      </c>
      <c r="D9" s="61">
        <v>460</v>
      </c>
      <c r="E9" s="177">
        <f>D9-General!G9</f>
        <v>460</v>
      </c>
      <c r="F9" s="131">
        <f>E9*100/C9</f>
        <v>1000</v>
      </c>
      <c r="G9" s="140">
        <f>F9*0.2</f>
        <v>200</v>
      </c>
      <c r="H9" s="141">
        <f>F9*0.2</f>
        <v>200</v>
      </c>
      <c r="I9" s="141">
        <f>F9*0.2</f>
        <v>200</v>
      </c>
      <c r="J9" s="141">
        <f>F9*0.2</f>
        <v>200</v>
      </c>
      <c r="K9" s="142">
        <f>F9*0.2</f>
        <v>200</v>
      </c>
    </row>
    <row r="10" spans="1:11" ht="15.75" thickBot="1" x14ac:dyDescent="0.3">
      <c r="B10" s="48"/>
      <c r="C10" s="35"/>
      <c r="D10" s="37"/>
    </row>
    <row r="11" spans="1:11" ht="19.5" thickBot="1" x14ac:dyDescent="0.35">
      <c r="A11" s="49" t="s">
        <v>59</v>
      </c>
      <c r="B11" s="274" t="s">
        <v>136</v>
      </c>
      <c r="C11" s="275"/>
      <c r="D11" s="275"/>
      <c r="E11" s="275"/>
      <c r="F11" s="275"/>
      <c r="G11" s="275"/>
      <c r="H11" s="275"/>
      <c r="I11" s="275"/>
      <c r="J11" s="275"/>
      <c r="K11" s="276"/>
    </row>
    <row r="12" spans="1:11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1" ht="15.75" thickBot="1" x14ac:dyDescent="0.3">
      <c r="A13" s="70"/>
      <c r="B13" s="262" t="s">
        <v>30</v>
      </c>
      <c r="C13" s="264" t="s">
        <v>48</v>
      </c>
      <c r="D13" s="264" t="s">
        <v>120</v>
      </c>
      <c r="E13" s="266" t="s">
        <v>121</v>
      </c>
      <c r="F13" s="241" t="s">
        <v>154</v>
      </c>
      <c r="G13" s="280" t="s">
        <v>65</v>
      </c>
      <c r="H13" s="281"/>
      <c r="I13" s="281"/>
      <c r="J13" s="281"/>
      <c r="K13" s="282"/>
    </row>
    <row r="14" spans="1:11" ht="47.25" customHeight="1" thickBot="1" x14ac:dyDescent="0.3">
      <c r="A14" s="70"/>
      <c r="B14" s="263"/>
      <c r="C14" s="283"/>
      <c r="D14" s="283"/>
      <c r="E14" s="284"/>
      <c r="F14" s="242"/>
      <c r="G14" s="62" t="s">
        <v>149</v>
      </c>
      <c r="H14" s="62" t="s">
        <v>150</v>
      </c>
      <c r="I14" s="62" t="s">
        <v>151</v>
      </c>
      <c r="J14" s="62" t="s">
        <v>152</v>
      </c>
      <c r="K14" s="114" t="s">
        <v>153</v>
      </c>
    </row>
    <row r="15" spans="1:11" ht="30.75" thickBot="1" x14ac:dyDescent="0.3">
      <c r="B15" s="63" t="s">
        <v>44</v>
      </c>
      <c r="C15" s="67">
        <v>20</v>
      </c>
      <c r="D15" s="59">
        <v>230</v>
      </c>
      <c r="E15" s="175">
        <f>D15-General!G10</f>
        <v>230</v>
      </c>
      <c r="F15" s="102">
        <f>E15*100/C15</f>
        <v>1150</v>
      </c>
      <c r="G15" s="137">
        <f>F15*0.2</f>
        <v>230</v>
      </c>
      <c r="H15" s="138">
        <f>F15*0.2</f>
        <v>230</v>
      </c>
      <c r="I15" s="138">
        <f>F15*0.2</f>
        <v>230</v>
      </c>
      <c r="J15" s="138">
        <f>F15*0.2</f>
        <v>230</v>
      </c>
      <c r="K15" s="139">
        <f>F15*0.2</f>
        <v>230</v>
      </c>
    </row>
    <row r="16" spans="1:11" ht="30.75" thickBot="1" x14ac:dyDescent="0.3">
      <c r="B16" s="64" t="s">
        <v>45</v>
      </c>
      <c r="C16" s="68">
        <v>46</v>
      </c>
      <c r="D16" s="53">
        <v>230</v>
      </c>
      <c r="E16" s="176">
        <f>D16-General!G10</f>
        <v>230</v>
      </c>
      <c r="F16" s="103">
        <f>E16*100/C16</f>
        <v>500</v>
      </c>
      <c r="G16" s="134">
        <f>F16*0.2</f>
        <v>100</v>
      </c>
      <c r="H16" s="135">
        <f>F16*0.2</f>
        <v>100</v>
      </c>
      <c r="I16" s="135">
        <f>F16*0.2</f>
        <v>100</v>
      </c>
      <c r="J16" s="135">
        <f>F16*0.2</f>
        <v>100</v>
      </c>
      <c r="K16" s="136">
        <f>F16*0.2</f>
        <v>100</v>
      </c>
    </row>
    <row r="17" spans="1:12" ht="45.75" thickBot="1" x14ac:dyDescent="0.3">
      <c r="B17" s="65" t="s">
        <v>46</v>
      </c>
      <c r="C17" s="68">
        <v>30</v>
      </c>
      <c r="D17" s="53">
        <v>230</v>
      </c>
      <c r="E17" s="176">
        <f>D17-General!G10</f>
        <v>230</v>
      </c>
      <c r="F17" s="103">
        <f>E17*100/C17</f>
        <v>766.66666666666663</v>
      </c>
      <c r="G17" s="134">
        <f>F17*0.2</f>
        <v>153.33333333333334</v>
      </c>
      <c r="H17" s="135">
        <f>F17*0.2</f>
        <v>153.33333333333334</v>
      </c>
      <c r="I17" s="135">
        <f>F17*0.2</f>
        <v>153.33333333333334</v>
      </c>
      <c r="J17" s="135">
        <f>F17*0.2</f>
        <v>153.33333333333334</v>
      </c>
      <c r="K17" s="136">
        <f>F17*0.2</f>
        <v>153.33333333333334</v>
      </c>
    </row>
    <row r="18" spans="1:12" ht="45.75" thickBot="1" x14ac:dyDescent="0.3">
      <c r="B18" s="132" t="s">
        <v>46</v>
      </c>
      <c r="C18" s="68">
        <v>52</v>
      </c>
      <c r="D18" s="53">
        <v>230</v>
      </c>
      <c r="E18" s="176">
        <f>D18-General!G10</f>
        <v>230</v>
      </c>
      <c r="F18" s="103">
        <f>E18*100/C18</f>
        <v>442.30769230769232</v>
      </c>
      <c r="G18" s="134">
        <f>F18*0.2</f>
        <v>88.461538461538467</v>
      </c>
      <c r="H18" s="135">
        <f>F18*0.2</f>
        <v>88.461538461538467</v>
      </c>
      <c r="I18" s="135">
        <f>F18*0.2</f>
        <v>88.461538461538467</v>
      </c>
      <c r="J18" s="135">
        <f>F18*0.2</f>
        <v>88.461538461538467</v>
      </c>
      <c r="K18" s="136">
        <f>F18*0.2</f>
        <v>88.461538461538467</v>
      </c>
    </row>
    <row r="19" spans="1:12" ht="45.75" thickBot="1" x14ac:dyDescent="0.3">
      <c r="B19" s="133" t="s">
        <v>47</v>
      </c>
      <c r="C19" s="69">
        <v>46</v>
      </c>
      <c r="D19" s="61">
        <v>230</v>
      </c>
      <c r="E19" s="177">
        <f>D19-General!G10</f>
        <v>230</v>
      </c>
      <c r="F19" s="103">
        <f>E19*100/C19</f>
        <v>500</v>
      </c>
      <c r="G19" s="140">
        <f>F19*0.2</f>
        <v>100</v>
      </c>
      <c r="H19" s="141">
        <f>F19*0.2</f>
        <v>100</v>
      </c>
      <c r="I19" s="141">
        <f>F19*0.2</f>
        <v>100</v>
      </c>
      <c r="J19" s="141">
        <f>F19*0.2</f>
        <v>100</v>
      </c>
      <c r="K19" s="142">
        <f>F19*0.2</f>
        <v>100</v>
      </c>
    </row>
    <row r="20" spans="1:12" ht="15.75" thickBot="1" x14ac:dyDescent="0.3">
      <c r="B20" s="48"/>
      <c r="C20" s="35"/>
      <c r="D20" s="37"/>
    </row>
    <row r="21" spans="1:12" ht="19.5" thickBot="1" x14ac:dyDescent="0.35">
      <c r="A21" s="49" t="s">
        <v>60</v>
      </c>
      <c r="B21" s="277" t="s">
        <v>138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9"/>
    </row>
    <row r="22" spans="1:12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2" ht="15.75" thickBot="1" x14ac:dyDescent="0.3">
      <c r="B23" s="230" t="s">
        <v>30</v>
      </c>
      <c r="C23" s="232" t="s">
        <v>54</v>
      </c>
      <c r="D23" s="232" t="s">
        <v>122</v>
      </c>
      <c r="E23" s="234" t="s">
        <v>123</v>
      </c>
      <c r="F23" s="236" t="s">
        <v>127</v>
      </c>
      <c r="G23" s="268" t="s">
        <v>65</v>
      </c>
      <c r="H23" s="269"/>
      <c r="I23" s="269"/>
      <c r="J23" s="269"/>
      <c r="K23" s="270"/>
      <c r="L23" s="216" t="s">
        <v>71</v>
      </c>
    </row>
    <row r="24" spans="1:12" ht="47.25" customHeight="1" thickBot="1" x14ac:dyDescent="0.3">
      <c r="B24" s="231"/>
      <c r="C24" s="233"/>
      <c r="D24" s="233"/>
      <c r="E24" s="235"/>
      <c r="F24" s="237"/>
      <c r="G24" s="71" t="s">
        <v>149</v>
      </c>
      <c r="H24" s="71" t="s">
        <v>150</v>
      </c>
      <c r="I24" s="71" t="s">
        <v>151</v>
      </c>
      <c r="J24" s="71" t="s">
        <v>152</v>
      </c>
      <c r="K24" s="110" t="s">
        <v>153</v>
      </c>
      <c r="L24" s="217"/>
    </row>
    <row r="25" spans="1:12" ht="30.75" thickBot="1" x14ac:dyDescent="0.3">
      <c r="B25" s="104" t="s">
        <v>55</v>
      </c>
      <c r="C25" s="67">
        <v>20</v>
      </c>
      <c r="D25" s="59">
        <v>480</v>
      </c>
      <c r="E25" s="175">
        <f>D25-General!G11</f>
        <v>480</v>
      </c>
      <c r="F25" s="181">
        <f>E25*100/C25</f>
        <v>2400</v>
      </c>
      <c r="G25" s="137">
        <f>F25*0.2</f>
        <v>480</v>
      </c>
      <c r="H25" s="138">
        <f>F25*0.2</f>
        <v>480</v>
      </c>
      <c r="I25" s="138">
        <f>F25*0.2</f>
        <v>480</v>
      </c>
      <c r="J25" s="138">
        <f>F25*0.2</f>
        <v>480</v>
      </c>
      <c r="K25" s="139">
        <f>F25*0.2</f>
        <v>480</v>
      </c>
      <c r="L25" s="193">
        <f>F25*0.13</f>
        <v>312</v>
      </c>
    </row>
    <row r="26" spans="1:12" ht="30.75" thickBot="1" x14ac:dyDescent="0.3">
      <c r="B26" s="105" t="s">
        <v>56</v>
      </c>
      <c r="C26" s="68">
        <v>46</v>
      </c>
      <c r="D26" s="53">
        <v>480</v>
      </c>
      <c r="E26" s="176">
        <f>D26-General!G11</f>
        <v>480</v>
      </c>
      <c r="F26" s="182">
        <f>E26*100/C26</f>
        <v>1043.4782608695652</v>
      </c>
      <c r="G26" s="134">
        <f>F26*0.2</f>
        <v>208.69565217391306</v>
      </c>
      <c r="H26" s="135">
        <f>F26*0.2</f>
        <v>208.69565217391306</v>
      </c>
      <c r="I26" s="135">
        <f>F26*0.2</f>
        <v>208.69565217391306</v>
      </c>
      <c r="J26" s="135">
        <f>F26*0.2</f>
        <v>208.69565217391306</v>
      </c>
      <c r="K26" s="136">
        <f>F26*0.2</f>
        <v>208.69565217391306</v>
      </c>
      <c r="L26" s="188">
        <f>F26*0</f>
        <v>0</v>
      </c>
    </row>
    <row r="27" spans="1:12" ht="30.75" thickBot="1" x14ac:dyDescent="0.3">
      <c r="B27" s="106" t="s">
        <v>57</v>
      </c>
      <c r="C27" s="69">
        <v>60</v>
      </c>
      <c r="D27" s="61">
        <v>480</v>
      </c>
      <c r="E27" s="177">
        <f>D27-General!G11</f>
        <v>480</v>
      </c>
      <c r="F27" s="182">
        <f>E27*100/C27</f>
        <v>800</v>
      </c>
      <c r="G27" s="140">
        <f>F27*0.2</f>
        <v>160</v>
      </c>
      <c r="H27" s="141">
        <f>F27*0.2</f>
        <v>160</v>
      </c>
      <c r="I27" s="141">
        <f>F27*0.2</f>
        <v>160</v>
      </c>
      <c r="J27" s="141">
        <f>F27*0.2</f>
        <v>160</v>
      </c>
      <c r="K27" s="142">
        <f>F27*0.2</f>
        <v>160</v>
      </c>
      <c r="L27" s="189">
        <f>F27*0</f>
        <v>0</v>
      </c>
    </row>
  </sheetData>
  <mergeCells count="22">
    <mergeCell ref="B2:K2"/>
    <mergeCell ref="B4:B5"/>
    <mergeCell ref="C4:C5"/>
    <mergeCell ref="D4:D5"/>
    <mergeCell ref="E4:E5"/>
    <mergeCell ref="F4:F5"/>
    <mergeCell ref="G4:K4"/>
    <mergeCell ref="B11:K11"/>
    <mergeCell ref="B13:B14"/>
    <mergeCell ref="C13:C14"/>
    <mergeCell ref="D13:D14"/>
    <mergeCell ref="E13:E14"/>
    <mergeCell ref="F13:F14"/>
    <mergeCell ref="G13:K13"/>
    <mergeCell ref="B21:L21"/>
    <mergeCell ref="B23:B24"/>
    <mergeCell ref="C23:C24"/>
    <mergeCell ref="D23:D24"/>
    <mergeCell ref="E23:E24"/>
    <mergeCell ref="F23:F24"/>
    <mergeCell ref="G23:K23"/>
    <mergeCell ref="L23:L24"/>
  </mergeCells>
  <dataValidations count="1">
    <dataValidation type="list" allowBlank="1" showInputMessage="1" showErrorMessage="1" sqref="D6:D9 D15:D19 D25:D27" xr:uid="{00000000-0002-0000-0900-000000000000}">
      <formula1>"50,60,70,80,90,100,110,120,130,140,150,160,170,180,190,200,210,220,230,240,250,260,270,280,290,300,320,340,360,380,400,420,440,460,480,500,520,540,560,580,600"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K27"/>
  <sheetViews>
    <sheetView topLeftCell="A17" workbookViewId="0">
      <selection activeCell="N25" sqref="N25"/>
    </sheetView>
  </sheetViews>
  <sheetFormatPr baseColWidth="10" defaultRowHeight="15" x14ac:dyDescent="0.25"/>
  <cols>
    <col min="1" max="1" width="2.5703125" bestFit="1" customWidth="1"/>
    <col min="2" max="2" width="14.7109375" customWidth="1"/>
    <col min="4" max="4" width="13" customWidth="1"/>
    <col min="5" max="5" width="12.42578125" customWidth="1"/>
  </cols>
  <sheetData>
    <row r="1" spans="1:10" ht="15.75" thickBot="1" x14ac:dyDescent="0.3"/>
    <row r="2" spans="1:10" ht="19.5" thickBot="1" x14ac:dyDescent="0.35">
      <c r="A2" s="49" t="s">
        <v>58</v>
      </c>
      <c r="B2" s="256" t="s">
        <v>137</v>
      </c>
      <c r="C2" s="257"/>
      <c r="D2" s="257"/>
      <c r="E2" s="257"/>
      <c r="F2" s="257"/>
      <c r="G2" s="257"/>
      <c r="H2" s="257"/>
      <c r="I2" s="257"/>
      <c r="J2" s="258"/>
    </row>
    <row r="3" spans="1:10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0" ht="15.75" thickBot="1" x14ac:dyDescent="0.3">
      <c r="B4" s="250" t="s">
        <v>30</v>
      </c>
      <c r="C4" s="252" t="s">
        <v>50</v>
      </c>
      <c r="D4" s="252" t="s">
        <v>61</v>
      </c>
      <c r="E4" s="254" t="s">
        <v>62</v>
      </c>
      <c r="F4" s="216" t="s">
        <v>131</v>
      </c>
      <c r="G4" s="247" t="s">
        <v>65</v>
      </c>
      <c r="H4" s="248"/>
      <c r="I4" s="248"/>
      <c r="J4" s="249"/>
    </row>
    <row r="5" spans="1:10" ht="42" customHeight="1" thickBot="1" x14ac:dyDescent="0.3">
      <c r="B5" s="251"/>
      <c r="C5" s="253"/>
      <c r="D5" s="253"/>
      <c r="E5" s="255"/>
      <c r="F5" s="238"/>
      <c r="G5" s="91" t="s">
        <v>67</v>
      </c>
      <c r="H5" s="92" t="s">
        <v>66</v>
      </c>
      <c r="I5" s="93" t="s">
        <v>68</v>
      </c>
      <c r="J5" s="94" t="s">
        <v>69</v>
      </c>
    </row>
    <row r="6" spans="1:10" ht="30.75" thickBot="1" x14ac:dyDescent="0.3">
      <c r="B6" s="63" t="s">
        <v>49</v>
      </c>
      <c r="C6" s="67">
        <v>21</v>
      </c>
      <c r="D6" s="59">
        <v>70</v>
      </c>
      <c r="E6" s="175">
        <f>D6-General!G9</f>
        <v>70</v>
      </c>
      <c r="F6" s="77">
        <f>E6*100/C6</f>
        <v>333.33333333333331</v>
      </c>
      <c r="G6" s="23">
        <f>F6*0</f>
        <v>0</v>
      </c>
      <c r="H6" s="79">
        <f>F6*0.314</f>
        <v>104.66666666666666</v>
      </c>
      <c r="I6" s="79">
        <f>F6*0.686</f>
        <v>228.66666666666669</v>
      </c>
      <c r="J6" s="60">
        <f>F6*0</f>
        <v>0</v>
      </c>
    </row>
    <row r="7" spans="1:10" ht="30.75" thickBot="1" x14ac:dyDescent="0.3">
      <c r="B7" s="64" t="s">
        <v>51</v>
      </c>
      <c r="C7" s="68">
        <v>82</v>
      </c>
      <c r="D7" s="53">
        <v>70</v>
      </c>
      <c r="E7" s="176">
        <f>D7-General!G9</f>
        <v>70</v>
      </c>
      <c r="F7" s="77">
        <f>E7*100/C7</f>
        <v>85.365853658536579</v>
      </c>
      <c r="G7" s="2">
        <f>F7*0</f>
        <v>0</v>
      </c>
      <c r="H7" s="80">
        <f>F7*0.314</f>
        <v>26.804878048780488</v>
      </c>
      <c r="I7" s="80">
        <f t="shared" ref="I7:I9" si="0">F7*0.686</f>
        <v>58.560975609756099</v>
      </c>
      <c r="J7" s="3">
        <f t="shared" ref="J7:J9" si="1">F7*0</f>
        <v>0</v>
      </c>
    </row>
    <row r="8" spans="1:10" ht="30.75" thickBot="1" x14ac:dyDescent="0.3">
      <c r="B8" s="65" t="s">
        <v>52</v>
      </c>
      <c r="C8" s="68">
        <v>34</v>
      </c>
      <c r="D8" s="53">
        <v>70</v>
      </c>
      <c r="E8" s="176">
        <f>D8-General!G9</f>
        <v>70</v>
      </c>
      <c r="F8" s="77">
        <f>E8*100/C8</f>
        <v>205.88235294117646</v>
      </c>
      <c r="G8" s="2">
        <f>F8*0</f>
        <v>0</v>
      </c>
      <c r="H8" s="80">
        <f>F8*0.314</f>
        <v>64.647058823529406</v>
      </c>
      <c r="I8" s="80">
        <f t="shared" si="0"/>
        <v>141.23529411764707</v>
      </c>
      <c r="J8" s="3">
        <f t="shared" si="1"/>
        <v>0</v>
      </c>
    </row>
    <row r="9" spans="1:10" ht="15.75" thickBot="1" x14ac:dyDescent="0.3">
      <c r="B9" s="66" t="s">
        <v>53</v>
      </c>
      <c r="C9" s="69">
        <v>46</v>
      </c>
      <c r="D9" s="61">
        <v>70</v>
      </c>
      <c r="E9" s="177">
        <f>D9-General!G9</f>
        <v>70</v>
      </c>
      <c r="F9" s="78">
        <f>E9*100/C9</f>
        <v>152.17391304347825</v>
      </c>
      <c r="G9" s="4">
        <f>F9*0</f>
        <v>0</v>
      </c>
      <c r="H9" s="81">
        <f t="shared" ref="H9" si="2">F9*0.314</f>
        <v>47.782608695652172</v>
      </c>
      <c r="I9" s="81">
        <f t="shared" si="0"/>
        <v>104.39130434782609</v>
      </c>
      <c r="J9" s="6">
        <f t="shared" si="1"/>
        <v>0</v>
      </c>
    </row>
    <row r="10" spans="1:10" ht="15.75" thickBot="1" x14ac:dyDescent="0.3">
      <c r="B10" s="48"/>
      <c r="C10" s="35"/>
      <c r="D10" s="37"/>
    </row>
    <row r="11" spans="1:10" ht="19.5" thickBot="1" x14ac:dyDescent="0.35">
      <c r="A11" s="49" t="s">
        <v>59</v>
      </c>
      <c r="B11" s="224" t="s">
        <v>136</v>
      </c>
      <c r="C11" s="225"/>
      <c r="D11" s="225"/>
      <c r="E11" s="225"/>
      <c r="F11" s="225"/>
      <c r="G11" s="225"/>
      <c r="H11" s="225"/>
      <c r="I11" s="225"/>
      <c r="J11" s="226"/>
    </row>
    <row r="12" spans="1:10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0" ht="15.75" thickBot="1" x14ac:dyDescent="0.3">
      <c r="A13" s="70"/>
      <c r="B13" s="243" t="s">
        <v>30</v>
      </c>
      <c r="C13" s="245" t="s">
        <v>48</v>
      </c>
      <c r="D13" s="245" t="s">
        <v>63</v>
      </c>
      <c r="E13" s="239" t="s">
        <v>64</v>
      </c>
      <c r="F13" s="241" t="s">
        <v>132</v>
      </c>
      <c r="G13" s="227" t="s">
        <v>65</v>
      </c>
      <c r="H13" s="228"/>
      <c r="I13" s="228"/>
      <c r="J13" s="229"/>
    </row>
    <row r="14" spans="1:10" ht="48" customHeight="1" thickBot="1" x14ac:dyDescent="0.3">
      <c r="A14" s="70"/>
      <c r="B14" s="244"/>
      <c r="C14" s="246"/>
      <c r="D14" s="246"/>
      <c r="E14" s="240"/>
      <c r="F14" s="242"/>
      <c r="G14" s="91" t="s">
        <v>67</v>
      </c>
      <c r="H14" s="92" t="s">
        <v>66</v>
      </c>
      <c r="I14" s="93" t="s">
        <v>68</v>
      </c>
      <c r="J14" s="94" t="s">
        <v>69</v>
      </c>
    </row>
    <row r="15" spans="1:10" ht="45.75" thickBot="1" x14ac:dyDescent="0.3">
      <c r="B15" s="72" t="s">
        <v>44</v>
      </c>
      <c r="C15" s="67">
        <v>20</v>
      </c>
      <c r="D15" s="59">
        <v>50</v>
      </c>
      <c r="E15" s="178">
        <f>D15-General!G10</f>
        <v>50</v>
      </c>
      <c r="F15" s="83">
        <f>E15*100/C15</f>
        <v>250</v>
      </c>
      <c r="G15" s="95">
        <f>F15*0.55</f>
        <v>137.5</v>
      </c>
      <c r="H15" s="90">
        <f>F15*0.45</f>
        <v>112.5</v>
      </c>
      <c r="I15" s="90">
        <f>F15*0</f>
        <v>0</v>
      </c>
      <c r="J15" s="7">
        <f>F15*0</f>
        <v>0</v>
      </c>
    </row>
    <row r="16" spans="1:10" ht="45.75" thickBot="1" x14ac:dyDescent="0.3">
      <c r="B16" s="73" t="s">
        <v>45</v>
      </c>
      <c r="C16" s="68">
        <v>46</v>
      </c>
      <c r="D16" s="53">
        <v>50</v>
      </c>
      <c r="E16" s="179">
        <f>D16-General!G10</f>
        <v>50</v>
      </c>
      <c r="F16" s="84">
        <f>E16*100/C16</f>
        <v>108.69565217391305</v>
      </c>
      <c r="G16" s="85">
        <f t="shared" ref="G16:G19" si="3">F16*0.55</f>
        <v>59.782608695652179</v>
      </c>
      <c r="H16" s="80">
        <f t="shared" ref="H16:H19" si="4">F16*0.45</f>
        <v>48.913043478260875</v>
      </c>
      <c r="I16" s="80">
        <f t="shared" ref="I16:I19" si="5">F16*0</f>
        <v>0</v>
      </c>
      <c r="J16" s="3">
        <f t="shared" ref="J16:J19" si="6">F16*0</f>
        <v>0</v>
      </c>
    </row>
    <row r="17" spans="1:11" ht="45.75" thickBot="1" x14ac:dyDescent="0.3">
      <c r="B17" s="74" t="s">
        <v>46</v>
      </c>
      <c r="C17" s="68">
        <v>30</v>
      </c>
      <c r="D17" s="53">
        <v>50</v>
      </c>
      <c r="E17" s="179">
        <f>D17-General!G10</f>
        <v>50</v>
      </c>
      <c r="F17" s="84">
        <f>E17*100/C17</f>
        <v>166.66666666666666</v>
      </c>
      <c r="G17" s="85">
        <f t="shared" si="3"/>
        <v>91.666666666666671</v>
      </c>
      <c r="H17" s="80">
        <f t="shared" si="4"/>
        <v>75</v>
      </c>
      <c r="I17" s="80">
        <f t="shared" si="5"/>
        <v>0</v>
      </c>
      <c r="J17" s="3">
        <f t="shared" si="6"/>
        <v>0</v>
      </c>
    </row>
    <row r="18" spans="1:11" ht="45.75" thickBot="1" x14ac:dyDescent="0.3">
      <c r="B18" s="75" t="s">
        <v>46</v>
      </c>
      <c r="C18" s="68">
        <v>52</v>
      </c>
      <c r="D18" s="53">
        <v>50</v>
      </c>
      <c r="E18" s="170">
        <f>D18-General!G10</f>
        <v>50</v>
      </c>
      <c r="F18" s="84">
        <f>E18*100/C18</f>
        <v>96.15384615384616</v>
      </c>
      <c r="G18" s="85">
        <f t="shared" si="3"/>
        <v>52.884615384615394</v>
      </c>
      <c r="H18" s="80">
        <f t="shared" si="4"/>
        <v>43.269230769230774</v>
      </c>
      <c r="I18" s="80">
        <f t="shared" si="5"/>
        <v>0</v>
      </c>
      <c r="J18" s="3">
        <f t="shared" si="6"/>
        <v>0</v>
      </c>
    </row>
    <row r="19" spans="1:11" ht="45.75" thickBot="1" x14ac:dyDescent="0.3">
      <c r="B19" s="76" t="s">
        <v>47</v>
      </c>
      <c r="C19" s="69">
        <v>46</v>
      </c>
      <c r="D19" s="61">
        <v>50</v>
      </c>
      <c r="E19" s="171">
        <f>D19-General!G10</f>
        <v>50</v>
      </c>
      <c r="F19" s="84">
        <f>E19*100/C19</f>
        <v>108.69565217391305</v>
      </c>
      <c r="G19" s="86">
        <f t="shared" si="3"/>
        <v>59.782608695652179</v>
      </c>
      <c r="H19" s="81">
        <f t="shared" si="4"/>
        <v>48.913043478260875</v>
      </c>
      <c r="I19" s="81">
        <f t="shared" si="5"/>
        <v>0</v>
      </c>
      <c r="J19" s="6">
        <f t="shared" si="6"/>
        <v>0</v>
      </c>
    </row>
    <row r="20" spans="1:11" ht="15.75" thickBot="1" x14ac:dyDescent="0.3">
      <c r="B20" s="48"/>
      <c r="C20" s="35"/>
      <c r="D20" s="37"/>
    </row>
    <row r="21" spans="1:11" ht="19.5" thickBot="1" x14ac:dyDescent="0.35">
      <c r="A21" s="49" t="s">
        <v>60</v>
      </c>
      <c r="B21" s="333" t="s">
        <v>138</v>
      </c>
      <c r="C21" s="334"/>
      <c r="D21" s="334"/>
      <c r="E21" s="334"/>
      <c r="F21" s="334"/>
      <c r="G21" s="334"/>
      <c r="H21" s="334"/>
      <c r="I21" s="334"/>
      <c r="J21" s="334"/>
      <c r="K21" s="335"/>
    </row>
    <row r="22" spans="1:11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1" ht="15.75" thickBot="1" x14ac:dyDescent="0.3">
      <c r="B23" s="230" t="s">
        <v>30</v>
      </c>
      <c r="C23" s="232" t="s">
        <v>54</v>
      </c>
      <c r="D23" s="232" t="s">
        <v>70</v>
      </c>
      <c r="E23" s="234" t="s">
        <v>72</v>
      </c>
      <c r="F23" s="236" t="s">
        <v>133</v>
      </c>
      <c r="G23" s="227" t="s">
        <v>65</v>
      </c>
      <c r="H23" s="228"/>
      <c r="I23" s="228"/>
      <c r="J23" s="229"/>
      <c r="K23" s="216" t="s">
        <v>71</v>
      </c>
    </row>
    <row r="24" spans="1:11" ht="43.5" customHeight="1" thickBot="1" x14ac:dyDescent="0.3">
      <c r="B24" s="231"/>
      <c r="C24" s="233"/>
      <c r="D24" s="233"/>
      <c r="E24" s="235"/>
      <c r="F24" s="237"/>
      <c r="G24" s="87" t="s">
        <v>67</v>
      </c>
      <c r="H24" s="88" t="s">
        <v>66</v>
      </c>
      <c r="I24" s="100" t="s">
        <v>68</v>
      </c>
      <c r="J24" s="89" t="s">
        <v>69</v>
      </c>
      <c r="K24" s="217"/>
    </row>
    <row r="25" spans="1:11" ht="30.75" thickBot="1" x14ac:dyDescent="0.3">
      <c r="B25" s="104" t="s">
        <v>55</v>
      </c>
      <c r="C25" s="107">
        <v>20</v>
      </c>
      <c r="D25" s="24">
        <v>90</v>
      </c>
      <c r="E25" s="172">
        <f>D25-General!G11</f>
        <v>90</v>
      </c>
      <c r="F25" s="181">
        <f>E25*100/C25</f>
        <v>450</v>
      </c>
      <c r="G25" s="82">
        <f>F25*0</f>
        <v>0</v>
      </c>
      <c r="H25" s="79">
        <f>F25*0.3125</f>
        <v>140.625</v>
      </c>
      <c r="I25" s="79">
        <f>F25*0.3303</f>
        <v>148.63499999999999</v>
      </c>
      <c r="J25" s="99">
        <f>F25*0.3572</f>
        <v>160.74</v>
      </c>
      <c r="K25" s="194">
        <f>F25*13/100</f>
        <v>58.5</v>
      </c>
    </row>
    <row r="26" spans="1:11" ht="30.75" thickBot="1" x14ac:dyDescent="0.3">
      <c r="B26" s="105" t="s">
        <v>56</v>
      </c>
      <c r="C26" s="108">
        <v>46</v>
      </c>
      <c r="D26" s="1">
        <v>90</v>
      </c>
      <c r="E26" s="173">
        <f>D26-General!G11</f>
        <v>90</v>
      </c>
      <c r="F26" s="182">
        <f>E26*100/C26</f>
        <v>195.65217391304347</v>
      </c>
      <c r="G26" s="85">
        <f t="shared" ref="G26:G27" si="7">F26*0</f>
        <v>0</v>
      </c>
      <c r="H26" s="80">
        <f t="shared" ref="H26:H27" si="8">F26*0.3125</f>
        <v>61.141304347826086</v>
      </c>
      <c r="I26" s="80">
        <f t="shared" ref="I26:I27" si="9">F26*0.3303</f>
        <v>64.623913043478254</v>
      </c>
      <c r="J26" s="10">
        <f t="shared" ref="J26:J27" si="10">F26*0.3572</f>
        <v>69.886956521739137</v>
      </c>
      <c r="K26" s="195">
        <f>F26*0</f>
        <v>0</v>
      </c>
    </row>
    <row r="27" spans="1:11" ht="30.75" thickBot="1" x14ac:dyDescent="0.3">
      <c r="B27" s="106" t="s">
        <v>57</v>
      </c>
      <c r="C27" s="109">
        <v>60</v>
      </c>
      <c r="D27" s="5">
        <v>90</v>
      </c>
      <c r="E27" s="174">
        <f>D27-General!G11</f>
        <v>90</v>
      </c>
      <c r="F27" s="182">
        <f>E27*100/C27</f>
        <v>150</v>
      </c>
      <c r="G27" s="86">
        <f t="shared" si="7"/>
        <v>0</v>
      </c>
      <c r="H27" s="81">
        <f t="shared" si="8"/>
        <v>46.875</v>
      </c>
      <c r="I27" s="81">
        <f t="shared" si="9"/>
        <v>49.544999999999995</v>
      </c>
      <c r="J27" s="101">
        <f t="shared" si="10"/>
        <v>53.580000000000005</v>
      </c>
      <c r="K27" s="196">
        <f>F27*0</f>
        <v>0</v>
      </c>
    </row>
  </sheetData>
  <mergeCells count="22">
    <mergeCell ref="B2:J2"/>
    <mergeCell ref="B4:B5"/>
    <mergeCell ref="C4:C5"/>
    <mergeCell ref="D4:D5"/>
    <mergeCell ref="E4:E5"/>
    <mergeCell ref="F4:F5"/>
    <mergeCell ref="G4:J4"/>
    <mergeCell ref="B11:J11"/>
    <mergeCell ref="B13:B14"/>
    <mergeCell ref="C13:C14"/>
    <mergeCell ref="D13:D14"/>
    <mergeCell ref="E13:E14"/>
    <mergeCell ref="F13:F14"/>
    <mergeCell ref="G13:J13"/>
    <mergeCell ref="B21:K21"/>
    <mergeCell ref="B23:B24"/>
    <mergeCell ref="C23:C24"/>
    <mergeCell ref="D23:D24"/>
    <mergeCell ref="E23:E24"/>
    <mergeCell ref="F23:F24"/>
    <mergeCell ref="G23:J23"/>
    <mergeCell ref="K23:K24"/>
  </mergeCells>
  <dataValidations count="2">
    <dataValidation type="list" allowBlank="1" showInputMessage="1" showErrorMessage="1" sqref="D15:D19" xr:uid="{00000000-0002-0000-0A00-000000000000}">
      <formula1>"20,30,40,50,60,70,80,90,100"</formula1>
    </dataValidation>
    <dataValidation type="list" allowBlank="1" showInputMessage="1" showErrorMessage="1" sqref="D6:D9 D25:D27" xr:uid="{00000000-0002-0000-0A00-000001000000}">
      <formula1>"20,30,40,50,60,70,80,90,100,110,120,130,140,150,160,170,180,190,200"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N27"/>
  <sheetViews>
    <sheetView topLeftCell="A18" workbookViewId="0">
      <selection activeCell="O27" sqref="O27"/>
    </sheetView>
  </sheetViews>
  <sheetFormatPr baseColWidth="10" defaultRowHeight="15" x14ac:dyDescent="0.25"/>
  <cols>
    <col min="1" max="1" width="2.5703125" bestFit="1" customWidth="1"/>
    <col min="2" max="2" width="12.7109375" customWidth="1"/>
    <col min="7" max="7" width="10" customWidth="1"/>
    <col min="8" max="8" width="10.42578125" customWidth="1"/>
    <col min="9" max="9" width="10" customWidth="1"/>
    <col min="10" max="10" width="10.7109375" customWidth="1"/>
    <col min="11" max="11" width="10.42578125" customWidth="1"/>
    <col min="12" max="12" width="11.42578125" customWidth="1"/>
    <col min="13" max="13" width="13.7109375" customWidth="1"/>
  </cols>
  <sheetData>
    <row r="1" spans="1:14" ht="15.75" thickBot="1" x14ac:dyDescent="0.3"/>
    <row r="2" spans="1:14" ht="19.5" thickBot="1" x14ac:dyDescent="0.35">
      <c r="A2" s="49" t="s">
        <v>58</v>
      </c>
      <c r="B2" s="333" t="s">
        <v>137</v>
      </c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</row>
    <row r="3" spans="1:14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4" ht="15.75" thickBot="1" x14ac:dyDescent="0.3">
      <c r="B4" s="250" t="s">
        <v>30</v>
      </c>
      <c r="C4" s="252" t="s">
        <v>50</v>
      </c>
      <c r="D4" s="252" t="s">
        <v>118</v>
      </c>
      <c r="E4" s="254" t="s">
        <v>119</v>
      </c>
      <c r="F4" s="216" t="s">
        <v>125</v>
      </c>
      <c r="G4" s="280" t="s">
        <v>145</v>
      </c>
      <c r="H4" s="281"/>
      <c r="I4" s="281"/>
      <c r="J4" s="281"/>
      <c r="K4" s="281"/>
      <c r="L4" s="281"/>
      <c r="M4" s="282"/>
    </row>
    <row r="5" spans="1:14" ht="30.75" thickBot="1" x14ac:dyDescent="0.3">
      <c r="B5" s="251"/>
      <c r="C5" s="253"/>
      <c r="D5" s="253"/>
      <c r="E5" s="255"/>
      <c r="F5" s="238"/>
      <c r="G5" s="62" t="s">
        <v>97</v>
      </c>
      <c r="H5" s="62" t="s">
        <v>103</v>
      </c>
      <c r="I5" s="62" t="s">
        <v>104</v>
      </c>
      <c r="J5" s="62" t="s">
        <v>105</v>
      </c>
      <c r="K5" s="62" t="s">
        <v>106</v>
      </c>
      <c r="L5" s="114" t="s">
        <v>107</v>
      </c>
      <c r="M5" s="114" t="s">
        <v>108</v>
      </c>
    </row>
    <row r="6" spans="1:14" ht="30.75" thickBot="1" x14ac:dyDescent="0.3">
      <c r="B6" s="63" t="s">
        <v>49</v>
      </c>
      <c r="C6" s="67">
        <v>21</v>
      </c>
      <c r="D6" s="59">
        <v>280</v>
      </c>
      <c r="E6" s="175">
        <f>D6-General!G9</f>
        <v>280</v>
      </c>
      <c r="F6" s="130">
        <f>E6*100/C6</f>
        <v>1333.3333333333333</v>
      </c>
      <c r="G6" s="137">
        <f>F6*0.004</f>
        <v>5.333333333333333</v>
      </c>
      <c r="H6" s="138">
        <f>F6*0.047</f>
        <v>62.666666666666664</v>
      </c>
      <c r="I6" s="138">
        <f>F6*0.09</f>
        <v>119.99999999999999</v>
      </c>
      <c r="J6" s="138">
        <f>F6*0.143</f>
        <v>190.66666666666663</v>
      </c>
      <c r="K6" s="138">
        <f>F6*0.19</f>
        <v>253.33333333333331</v>
      </c>
      <c r="L6" s="138">
        <f>F6*0.226</f>
        <v>301.33333333333331</v>
      </c>
      <c r="M6" s="139">
        <f>F6*0.3</f>
        <v>399.99999999999994</v>
      </c>
      <c r="N6" s="143"/>
    </row>
    <row r="7" spans="1:14" ht="30.75" thickBot="1" x14ac:dyDescent="0.3">
      <c r="B7" s="64" t="s">
        <v>51</v>
      </c>
      <c r="C7" s="68">
        <v>82</v>
      </c>
      <c r="D7" s="53">
        <v>280</v>
      </c>
      <c r="E7" s="176">
        <f>D7-General!G9</f>
        <v>280</v>
      </c>
      <c r="F7" s="130">
        <f>E7*100/C7</f>
        <v>341.46341463414632</v>
      </c>
      <c r="G7" s="134">
        <f t="shared" ref="G7:G9" si="0">F7*0.004</f>
        <v>1.3658536585365852</v>
      </c>
      <c r="H7" s="135">
        <f t="shared" ref="H7:H9" si="1">F7*0.047</f>
        <v>16.048780487804876</v>
      </c>
      <c r="I7" s="135">
        <f t="shared" ref="I7:I9" si="2">F7*0.09</f>
        <v>30.731707317073166</v>
      </c>
      <c r="J7" s="135">
        <f t="shared" ref="J7:J9" si="3">F7*0.143</f>
        <v>48.829268292682919</v>
      </c>
      <c r="K7" s="135">
        <f t="shared" ref="K7:K9" si="4">F7*0.19</f>
        <v>64.878048780487802</v>
      </c>
      <c r="L7" s="135">
        <f t="shared" ref="L7:L9" si="5">F7*0.226</f>
        <v>77.170731707317074</v>
      </c>
      <c r="M7" s="136">
        <f>F7*0.3</f>
        <v>102.43902439024389</v>
      </c>
      <c r="N7" s="143"/>
    </row>
    <row r="8" spans="1:14" ht="30.75" thickBot="1" x14ac:dyDescent="0.3">
      <c r="B8" s="65" t="s">
        <v>52</v>
      </c>
      <c r="C8" s="68">
        <v>34</v>
      </c>
      <c r="D8" s="53">
        <v>280</v>
      </c>
      <c r="E8" s="176">
        <f>D8-General!G9</f>
        <v>280</v>
      </c>
      <c r="F8" s="130">
        <f>E8*100/C8</f>
        <v>823.52941176470586</v>
      </c>
      <c r="G8" s="134">
        <f t="shared" si="0"/>
        <v>3.2941176470588234</v>
      </c>
      <c r="H8" s="135">
        <f t="shared" si="1"/>
        <v>38.705882352941174</v>
      </c>
      <c r="I8" s="135">
        <f t="shared" si="2"/>
        <v>74.117647058823522</v>
      </c>
      <c r="J8" s="135">
        <f t="shared" si="3"/>
        <v>117.76470588235293</v>
      </c>
      <c r="K8" s="135">
        <f t="shared" si="4"/>
        <v>156.47058823529412</v>
      </c>
      <c r="L8" s="135">
        <f t="shared" si="5"/>
        <v>186.11764705882354</v>
      </c>
      <c r="M8" s="136">
        <f>F8*0.3</f>
        <v>247.05882352941174</v>
      </c>
      <c r="N8" s="143"/>
    </row>
    <row r="9" spans="1:14" ht="15.75" thickBot="1" x14ac:dyDescent="0.3">
      <c r="B9" s="66" t="s">
        <v>53</v>
      </c>
      <c r="C9" s="69">
        <v>46</v>
      </c>
      <c r="D9" s="61">
        <v>280</v>
      </c>
      <c r="E9" s="177">
        <f>D9-General!G9</f>
        <v>280</v>
      </c>
      <c r="F9" s="131">
        <f>E9*100/C9</f>
        <v>608.695652173913</v>
      </c>
      <c r="G9" s="140">
        <f t="shared" si="0"/>
        <v>2.4347826086956519</v>
      </c>
      <c r="H9" s="141">
        <f t="shared" si="1"/>
        <v>28.60869565217391</v>
      </c>
      <c r="I9" s="141">
        <f t="shared" si="2"/>
        <v>54.782608695652165</v>
      </c>
      <c r="J9" s="141">
        <f t="shared" si="3"/>
        <v>87.043478260869549</v>
      </c>
      <c r="K9" s="141">
        <f t="shared" si="4"/>
        <v>115.65217391304347</v>
      </c>
      <c r="L9" s="141">
        <f t="shared" si="5"/>
        <v>137.56521739130434</v>
      </c>
      <c r="M9" s="142">
        <f>F9*0.3</f>
        <v>182.60869565217391</v>
      </c>
      <c r="N9" s="143"/>
    </row>
    <row r="10" spans="1:14" ht="15.75" thickBot="1" x14ac:dyDescent="0.3">
      <c r="B10" s="48"/>
      <c r="C10" s="35"/>
      <c r="D10" s="37"/>
    </row>
    <row r="11" spans="1:14" ht="19.5" thickBot="1" x14ac:dyDescent="0.35">
      <c r="A11" s="49" t="s">
        <v>59</v>
      </c>
      <c r="B11" s="221" t="s">
        <v>136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3"/>
    </row>
    <row r="12" spans="1:14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4" ht="15.75" thickBot="1" x14ac:dyDescent="0.3">
      <c r="A13" s="70"/>
      <c r="B13" s="262" t="s">
        <v>30</v>
      </c>
      <c r="C13" s="264" t="s">
        <v>48</v>
      </c>
      <c r="D13" s="264" t="s">
        <v>120</v>
      </c>
      <c r="E13" s="266" t="s">
        <v>121</v>
      </c>
      <c r="F13" s="241" t="s">
        <v>124</v>
      </c>
      <c r="G13" s="280" t="s">
        <v>145</v>
      </c>
      <c r="H13" s="281"/>
      <c r="I13" s="281"/>
      <c r="J13" s="281"/>
      <c r="K13" s="281"/>
      <c r="L13" s="281"/>
      <c r="M13" s="282"/>
    </row>
    <row r="14" spans="1:14" ht="30.75" thickBot="1" x14ac:dyDescent="0.3">
      <c r="A14" s="70"/>
      <c r="B14" s="263"/>
      <c r="C14" s="283"/>
      <c r="D14" s="283"/>
      <c r="E14" s="284"/>
      <c r="F14" s="242"/>
      <c r="G14" s="62" t="s">
        <v>97</v>
      </c>
      <c r="H14" s="62" t="s">
        <v>103</v>
      </c>
      <c r="I14" s="62" t="s">
        <v>104</v>
      </c>
      <c r="J14" s="62" t="s">
        <v>105</v>
      </c>
      <c r="K14" s="62" t="s">
        <v>106</v>
      </c>
      <c r="L14" s="114" t="s">
        <v>107</v>
      </c>
      <c r="M14" s="114" t="s">
        <v>108</v>
      </c>
    </row>
    <row r="15" spans="1:14" ht="45.75" thickBot="1" x14ac:dyDescent="0.3">
      <c r="B15" s="63" t="s">
        <v>44</v>
      </c>
      <c r="C15" s="67">
        <v>20</v>
      </c>
      <c r="D15" s="59">
        <v>200</v>
      </c>
      <c r="E15" s="175">
        <f>D15-General!G10</f>
        <v>200</v>
      </c>
      <c r="F15" s="102">
        <f>E15*100/C15</f>
        <v>1000</v>
      </c>
      <c r="G15" s="137">
        <f>F15*0.005</f>
        <v>5</v>
      </c>
      <c r="H15" s="138">
        <f>F15*0.075</f>
        <v>75</v>
      </c>
      <c r="I15" s="138">
        <f>F15*0.125</f>
        <v>125</v>
      </c>
      <c r="J15" s="138">
        <f>F15*0.15</f>
        <v>150</v>
      </c>
      <c r="K15" s="138">
        <f>F15*0.1718</f>
        <v>171.8</v>
      </c>
      <c r="L15" s="138">
        <f>F15*0.2232</f>
        <v>223.20000000000002</v>
      </c>
      <c r="M15" s="139">
        <f>F15*0.25</f>
        <v>250</v>
      </c>
      <c r="N15" s="143"/>
    </row>
    <row r="16" spans="1:14" ht="45.75" thickBot="1" x14ac:dyDescent="0.3">
      <c r="B16" s="64" t="s">
        <v>45</v>
      </c>
      <c r="C16" s="68">
        <v>46</v>
      </c>
      <c r="D16" s="53">
        <v>200</v>
      </c>
      <c r="E16" s="176">
        <f>D16-General!G10</f>
        <v>200</v>
      </c>
      <c r="F16" s="103">
        <f>E16*100/C16</f>
        <v>434.78260869565219</v>
      </c>
      <c r="G16" s="134">
        <f t="shared" ref="G16:G19" si="6">F16*0.005</f>
        <v>2.1739130434782612</v>
      </c>
      <c r="H16" s="135">
        <f t="shared" ref="H16:H19" si="7">F16*0.075</f>
        <v>32.608695652173914</v>
      </c>
      <c r="I16" s="135">
        <f t="shared" ref="I16:I19" si="8">F16*0.125</f>
        <v>54.347826086956523</v>
      </c>
      <c r="J16" s="135">
        <f t="shared" ref="J16:J19" si="9">F16*0.15</f>
        <v>65.217391304347828</v>
      </c>
      <c r="K16" s="135">
        <f t="shared" ref="K16:K19" si="10">F16*0.1725</f>
        <v>75</v>
      </c>
      <c r="L16" s="135">
        <f>F16*0.2225</f>
        <v>96.739130434782609</v>
      </c>
      <c r="M16" s="136">
        <f>F16*0.25</f>
        <v>108.69565217391305</v>
      </c>
      <c r="N16" s="143"/>
    </row>
    <row r="17" spans="1:14" ht="45.75" thickBot="1" x14ac:dyDescent="0.3">
      <c r="B17" s="65" t="s">
        <v>46</v>
      </c>
      <c r="C17" s="68">
        <v>30</v>
      </c>
      <c r="D17" s="53">
        <v>200</v>
      </c>
      <c r="E17" s="176">
        <f>D17-General!G10</f>
        <v>200</v>
      </c>
      <c r="F17" s="103">
        <f>E17*100/C17</f>
        <v>666.66666666666663</v>
      </c>
      <c r="G17" s="134">
        <f t="shared" si="6"/>
        <v>3.333333333333333</v>
      </c>
      <c r="H17" s="135">
        <f t="shared" si="7"/>
        <v>49.999999999999993</v>
      </c>
      <c r="I17" s="135">
        <f t="shared" si="8"/>
        <v>83.333333333333329</v>
      </c>
      <c r="J17" s="135">
        <f t="shared" si="9"/>
        <v>99.999999999999986</v>
      </c>
      <c r="K17" s="135">
        <f t="shared" si="10"/>
        <v>114.99999999999999</v>
      </c>
      <c r="L17" s="135">
        <f>F17*0.2225</f>
        <v>148.33333333333331</v>
      </c>
      <c r="M17" s="136">
        <f t="shared" ref="M17" si="11">F17*0.25</f>
        <v>166.66666666666666</v>
      </c>
      <c r="N17" s="143"/>
    </row>
    <row r="18" spans="1:14" ht="45.75" thickBot="1" x14ac:dyDescent="0.3">
      <c r="B18" s="132" t="s">
        <v>46</v>
      </c>
      <c r="C18" s="68">
        <v>52</v>
      </c>
      <c r="D18" s="53">
        <v>200</v>
      </c>
      <c r="E18" s="176">
        <f>D18-General!G10</f>
        <v>200</v>
      </c>
      <c r="F18" s="103">
        <f>E18*100/C18</f>
        <v>384.61538461538464</v>
      </c>
      <c r="G18" s="134">
        <f t="shared" si="6"/>
        <v>1.9230769230769234</v>
      </c>
      <c r="H18" s="135">
        <f t="shared" si="7"/>
        <v>28.846153846153847</v>
      </c>
      <c r="I18" s="135">
        <f t="shared" si="8"/>
        <v>48.07692307692308</v>
      </c>
      <c r="J18" s="135">
        <f t="shared" si="9"/>
        <v>57.692307692307693</v>
      </c>
      <c r="K18" s="135">
        <f t="shared" si="10"/>
        <v>66.34615384615384</v>
      </c>
      <c r="L18" s="135">
        <f>F18*0.2225</f>
        <v>85.57692307692308</v>
      </c>
      <c r="M18" s="136">
        <f>F18*0.25</f>
        <v>96.15384615384616</v>
      </c>
      <c r="N18" s="143"/>
    </row>
    <row r="19" spans="1:14" ht="45.75" thickBot="1" x14ac:dyDescent="0.3">
      <c r="B19" s="133" t="s">
        <v>47</v>
      </c>
      <c r="C19" s="69">
        <v>46</v>
      </c>
      <c r="D19" s="61">
        <v>200</v>
      </c>
      <c r="E19" s="177">
        <f>D19-General!G10</f>
        <v>200</v>
      </c>
      <c r="F19" s="103">
        <f>E19*100/C19</f>
        <v>434.78260869565219</v>
      </c>
      <c r="G19" s="140">
        <f t="shared" si="6"/>
        <v>2.1739130434782612</v>
      </c>
      <c r="H19" s="141">
        <f t="shared" si="7"/>
        <v>32.608695652173914</v>
      </c>
      <c r="I19" s="141">
        <f t="shared" si="8"/>
        <v>54.347826086956523</v>
      </c>
      <c r="J19" s="141">
        <f t="shared" si="9"/>
        <v>65.217391304347828</v>
      </c>
      <c r="K19" s="141">
        <f t="shared" si="10"/>
        <v>75</v>
      </c>
      <c r="L19" s="141">
        <f>F19*0.2225</f>
        <v>96.739130434782609</v>
      </c>
      <c r="M19" s="142">
        <f>F19*0.25</f>
        <v>108.69565217391305</v>
      </c>
      <c r="N19" s="143"/>
    </row>
    <row r="20" spans="1:14" ht="15.75" thickBot="1" x14ac:dyDescent="0.3">
      <c r="B20" s="48"/>
      <c r="C20" s="35"/>
      <c r="D20" s="37"/>
    </row>
    <row r="21" spans="1:14" ht="19.5" thickBot="1" x14ac:dyDescent="0.35">
      <c r="A21" s="49" t="s">
        <v>60</v>
      </c>
      <c r="B21" s="336" t="s">
        <v>138</v>
      </c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8"/>
    </row>
    <row r="22" spans="1:14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4" ht="15.75" thickBot="1" x14ac:dyDescent="0.3">
      <c r="B23" s="293" t="s">
        <v>30</v>
      </c>
      <c r="C23" s="295" t="s">
        <v>54</v>
      </c>
      <c r="D23" s="295" t="s">
        <v>122</v>
      </c>
      <c r="E23" s="297" t="s">
        <v>123</v>
      </c>
      <c r="F23" s="241" t="s">
        <v>127</v>
      </c>
      <c r="G23" s="280" t="s">
        <v>145</v>
      </c>
      <c r="H23" s="281"/>
      <c r="I23" s="281"/>
      <c r="J23" s="281"/>
      <c r="K23" s="281"/>
      <c r="L23" s="281"/>
      <c r="M23" s="282"/>
      <c r="N23" s="216" t="s">
        <v>71</v>
      </c>
    </row>
    <row r="24" spans="1:14" ht="30.75" thickBot="1" x14ac:dyDescent="0.3">
      <c r="B24" s="294"/>
      <c r="C24" s="296"/>
      <c r="D24" s="296"/>
      <c r="E24" s="298"/>
      <c r="F24" s="242"/>
      <c r="G24" s="62" t="s">
        <v>97</v>
      </c>
      <c r="H24" s="62" t="s">
        <v>103</v>
      </c>
      <c r="I24" s="62" t="s">
        <v>104</v>
      </c>
      <c r="J24" s="62" t="s">
        <v>105</v>
      </c>
      <c r="K24" s="62" t="s">
        <v>106</v>
      </c>
      <c r="L24" s="114" t="s">
        <v>107</v>
      </c>
      <c r="M24" s="114" t="s">
        <v>108</v>
      </c>
      <c r="N24" s="217"/>
    </row>
    <row r="25" spans="1:14" ht="30.75" thickBot="1" x14ac:dyDescent="0.3">
      <c r="B25" s="104" t="s">
        <v>55</v>
      </c>
      <c r="C25" s="107">
        <v>20</v>
      </c>
      <c r="D25" s="24">
        <v>400</v>
      </c>
      <c r="E25" s="172">
        <f>D25-General!G11</f>
        <v>400</v>
      </c>
      <c r="F25" s="102">
        <f>E25*100/C25</f>
        <v>2000</v>
      </c>
      <c r="G25" s="137">
        <f>F25*0.03</f>
        <v>60</v>
      </c>
      <c r="H25" s="138">
        <f>F25*0.0465</f>
        <v>93</v>
      </c>
      <c r="I25" s="138">
        <f>F25*0.0872</f>
        <v>174.4</v>
      </c>
      <c r="J25" s="138">
        <f>F25*0.145</f>
        <v>290</v>
      </c>
      <c r="K25" s="138">
        <f>F25*0.1817</f>
        <v>363.4</v>
      </c>
      <c r="L25" s="138">
        <f>F25*0.218</f>
        <v>436</v>
      </c>
      <c r="M25" s="139">
        <f>F25*0.2915</f>
        <v>583</v>
      </c>
      <c r="N25" s="187">
        <f>(F25*13)/100</f>
        <v>260</v>
      </c>
    </row>
    <row r="26" spans="1:14" ht="30.75" thickBot="1" x14ac:dyDescent="0.3">
      <c r="B26" s="105" t="s">
        <v>56</v>
      </c>
      <c r="C26" s="108">
        <v>46</v>
      </c>
      <c r="D26" s="1">
        <v>400</v>
      </c>
      <c r="E26" s="173">
        <f>D26-General!G11</f>
        <v>400</v>
      </c>
      <c r="F26" s="103">
        <f>E26*100/C26</f>
        <v>869.56521739130437</v>
      </c>
      <c r="G26" s="134">
        <f t="shared" ref="G26:G27" si="12">F26*0.03</f>
        <v>26.086956521739129</v>
      </c>
      <c r="H26" s="135">
        <f t="shared" ref="H26:H27" si="13">F26*0.0465</f>
        <v>40.434782608695656</v>
      </c>
      <c r="I26" s="135">
        <f t="shared" ref="I26:I27" si="14">F26*0.0872</f>
        <v>75.826086956521735</v>
      </c>
      <c r="J26" s="135">
        <f t="shared" ref="J26:J27" si="15">F26*0.145</f>
        <v>126.08695652173913</v>
      </c>
      <c r="K26" s="135">
        <f t="shared" ref="K26:K27" si="16">F26*0.1817</f>
        <v>158</v>
      </c>
      <c r="L26" s="135">
        <f t="shared" ref="L26:L27" si="17">F26*0.218</f>
        <v>189.56521739130434</v>
      </c>
      <c r="M26" s="136">
        <f>F26*0.2915</f>
        <v>253.47826086956522</v>
      </c>
      <c r="N26" s="188">
        <f>F26*0</f>
        <v>0</v>
      </c>
    </row>
    <row r="27" spans="1:14" ht="30.75" thickBot="1" x14ac:dyDescent="0.3">
      <c r="B27" s="106" t="s">
        <v>57</v>
      </c>
      <c r="C27" s="109">
        <v>60</v>
      </c>
      <c r="D27" s="5">
        <v>400</v>
      </c>
      <c r="E27" s="174">
        <f>D27-General!G11</f>
        <v>400</v>
      </c>
      <c r="F27" s="103">
        <f>E27*100/C27</f>
        <v>666.66666666666663</v>
      </c>
      <c r="G27" s="140">
        <f t="shared" si="12"/>
        <v>19.999999999999996</v>
      </c>
      <c r="H27" s="141">
        <f t="shared" si="13"/>
        <v>30.999999999999996</v>
      </c>
      <c r="I27" s="141">
        <f t="shared" si="14"/>
        <v>58.133333333333333</v>
      </c>
      <c r="J27" s="141">
        <f t="shared" si="15"/>
        <v>96.666666666666657</v>
      </c>
      <c r="K27" s="141">
        <f t="shared" si="16"/>
        <v>121.13333333333333</v>
      </c>
      <c r="L27" s="141">
        <f t="shared" si="17"/>
        <v>145.33333333333331</v>
      </c>
      <c r="M27" s="142">
        <f>F27*0.2915</f>
        <v>194.33333333333331</v>
      </c>
      <c r="N27" s="189">
        <f>F27*0</f>
        <v>0</v>
      </c>
    </row>
  </sheetData>
  <mergeCells count="22">
    <mergeCell ref="B2:M2"/>
    <mergeCell ref="B4:B5"/>
    <mergeCell ref="C4:C5"/>
    <mergeCell ref="D4:D5"/>
    <mergeCell ref="E4:E5"/>
    <mergeCell ref="F4:F5"/>
    <mergeCell ref="G4:M4"/>
    <mergeCell ref="B11:M11"/>
    <mergeCell ref="B13:B14"/>
    <mergeCell ref="C13:C14"/>
    <mergeCell ref="D13:D14"/>
    <mergeCell ref="E13:E14"/>
    <mergeCell ref="F13:F14"/>
    <mergeCell ref="G13:M13"/>
    <mergeCell ref="B21:N21"/>
    <mergeCell ref="B23:B24"/>
    <mergeCell ref="C23:C24"/>
    <mergeCell ref="D23:D24"/>
    <mergeCell ref="E23:E24"/>
    <mergeCell ref="F23:F24"/>
    <mergeCell ref="G23:M23"/>
    <mergeCell ref="N23:N24"/>
  </mergeCells>
  <dataValidations count="2">
    <dataValidation type="list" allowBlank="1" showInputMessage="1" showErrorMessage="1" sqref="D25:D27" xr:uid="{00000000-0002-0000-0B00-000000000000}">
      <formula1>"50,60,70,80,90,100,110,120,130,140,150,160,170,180,190,200,210,220,230,240,250,260,270,280,290,300,310,320,330,340,350,360,370,380,390,400,410,420,430,440,450,460,470,480,490,500"</formula1>
    </dataValidation>
    <dataValidation type="list" allowBlank="1" showInputMessage="1" showErrorMessage="1" sqref="D6:D9 D15:D19" xr:uid="{00000000-0002-0000-0B00-000001000000}">
      <formula1>"50,60,70,80,90,100,110,120,130,140,150,160,170,180,190,200,210,220,230,240,250,260,270,280,290,300,310,320,330,340,350"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N27"/>
  <sheetViews>
    <sheetView workbookViewId="0">
      <selection activeCell="K6" sqref="K6"/>
    </sheetView>
  </sheetViews>
  <sheetFormatPr baseColWidth="10" defaultRowHeight="15" x14ac:dyDescent="0.25"/>
  <cols>
    <col min="1" max="1" width="5.85546875" customWidth="1"/>
    <col min="2" max="2" width="13.5703125" customWidth="1"/>
    <col min="7" max="7" width="9.85546875" customWidth="1"/>
    <col min="8" max="8" width="10" customWidth="1"/>
    <col min="9" max="9" width="9.7109375" customWidth="1"/>
    <col min="10" max="10" width="10" customWidth="1"/>
    <col min="11" max="11" width="9.85546875" customWidth="1"/>
    <col min="12" max="12" width="11.7109375" customWidth="1"/>
    <col min="13" max="13" width="13.42578125" customWidth="1"/>
  </cols>
  <sheetData>
    <row r="1" spans="1:14" ht="15.75" thickBot="1" x14ac:dyDescent="0.3"/>
    <row r="2" spans="1:14" ht="19.5" thickBot="1" x14ac:dyDescent="0.35">
      <c r="A2" s="49" t="s">
        <v>58</v>
      </c>
      <c r="B2" s="299" t="s">
        <v>137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1"/>
    </row>
    <row r="3" spans="1:14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4" ht="15.75" thickBot="1" x14ac:dyDescent="0.3">
      <c r="B4" s="250" t="s">
        <v>30</v>
      </c>
      <c r="C4" s="252" t="s">
        <v>50</v>
      </c>
      <c r="D4" s="252" t="s">
        <v>118</v>
      </c>
      <c r="E4" s="254" t="s">
        <v>119</v>
      </c>
      <c r="F4" s="216" t="s">
        <v>125</v>
      </c>
      <c r="G4" s="280" t="s">
        <v>145</v>
      </c>
      <c r="H4" s="281"/>
      <c r="I4" s="281"/>
      <c r="J4" s="281"/>
      <c r="K4" s="281"/>
      <c r="L4" s="281"/>
      <c r="M4" s="282"/>
    </row>
    <row r="5" spans="1:14" ht="45.75" thickBot="1" x14ac:dyDescent="0.3">
      <c r="B5" s="251"/>
      <c r="C5" s="253"/>
      <c r="D5" s="253"/>
      <c r="E5" s="255"/>
      <c r="F5" s="238"/>
      <c r="G5" s="62" t="s">
        <v>97</v>
      </c>
      <c r="H5" s="62" t="s">
        <v>103</v>
      </c>
      <c r="I5" s="62" t="s">
        <v>104</v>
      </c>
      <c r="J5" s="62" t="s">
        <v>105</v>
      </c>
      <c r="K5" s="62" t="s">
        <v>106</v>
      </c>
      <c r="L5" s="114" t="s">
        <v>107</v>
      </c>
      <c r="M5" s="114" t="s">
        <v>108</v>
      </c>
    </row>
    <row r="6" spans="1:14" ht="30.75" thickBot="1" x14ac:dyDescent="0.3">
      <c r="B6" s="63" t="s">
        <v>49</v>
      </c>
      <c r="C6" s="67">
        <v>21</v>
      </c>
      <c r="D6" s="59">
        <v>250</v>
      </c>
      <c r="E6" s="175">
        <f>D6-General!H9</f>
        <v>250</v>
      </c>
      <c r="F6" s="130">
        <f>E6*100/C6</f>
        <v>1190.4761904761904</v>
      </c>
      <c r="G6" s="137">
        <f>F6*0.004</f>
        <v>4.7619047619047619</v>
      </c>
      <c r="H6" s="138">
        <f>F6*0.047</f>
        <v>55.952380952380949</v>
      </c>
      <c r="I6" s="138">
        <f>F6*0.09</f>
        <v>107.14285714285712</v>
      </c>
      <c r="J6" s="138">
        <f>F6*0.143</f>
        <v>170.23809523809521</v>
      </c>
      <c r="K6" s="138">
        <f>F6*0.19</f>
        <v>226.19047619047618</v>
      </c>
      <c r="L6" s="138">
        <f>F6*0.226</f>
        <v>269.04761904761904</v>
      </c>
      <c r="M6" s="139">
        <f>F6*0.3</f>
        <v>357.14285714285711</v>
      </c>
      <c r="N6" s="143"/>
    </row>
    <row r="7" spans="1:14" ht="30.75" thickBot="1" x14ac:dyDescent="0.3">
      <c r="B7" s="64" t="s">
        <v>51</v>
      </c>
      <c r="C7" s="68">
        <v>82</v>
      </c>
      <c r="D7" s="53">
        <v>250</v>
      </c>
      <c r="E7" s="176">
        <f>D7-General!H9</f>
        <v>250</v>
      </c>
      <c r="F7" s="130">
        <f>E7*100/C7</f>
        <v>304.8780487804878</v>
      </c>
      <c r="G7" s="134">
        <f t="shared" ref="G7:G9" si="0">F7*0.004</f>
        <v>1.2195121951219512</v>
      </c>
      <c r="H7" s="135">
        <f t="shared" ref="H7:H9" si="1">F7*0.047</f>
        <v>14.329268292682928</v>
      </c>
      <c r="I7" s="135">
        <f t="shared" ref="I7:I9" si="2">F7*0.09</f>
        <v>27.439024390243901</v>
      </c>
      <c r="J7" s="135">
        <f t="shared" ref="J7:J9" si="3">F7*0.143</f>
        <v>43.597560975609753</v>
      </c>
      <c r="K7" s="135">
        <f t="shared" ref="K7:K9" si="4">F7*0.19</f>
        <v>57.926829268292686</v>
      </c>
      <c r="L7" s="135">
        <f t="shared" ref="L7:L9" si="5">F7*0.226</f>
        <v>68.902439024390247</v>
      </c>
      <c r="M7" s="136">
        <f>F7*0.3</f>
        <v>91.463414634146332</v>
      </c>
      <c r="N7" s="143"/>
    </row>
    <row r="8" spans="1:14" ht="30.75" thickBot="1" x14ac:dyDescent="0.3">
      <c r="B8" s="65" t="s">
        <v>52</v>
      </c>
      <c r="C8" s="68">
        <v>34</v>
      </c>
      <c r="D8" s="53">
        <v>250</v>
      </c>
      <c r="E8" s="176">
        <f>D8-General!H9</f>
        <v>250</v>
      </c>
      <c r="F8" s="130">
        <f>E8*100/C8</f>
        <v>735.29411764705878</v>
      </c>
      <c r="G8" s="134">
        <f t="shared" si="0"/>
        <v>2.9411764705882351</v>
      </c>
      <c r="H8" s="135">
        <f t="shared" si="1"/>
        <v>34.558823529411761</v>
      </c>
      <c r="I8" s="135">
        <f t="shared" si="2"/>
        <v>66.17647058823529</v>
      </c>
      <c r="J8" s="135">
        <f t="shared" si="3"/>
        <v>105.14705882352939</v>
      </c>
      <c r="K8" s="135">
        <f t="shared" si="4"/>
        <v>139.70588235294116</v>
      </c>
      <c r="L8" s="135">
        <f t="shared" si="5"/>
        <v>166.17647058823528</v>
      </c>
      <c r="M8" s="136">
        <f>F8*0.3</f>
        <v>220.58823529411762</v>
      </c>
      <c r="N8" s="143"/>
    </row>
    <row r="9" spans="1:14" ht="15.75" thickBot="1" x14ac:dyDescent="0.3">
      <c r="B9" s="66" t="s">
        <v>53</v>
      </c>
      <c r="C9" s="69">
        <v>46</v>
      </c>
      <c r="D9" s="61">
        <v>250</v>
      </c>
      <c r="E9" s="177">
        <f>D9-General!H9</f>
        <v>250</v>
      </c>
      <c r="F9" s="131">
        <f>E9*100/C9</f>
        <v>543.47826086956525</v>
      </c>
      <c r="G9" s="140">
        <f t="shared" si="0"/>
        <v>2.1739130434782612</v>
      </c>
      <c r="H9" s="141">
        <f t="shared" si="1"/>
        <v>25.543478260869566</v>
      </c>
      <c r="I9" s="141">
        <f t="shared" si="2"/>
        <v>48.913043478260867</v>
      </c>
      <c r="J9" s="141">
        <f t="shared" si="3"/>
        <v>77.717391304347828</v>
      </c>
      <c r="K9" s="141">
        <f t="shared" si="4"/>
        <v>103.2608695652174</v>
      </c>
      <c r="L9" s="141">
        <f t="shared" si="5"/>
        <v>122.82608695652175</v>
      </c>
      <c r="M9" s="142">
        <f>F9*0.3</f>
        <v>163.04347826086956</v>
      </c>
      <c r="N9" s="143"/>
    </row>
    <row r="10" spans="1:14" ht="15.75" thickBot="1" x14ac:dyDescent="0.3">
      <c r="B10" s="48"/>
      <c r="C10" s="35"/>
      <c r="D10" s="37"/>
    </row>
    <row r="11" spans="1:14" ht="19.5" thickBot="1" x14ac:dyDescent="0.35">
      <c r="A11" s="49" t="s">
        <v>59</v>
      </c>
      <c r="B11" s="256" t="s">
        <v>136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8"/>
    </row>
    <row r="12" spans="1:14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4" ht="15.75" thickBot="1" x14ac:dyDescent="0.3">
      <c r="A13" s="70"/>
      <c r="B13" s="262" t="s">
        <v>30</v>
      </c>
      <c r="C13" s="264" t="s">
        <v>48</v>
      </c>
      <c r="D13" s="264" t="s">
        <v>120</v>
      </c>
      <c r="E13" s="266" t="s">
        <v>121</v>
      </c>
      <c r="F13" s="241" t="s">
        <v>124</v>
      </c>
      <c r="G13" s="280" t="s">
        <v>145</v>
      </c>
      <c r="H13" s="281"/>
      <c r="I13" s="281"/>
      <c r="J13" s="281"/>
      <c r="K13" s="281"/>
      <c r="L13" s="281"/>
      <c r="M13" s="282"/>
    </row>
    <row r="14" spans="1:14" ht="45.75" thickBot="1" x14ac:dyDescent="0.3">
      <c r="A14" s="70"/>
      <c r="B14" s="263"/>
      <c r="C14" s="283"/>
      <c r="D14" s="283"/>
      <c r="E14" s="284"/>
      <c r="F14" s="242"/>
      <c r="G14" s="62" t="s">
        <v>97</v>
      </c>
      <c r="H14" s="62" t="s">
        <v>103</v>
      </c>
      <c r="I14" s="62" t="s">
        <v>104</v>
      </c>
      <c r="J14" s="62" t="s">
        <v>105</v>
      </c>
      <c r="K14" s="62" t="s">
        <v>106</v>
      </c>
      <c r="L14" s="114" t="s">
        <v>107</v>
      </c>
      <c r="M14" s="114" t="s">
        <v>108</v>
      </c>
    </row>
    <row r="15" spans="1:14" ht="45.75" thickBot="1" x14ac:dyDescent="0.3">
      <c r="B15" s="63" t="s">
        <v>44</v>
      </c>
      <c r="C15" s="67">
        <v>20</v>
      </c>
      <c r="D15" s="59">
        <v>150</v>
      </c>
      <c r="E15" s="175">
        <f>D15-General!H10</f>
        <v>150</v>
      </c>
      <c r="F15" s="102">
        <f>E15*100/C15</f>
        <v>750</v>
      </c>
      <c r="G15" s="137">
        <f>F15*0.005</f>
        <v>3.75</v>
      </c>
      <c r="H15" s="138">
        <f>F15*0.075</f>
        <v>56.25</v>
      </c>
      <c r="I15" s="138">
        <f>F15*0.125</f>
        <v>93.75</v>
      </c>
      <c r="J15" s="138">
        <f>F15*0.15</f>
        <v>112.5</v>
      </c>
      <c r="K15" s="138">
        <f>F15*0.1718</f>
        <v>128.85</v>
      </c>
      <c r="L15" s="138">
        <f>F15*0.2232</f>
        <v>167.4</v>
      </c>
      <c r="M15" s="139">
        <f>F15*0.25</f>
        <v>187.5</v>
      </c>
      <c r="N15" s="143"/>
    </row>
    <row r="16" spans="1:14" ht="30.75" thickBot="1" x14ac:dyDescent="0.3">
      <c r="B16" s="64" t="s">
        <v>45</v>
      </c>
      <c r="C16" s="68">
        <v>46</v>
      </c>
      <c r="D16" s="53">
        <v>150</v>
      </c>
      <c r="E16" s="176">
        <f>D16-General!H10</f>
        <v>150</v>
      </c>
      <c r="F16" s="103">
        <f>E16*100/C16</f>
        <v>326.08695652173913</v>
      </c>
      <c r="G16" s="134">
        <f t="shared" ref="G16:G19" si="6">F16*0.005</f>
        <v>1.6304347826086956</v>
      </c>
      <c r="H16" s="135">
        <f t="shared" ref="H16:H19" si="7">F16*0.075</f>
        <v>24.456521739130434</v>
      </c>
      <c r="I16" s="135">
        <f t="shared" ref="I16:I19" si="8">F16*0.125</f>
        <v>40.760869565217391</v>
      </c>
      <c r="J16" s="135">
        <f t="shared" ref="J16:J19" si="9">F16*0.15</f>
        <v>48.913043478260867</v>
      </c>
      <c r="K16" s="135">
        <f t="shared" ref="K16:K19" si="10">F16*0.1725</f>
        <v>56.249999999999993</v>
      </c>
      <c r="L16" s="135">
        <f>F16*0.2225</f>
        <v>72.554347826086953</v>
      </c>
      <c r="M16" s="136">
        <f>F16*0.25</f>
        <v>81.521739130434781</v>
      </c>
      <c r="N16" s="143"/>
    </row>
    <row r="17" spans="1:14" ht="45.75" thickBot="1" x14ac:dyDescent="0.3">
      <c r="B17" s="65" t="s">
        <v>46</v>
      </c>
      <c r="C17" s="68">
        <v>30</v>
      </c>
      <c r="D17" s="53">
        <v>150</v>
      </c>
      <c r="E17" s="176">
        <f>D17-General!H10</f>
        <v>150</v>
      </c>
      <c r="F17" s="103">
        <f>E17*100/C17</f>
        <v>500</v>
      </c>
      <c r="G17" s="134">
        <f t="shared" si="6"/>
        <v>2.5</v>
      </c>
      <c r="H17" s="135">
        <f t="shared" si="7"/>
        <v>37.5</v>
      </c>
      <c r="I17" s="135">
        <f t="shared" si="8"/>
        <v>62.5</v>
      </c>
      <c r="J17" s="135">
        <f t="shared" si="9"/>
        <v>75</v>
      </c>
      <c r="K17" s="135">
        <f t="shared" si="10"/>
        <v>86.25</v>
      </c>
      <c r="L17" s="135">
        <f>F17*0.2225</f>
        <v>111.25</v>
      </c>
      <c r="M17" s="136">
        <f t="shared" ref="M17" si="11">F17*0.25</f>
        <v>125</v>
      </c>
      <c r="N17" s="143"/>
    </row>
    <row r="18" spans="1:14" ht="45.75" thickBot="1" x14ac:dyDescent="0.3">
      <c r="B18" s="132" t="s">
        <v>46</v>
      </c>
      <c r="C18" s="68">
        <v>52</v>
      </c>
      <c r="D18" s="53">
        <v>150</v>
      </c>
      <c r="E18" s="176">
        <f>D18-General!H10</f>
        <v>150</v>
      </c>
      <c r="F18" s="103">
        <f>E18*100/C18</f>
        <v>288.46153846153845</v>
      </c>
      <c r="G18" s="134">
        <f t="shared" si="6"/>
        <v>1.4423076923076923</v>
      </c>
      <c r="H18" s="135">
        <f t="shared" si="7"/>
        <v>21.634615384615383</v>
      </c>
      <c r="I18" s="135">
        <f t="shared" si="8"/>
        <v>36.057692307692307</v>
      </c>
      <c r="J18" s="135">
        <f t="shared" si="9"/>
        <v>43.269230769230766</v>
      </c>
      <c r="K18" s="135">
        <f t="shared" si="10"/>
        <v>49.75961538461538</v>
      </c>
      <c r="L18" s="135">
        <f>F18*0.2225</f>
        <v>64.182692307692307</v>
      </c>
      <c r="M18" s="136">
        <f>F18*0.25</f>
        <v>72.115384615384613</v>
      </c>
      <c r="N18" s="143"/>
    </row>
    <row r="19" spans="1:14" ht="45.75" thickBot="1" x14ac:dyDescent="0.3">
      <c r="B19" s="133" t="s">
        <v>47</v>
      </c>
      <c r="C19" s="69">
        <v>46</v>
      </c>
      <c r="D19" s="61">
        <v>150</v>
      </c>
      <c r="E19" s="177">
        <f>D19-General!H10</f>
        <v>150</v>
      </c>
      <c r="F19" s="103">
        <f>E19*100/C19</f>
        <v>326.08695652173913</v>
      </c>
      <c r="G19" s="140">
        <f t="shared" si="6"/>
        <v>1.6304347826086956</v>
      </c>
      <c r="H19" s="141">
        <f t="shared" si="7"/>
        <v>24.456521739130434</v>
      </c>
      <c r="I19" s="141">
        <f t="shared" si="8"/>
        <v>40.760869565217391</v>
      </c>
      <c r="J19" s="141">
        <f t="shared" si="9"/>
        <v>48.913043478260867</v>
      </c>
      <c r="K19" s="141">
        <f t="shared" si="10"/>
        <v>56.249999999999993</v>
      </c>
      <c r="L19" s="141">
        <f>F19*0.2225</f>
        <v>72.554347826086953</v>
      </c>
      <c r="M19" s="142">
        <f>F19*0.25</f>
        <v>81.521739130434781</v>
      </c>
      <c r="N19" s="143"/>
    </row>
    <row r="20" spans="1:14" ht="15.75" thickBot="1" x14ac:dyDescent="0.3">
      <c r="B20" s="48"/>
      <c r="C20" s="35"/>
      <c r="D20" s="37"/>
    </row>
    <row r="21" spans="1:14" ht="19.5" thickBot="1" x14ac:dyDescent="0.35">
      <c r="A21" s="49" t="s">
        <v>60</v>
      </c>
      <c r="B21" s="277" t="s">
        <v>138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9"/>
    </row>
    <row r="22" spans="1:14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4" ht="15.75" thickBot="1" x14ac:dyDescent="0.3">
      <c r="B23" s="293" t="s">
        <v>30</v>
      </c>
      <c r="C23" s="295" t="s">
        <v>54</v>
      </c>
      <c r="D23" s="295" t="s">
        <v>122</v>
      </c>
      <c r="E23" s="297" t="s">
        <v>123</v>
      </c>
      <c r="F23" s="241" t="s">
        <v>127</v>
      </c>
      <c r="G23" s="280" t="s">
        <v>145</v>
      </c>
      <c r="H23" s="281"/>
      <c r="I23" s="281"/>
      <c r="J23" s="281"/>
      <c r="K23" s="281"/>
      <c r="L23" s="281"/>
      <c r="M23" s="282"/>
      <c r="N23" s="216" t="s">
        <v>71</v>
      </c>
    </row>
    <row r="24" spans="1:14" ht="45.75" thickBot="1" x14ac:dyDescent="0.3">
      <c r="B24" s="294"/>
      <c r="C24" s="296"/>
      <c r="D24" s="296"/>
      <c r="E24" s="298"/>
      <c r="F24" s="242"/>
      <c r="G24" s="62" t="s">
        <v>97</v>
      </c>
      <c r="H24" s="62" t="s">
        <v>103</v>
      </c>
      <c r="I24" s="62" t="s">
        <v>104</v>
      </c>
      <c r="J24" s="62" t="s">
        <v>105</v>
      </c>
      <c r="K24" s="62" t="s">
        <v>106</v>
      </c>
      <c r="L24" s="114" t="s">
        <v>107</v>
      </c>
      <c r="M24" s="114" t="s">
        <v>108</v>
      </c>
      <c r="N24" s="217"/>
    </row>
    <row r="25" spans="1:14" ht="30.75" thickBot="1" x14ac:dyDescent="0.3">
      <c r="B25" s="104" t="s">
        <v>55</v>
      </c>
      <c r="C25" s="107">
        <v>20</v>
      </c>
      <c r="D25" s="24">
        <v>300</v>
      </c>
      <c r="E25" s="172">
        <f>D25-General!H11</f>
        <v>300</v>
      </c>
      <c r="F25" s="102">
        <f>E25*100/C25</f>
        <v>1500</v>
      </c>
      <c r="G25" s="137">
        <f>F25*0.03</f>
        <v>45</v>
      </c>
      <c r="H25" s="138">
        <f>F25*0.0465</f>
        <v>69.75</v>
      </c>
      <c r="I25" s="138">
        <f>F25*0.0872</f>
        <v>130.80000000000001</v>
      </c>
      <c r="J25" s="138">
        <f>F25*0.145</f>
        <v>217.49999999999997</v>
      </c>
      <c r="K25" s="138">
        <f>F25*0.1817</f>
        <v>272.55</v>
      </c>
      <c r="L25" s="138">
        <f>F25*0.218</f>
        <v>327</v>
      </c>
      <c r="M25" s="139">
        <f>F25*0.2915</f>
        <v>437.25</v>
      </c>
      <c r="N25" s="187">
        <f>(F25*13)/100</f>
        <v>195</v>
      </c>
    </row>
    <row r="26" spans="1:14" ht="30.75" thickBot="1" x14ac:dyDescent="0.3">
      <c r="B26" s="105" t="s">
        <v>56</v>
      </c>
      <c r="C26" s="108">
        <v>46</v>
      </c>
      <c r="D26" s="1">
        <v>300</v>
      </c>
      <c r="E26" s="173">
        <f>D26-General!H11</f>
        <v>300</v>
      </c>
      <c r="F26" s="103">
        <f>E26*100/C26</f>
        <v>652.17391304347825</v>
      </c>
      <c r="G26" s="134">
        <f t="shared" ref="G26:G27" si="12">F26*0.03</f>
        <v>19.565217391304348</v>
      </c>
      <c r="H26" s="135">
        <f t="shared" ref="H26:H27" si="13">F26*0.0465</f>
        <v>30.326086956521738</v>
      </c>
      <c r="I26" s="135">
        <f t="shared" ref="I26:I27" si="14">F26*0.0872</f>
        <v>56.869565217391305</v>
      </c>
      <c r="J26" s="135">
        <f t="shared" ref="J26:J27" si="15">F26*0.145</f>
        <v>94.565217391304344</v>
      </c>
      <c r="K26" s="135">
        <f t="shared" ref="K26:K27" si="16">F26*0.1817</f>
        <v>118.5</v>
      </c>
      <c r="L26" s="135">
        <f t="shared" ref="L26:L27" si="17">F26*0.218</f>
        <v>142.17391304347825</v>
      </c>
      <c r="M26" s="136">
        <f>F26*0.2915</f>
        <v>190.10869565217391</v>
      </c>
      <c r="N26" s="188">
        <f>F26*0</f>
        <v>0</v>
      </c>
    </row>
    <row r="27" spans="1:14" ht="30.75" thickBot="1" x14ac:dyDescent="0.3">
      <c r="B27" s="106" t="s">
        <v>57</v>
      </c>
      <c r="C27" s="109">
        <v>60</v>
      </c>
      <c r="D27" s="5">
        <v>300</v>
      </c>
      <c r="E27" s="174">
        <f>D27-General!H11</f>
        <v>300</v>
      </c>
      <c r="F27" s="103">
        <f>E27*100/C27</f>
        <v>500</v>
      </c>
      <c r="G27" s="140">
        <f t="shared" si="12"/>
        <v>15</v>
      </c>
      <c r="H27" s="141">
        <f t="shared" si="13"/>
        <v>23.25</v>
      </c>
      <c r="I27" s="141">
        <f t="shared" si="14"/>
        <v>43.6</v>
      </c>
      <c r="J27" s="141">
        <f t="shared" si="15"/>
        <v>72.5</v>
      </c>
      <c r="K27" s="141">
        <f t="shared" si="16"/>
        <v>90.85</v>
      </c>
      <c r="L27" s="141">
        <f t="shared" si="17"/>
        <v>109</v>
      </c>
      <c r="M27" s="142">
        <f>F27*0.2915</f>
        <v>145.75</v>
      </c>
      <c r="N27" s="189">
        <f>F27*0</f>
        <v>0</v>
      </c>
    </row>
  </sheetData>
  <mergeCells count="22">
    <mergeCell ref="E13:E14"/>
    <mergeCell ref="F13:F14"/>
    <mergeCell ref="G13:M13"/>
    <mergeCell ref="B23:B24"/>
    <mergeCell ref="C23:C24"/>
    <mergeCell ref="D23:D24"/>
    <mergeCell ref="B13:B14"/>
    <mergeCell ref="C13:C14"/>
    <mergeCell ref="D13:D14"/>
    <mergeCell ref="B21:N21"/>
    <mergeCell ref="E23:E24"/>
    <mergeCell ref="F23:F24"/>
    <mergeCell ref="G23:M23"/>
    <mergeCell ref="N23:N24"/>
    <mergeCell ref="B2:M2"/>
    <mergeCell ref="E4:E5"/>
    <mergeCell ref="F4:F5"/>
    <mergeCell ref="G4:M4"/>
    <mergeCell ref="B11:M11"/>
    <mergeCell ref="B4:B5"/>
    <mergeCell ref="C4:C5"/>
    <mergeCell ref="D4:D5"/>
  </mergeCells>
  <dataValidations count="2">
    <dataValidation type="list" allowBlank="1" showInputMessage="1" showErrorMessage="1" sqref="D6:D9 D15:D19" xr:uid="{00000000-0002-0000-0C00-000000000000}">
      <formula1>"50,60,70,80,90,100,110,120,130,140,150,160,170,180,190,200,210,220,230,240,250,260,270,280,290,300,310,320,330,340,350"</formula1>
    </dataValidation>
    <dataValidation type="list" allowBlank="1" showInputMessage="1" showErrorMessage="1" sqref="D25:D27" xr:uid="{00000000-0002-0000-0C00-000001000000}">
      <formula1>"50,60,70,80,90,100,110,120,130,140,150,160,170,180,190,200,210,220,230,240,250,260,270,280,290,300,310,320,330,340,350,360,370,380,390,400,410,420,430,440,450,460,470,480,490,500"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749992370372631"/>
  </sheetPr>
  <dimension ref="A1:R30"/>
  <sheetViews>
    <sheetView workbookViewId="0">
      <selection activeCell="H6" sqref="H6"/>
    </sheetView>
  </sheetViews>
  <sheetFormatPr baseColWidth="10" defaultRowHeight="15" x14ac:dyDescent="0.25"/>
  <cols>
    <col min="1" max="1" width="2.5703125" bestFit="1" customWidth="1"/>
    <col min="2" max="2" width="13.85546875" customWidth="1"/>
    <col min="4" max="4" width="13" customWidth="1"/>
    <col min="5" max="5" width="12.140625" customWidth="1"/>
    <col min="6" max="6" width="13.140625" customWidth="1"/>
    <col min="7" max="7" width="11.5703125" customWidth="1"/>
    <col min="8" max="8" width="11" customWidth="1"/>
    <col min="9" max="9" width="12.28515625" customWidth="1"/>
  </cols>
  <sheetData>
    <row r="1" spans="1:18" ht="15.75" thickBot="1" x14ac:dyDescent="0.3"/>
    <row r="2" spans="1:18" ht="19.5" thickBot="1" x14ac:dyDescent="0.35">
      <c r="A2" s="49" t="s">
        <v>58</v>
      </c>
      <c r="B2" s="218" t="s">
        <v>137</v>
      </c>
      <c r="C2" s="219"/>
      <c r="D2" s="219"/>
      <c r="E2" s="219"/>
      <c r="F2" s="219"/>
      <c r="G2" s="219"/>
      <c r="H2" s="219"/>
      <c r="I2" s="219"/>
      <c r="J2" s="220"/>
    </row>
    <row r="3" spans="1:18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8" ht="15.75" customHeight="1" thickBot="1" x14ac:dyDescent="0.3">
      <c r="B4" s="250" t="s">
        <v>30</v>
      </c>
      <c r="C4" s="252" t="s">
        <v>50</v>
      </c>
      <c r="D4" s="252" t="s">
        <v>61</v>
      </c>
      <c r="E4" s="254" t="s">
        <v>62</v>
      </c>
      <c r="F4" s="216" t="s">
        <v>131</v>
      </c>
      <c r="G4" s="247" t="s">
        <v>65</v>
      </c>
      <c r="H4" s="248"/>
      <c r="I4" s="248"/>
      <c r="J4" s="249"/>
    </row>
    <row r="5" spans="1:18" ht="42" customHeight="1" thickBot="1" x14ac:dyDescent="0.3">
      <c r="B5" s="251"/>
      <c r="C5" s="253"/>
      <c r="D5" s="253"/>
      <c r="E5" s="255"/>
      <c r="F5" s="238"/>
      <c r="G5" s="91" t="s">
        <v>67</v>
      </c>
      <c r="H5" s="92" t="s">
        <v>66</v>
      </c>
      <c r="I5" s="93" t="s">
        <v>68</v>
      </c>
      <c r="J5" s="94" t="s">
        <v>69</v>
      </c>
    </row>
    <row r="6" spans="1:18" ht="30.75" thickBot="1" x14ac:dyDescent="0.3">
      <c r="B6" s="63" t="s">
        <v>49</v>
      </c>
      <c r="C6" s="67">
        <v>21</v>
      </c>
      <c r="D6" s="59">
        <v>100</v>
      </c>
      <c r="E6" s="175">
        <f>D6-General!G9</f>
        <v>100</v>
      </c>
      <c r="F6" s="77">
        <f>E6*100/C6</f>
        <v>476.1904761904762</v>
      </c>
      <c r="G6" s="23">
        <f>F6*0</f>
        <v>0</v>
      </c>
      <c r="H6" s="79">
        <f>F6*0.314</f>
        <v>149.52380952380952</v>
      </c>
      <c r="I6" s="79">
        <f>F6*0.686</f>
        <v>326.66666666666669</v>
      </c>
      <c r="J6" s="60">
        <f>F6*0</f>
        <v>0</v>
      </c>
    </row>
    <row r="7" spans="1:18" ht="30.75" thickBot="1" x14ac:dyDescent="0.3">
      <c r="B7" s="64" t="s">
        <v>51</v>
      </c>
      <c r="C7" s="68">
        <v>82</v>
      </c>
      <c r="D7" s="53">
        <v>100</v>
      </c>
      <c r="E7" s="176">
        <f>D7-General!G9</f>
        <v>100</v>
      </c>
      <c r="F7" s="77">
        <f>E7*100/C7</f>
        <v>121.95121951219512</v>
      </c>
      <c r="G7" s="2">
        <f>F7*0</f>
        <v>0</v>
      </c>
      <c r="H7" s="80">
        <f>F7*0.314</f>
        <v>38.292682926829272</v>
      </c>
      <c r="I7" s="80">
        <f t="shared" ref="I7:I9" si="0">F7*0.686</f>
        <v>83.658536585365866</v>
      </c>
      <c r="J7" s="3">
        <f t="shared" ref="J7:J9" si="1">F7*0</f>
        <v>0</v>
      </c>
    </row>
    <row r="8" spans="1:18" ht="30.75" thickBot="1" x14ac:dyDescent="0.3">
      <c r="B8" s="65" t="s">
        <v>52</v>
      </c>
      <c r="C8" s="68">
        <v>34</v>
      </c>
      <c r="D8" s="53">
        <v>100</v>
      </c>
      <c r="E8" s="176">
        <f>D8-General!G9</f>
        <v>100</v>
      </c>
      <c r="F8" s="77">
        <f>E8*100/C8</f>
        <v>294.11764705882354</v>
      </c>
      <c r="G8" s="2">
        <f>F8*0</f>
        <v>0</v>
      </c>
      <c r="H8" s="80">
        <f>F8*0.314</f>
        <v>92.352941176470594</v>
      </c>
      <c r="I8" s="80">
        <f t="shared" si="0"/>
        <v>201.76470588235296</v>
      </c>
      <c r="J8" s="3">
        <f t="shared" si="1"/>
        <v>0</v>
      </c>
      <c r="O8" s="8"/>
    </row>
    <row r="9" spans="1:18" ht="24.75" customHeight="1" thickBot="1" x14ac:dyDescent="0.3">
      <c r="B9" s="66" t="s">
        <v>53</v>
      </c>
      <c r="C9" s="69">
        <v>46</v>
      </c>
      <c r="D9" s="61">
        <v>100</v>
      </c>
      <c r="E9" s="177">
        <f>D9-General!G9</f>
        <v>100</v>
      </c>
      <c r="F9" s="78">
        <f>E9*100/C9</f>
        <v>217.39130434782609</v>
      </c>
      <c r="G9" s="4">
        <f>F9*0</f>
        <v>0</v>
      </c>
      <c r="H9" s="81">
        <f t="shared" ref="H9" si="2">F9*0.314</f>
        <v>68.260869565217391</v>
      </c>
      <c r="I9" s="81">
        <f t="shared" si="0"/>
        <v>149.13043478260872</v>
      </c>
      <c r="J9" s="6">
        <f t="shared" si="1"/>
        <v>0</v>
      </c>
      <c r="O9" s="48"/>
      <c r="P9" s="35"/>
      <c r="Q9" s="35"/>
      <c r="R9" s="37"/>
    </row>
    <row r="10" spans="1:18" ht="15.75" thickBot="1" x14ac:dyDescent="0.3">
      <c r="B10" s="48"/>
      <c r="C10" s="35"/>
      <c r="D10" s="37"/>
      <c r="O10" s="48"/>
      <c r="P10" s="35"/>
      <c r="Q10" s="35"/>
      <c r="R10" s="37"/>
    </row>
    <row r="11" spans="1:18" ht="19.5" thickBot="1" x14ac:dyDescent="0.35">
      <c r="A11" s="49" t="s">
        <v>59</v>
      </c>
      <c r="B11" s="221" t="s">
        <v>136</v>
      </c>
      <c r="C11" s="222"/>
      <c r="D11" s="222"/>
      <c r="E11" s="222"/>
      <c r="F11" s="222"/>
      <c r="G11" s="222"/>
      <c r="H11" s="222"/>
      <c r="I11" s="222"/>
      <c r="J11" s="223"/>
      <c r="O11" s="48"/>
      <c r="P11" s="35"/>
      <c r="Q11" s="35"/>
      <c r="R11" s="37"/>
    </row>
    <row r="12" spans="1:18" ht="15.75" thickBot="1" x14ac:dyDescent="0.3">
      <c r="A12" s="52"/>
      <c r="B12" s="58"/>
      <c r="C12" s="58"/>
      <c r="D12" s="58"/>
      <c r="E12" s="58"/>
      <c r="F12" s="58"/>
      <c r="G12" s="58"/>
      <c r="H12" s="58"/>
      <c r="O12" s="48"/>
      <c r="P12" s="35"/>
      <c r="Q12" s="35"/>
      <c r="R12" s="37"/>
    </row>
    <row r="13" spans="1:18" ht="15.75" customHeight="1" thickBot="1" x14ac:dyDescent="0.3">
      <c r="A13" s="70"/>
      <c r="B13" s="243" t="s">
        <v>30</v>
      </c>
      <c r="C13" s="245" t="s">
        <v>48</v>
      </c>
      <c r="D13" s="245" t="s">
        <v>63</v>
      </c>
      <c r="E13" s="239" t="s">
        <v>64</v>
      </c>
      <c r="F13" s="241" t="s">
        <v>132</v>
      </c>
      <c r="G13" s="227" t="s">
        <v>65</v>
      </c>
      <c r="H13" s="228"/>
      <c r="I13" s="228"/>
      <c r="J13" s="229"/>
    </row>
    <row r="14" spans="1:18" ht="42" customHeight="1" thickBot="1" x14ac:dyDescent="0.3">
      <c r="A14" s="70"/>
      <c r="B14" s="244"/>
      <c r="C14" s="246"/>
      <c r="D14" s="246"/>
      <c r="E14" s="240"/>
      <c r="F14" s="242"/>
      <c r="G14" s="91" t="s">
        <v>67</v>
      </c>
      <c r="H14" s="92" t="s">
        <v>66</v>
      </c>
      <c r="I14" s="93" t="s">
        <v>68</v>
      </c>
      <c r="J14" s="94" t="s">
        <v>69</v>
      </c>
    </row>
    <row r="15" spans="1:18" ht="30.75" thickBot="1" x14ac:dyDescent="0.3">
      <c r="B15" s="72" t="s">
        <v>44</v>
      </c>
      <c r="C15" s="67">
        <v>20</v>
      </c>
      <c r="D15" s="59">
        <v>50</v>
      </c>
      <c r="E15" s="178">
        <f>D15-General!G10</f>
        <v>50</v>
      </c>
      <c r="F15" s="83">
        <f>E15*100/C15</f>
        <v>250</v>
      </c>
      <c r="G15" s="95">
        <f>F15*0.55</f>
        <v>137.5</v>
      </c>
      <c r="H15" s="90">
        <f>F15*0.45</f>
        <v>112.5</v>
      </c>
      <c r="I15" s="90">
        <f>F15*0</f>
        <v>0</v>
      </c>
      <c r="J15" s="7">
        <f>F15*0</f>
        <v>0</v>
      </c>
    </row>
    <row r="16" spans="1:18" ht="30.75" thickBot="1" x14ac:dyDescent="0.3">
      <c r="B16" s="73" t="s">
        <v>45</v>
      </c>
      <c r="C16" s="68">
        <v>46</v>
      </c>
      <c r="D16" s="53">
        <v>50</v>
      </c>
      <c r="E16" s="179">
        <f>D16-General!G10</f>
        <v>50</v>
      </c>
      <c r="F16" s="84">
        <f>E16*100/C16</f>
        <v>108.69565217391305</v>
      </c>
      <c r="G16" s="85">
        <f t="shared" ref="G16:G19" si="3">F16*0.55</f>
        <v>59.782608695652179</v>
      </c>
      <c r="H16" s="80">
        <f t="shared" ref="H16:H19" si="4">F16*0.45</f>
        <v>48.913043478260875</v>
      </c>
      <c r="I16" s="80">
        <f t="shared" ref="I16:I19" si="5">F16*0</f>
        <v>0</v>
      </c>
      <c r="J16" s="3">
        <f t="shared" ref="J16:J19" si="6">F16*0</f>
        <v>0</v>
      </c>
    </row>
    <row r="17" spans="1:11" ht="45.75" thickBot="1" x14ac:dyDescent="0.3">
      <c r="B17" s="74" t="s">
        <v>46</v>
      </c>
      <c r="C17" s="68">
        <v>30</v>
      </c>
      <c r="D17" s="53">
        <v>50</v>
      </c>
      <c r="E17" s="179">
        <f>D17-General!G10</f>
        <v>50</v>
      </c>
      <c r="F17" s="84">
        <f>E17*100/C17</f>
        <v>166.66666666666666</v>
      </c>
      <c r="G17" s="85">
        <f t="shared" si="3"/>
        <v>91.666666666666671</v>
      </c>
      <c r="H17" s="80">
        <f t="shared" si="4"/>
        <v>75</v>
      </c>
      <c r="I17" s="80">
        <f t="shared" si="5"/>
        <v>0</v>
      </c>
      <c r="J17" s="3">
        <f t="shared" si="6"/>
        <v>0</v>
      </c>
    </row>
    <row r="18" spans="1:11" ht="45.75" thickBot="1" x14ac:dyDescent="0.3">
      <c r="B18" s="75" t="s">
        <v>46</v>
      </c>
      <c r="C18" s="68">
        <v>52</v>
      </c>
      <c r="D18" s="53">
        <v>50</v>
      </c>
      <c r="E18" s="170">
        <f>D18-General!G10</f>
        <v>50</v>
      </c>
      <c r="F18" s="84">
        <f>E18*100/C18</f>
        <v>96.15384615384616</v>
      </c>
      <c r="G18" s="85">
        <f t="shared" si="3"/>
        <v>52.884615384615394</v>
      </c>
      <c r="H18" s="80">
        <f t="shared" si="4"/>
        <v>43.269230769230774</v>
      </c>
      <c r="I18" s="80">
        <f t="shared" si="5"/>
        <v>0</v>
      </c>
      <c r="J18" s="3">
        <f t="shared" si="6"/>
        <v>0</v>
      </c>
    </row>
    <row r="19" spans="1:11" ht="45.75" thickBot="1" x14ac:dyDescent="0.3">
      <c r="B19" s="76" t="s">
        <v>47</v>
      </c>
      <c r="C19" s="69">
        <v>46</v>
      </c>
      <c r="D19" s="61">
        <v>50</v>
      </c>
      <c r="E19" s="171">
        <f>D19-General!G10</f>
        <v>50</v>
      </c>
      <c r="F19" s="84">
        <f>E19*100/C19</f>
        <v>108.69565217391305</v>
      </c>
      <c r="G19" s="86">
        <f t="shared" si="3"/>
        <v>59.782608695652179</v>
      </c>
      <c r="H19" s="81">
        <f t="shared" si="4"/>
        <v>48.913043478260875</v>
      </c>
      <c r="I19" s="81">
        <f t="shared" si="5"/>
        <v>0</v>
      </c>
      <c r="J19" s="6">
        <f t="shared" si="6"/>
        <v>0</v>
      </c>
    </row>
    <row r="20" spans="1:11" ht="15.75" thickBot="1" x14ac:dyDescent="0.3">
      <c r="B20" s="48"/>
      <c r="C20" s="35"/>
      <c r="D20" s="37"/>
    </row>
    <row r="21" spans="1:11" ht="19.5" thickBot="1" x14ac:dyDescent="0.35">
      <c r="A21" s="49" t="s">
        <v>60</v>
      </c>
      <c r="B21" s="224" t="s">
        <v>138</v>
      </c>
      <c r="C21" s="225"/>
      <c r="D21" s="225"/>
      <c r="E21" s="225"/>
      <c r="F21" s="225"/>
      <c r="G21" s="225"/>
      <c r="H21" s="225"/>
      <c r="I21" s="225"/>
      <c r="J21" s="225"/>
      <c r="K21" s="226"/>
    </row>
    <row r="22" spans="1:11" s="70" customFormat="1" ht="15.75" thickBot="1" x14ac:dyDescent="0.3">
      <c r="A22" s="52"/>
      <c r="B22" s="52"/>
      <c r="C22" s="52"/>
      <c r="D22" s="52"/>
      <c r="E22" s="52"/>
      <c r="F22" s="52"/>
      <c r="G22" s="52"/>
      <c r="H22" s="52"/>
    </row>
    <row r="23" spans="1:11" ht="15.75" customHeight="1" thickBot="1" x14ac:dyDescent="0.3">
      <c r="B23" s="230" t="s">
        <v>30</v>
      </c>
      <c r="C23" s="232" t="s">
        <v>54</v>
      </c>
      <c r="D23" s="232" t="s">
        <v>70</v>
      </c>
      <c r="E23" s="234" t="s">
        <v>72</v>
      </c>
      <c r="F23" s="236" t="s">
        <v>133</v>
      </c>
      <c r="G23" s="227" t="s">
        <v>65</v>
      </c>
      <c r="H23" s="228"/>
      <c r="I23" s="228"/>
      <c r="J23" s="229"/>
      <c r="K23" s="216" t="s">
        <v>71</v>
      </c>
    </row>
    <row r="24" spans="1:11" ht="42.75" customHeight="1" thickBot="1" x14ac:dyDescent="0.3">
      <c r="B24" s="231"/>
      <c r="C24" s="233"/>
      <c r="D24" s="233"/>
      <c r="E24" s="235"/>
      <c r="F24" s="237"/>
      <c r="G24" s="87" t="s">
        <v>67</v>
      </c>
      <c r="H24" s="88" t="s">
        <v>66</v>
      </c>
      <c r="I24" s="100" t="s">
        <v>68</v>
      </c>
      <c r="J24" s="89" t="s">
        <v>69</v>
      </c>
      <c r="K24" s="217"/>
    </row>
    <row r="25" spans="1:11" ht="30.75" thickBot="1" x14ac:dyDescent="0.3">
      <c r="B25" s="104" t="s">
        <v>55</v>
      </c>
      <c r="C25" s="107">
        <v>20</v>
      </c>
      <c r="D25" s="24">
        <v>100</v>
      </c>
      <c r="E25" s="172">
        <f>D25-General!G11</f>
        <v>100</v>
      </c>
      <c r="F25" s="181">
        <f>E25*100/C25</f>
        <v>500</v>
      </c>
      <c r="G25" s="82">
        <f>F25*0</f>
        <v>0</v>
      </c>
      <c r="H25" s="79">
        <f>F25*0.3125</f>
        <v>156.25</v>
      </c>
      <c r="I25" s="79">
        <f>F25*0.3303</f>
        <v>165.14999999999998</v>
      </c>
      <c r="J25" s="99">
        <f>F25*0.3572</f>
        <v>178.60000000000002</v>
      </c>
      <c r="K25" s="194">
        <f>F25*13/100</f>
        <v>65</v>
      </c>
    </row>
    <row r="26" spans="1:11" ht="30.75" thickBot="1" x14ac:dyDescent="0.3">
      <c r="B26" s="105" t="s">
        <v>56</v>
      </c>
      <c r="C26" s="108">
        <v>46</v>
      </c>
      <c r="D26" s="1">
        <v>100</v>
      </c>
      <c r="E26" s="173">
        <f>D26-General!G11</f>
        <v>100</v>
      </c>
      <c r="F26" s="182">
        <f>E26*100/C26</f>
        <v>217.39130434782609</v>
      </c>
      <c r="G26" s="85">
        <f t="shared" ref="G26:G27" si="7">F26*0</f>
        <v>0</v>
      </c>
      <c r="H26" s="80">
        <f t="shared" ref="H26:H27" si="8">F26*0.3125</f>
        <v>67.934782608695656</v>
      </c>
      <c r="I26" s="80">
        <f t="shared" ref="I26:I27" si="9">F26*0.3303</f>
        <v>71.804347826086953</v>
      </c>
      <c r="J26" s="10">
        <f t="shared" ref="J26:J27" si="10">F26*0.3572</f>
        <v>77.652173913043484</v>
      </c>
      <c r="K26" s="195">
        <f>F26*0</f>
        <v>0</v>
      </c>
    </row>
    <row r="27" spans="1:11" ht="30.75" thickBot="1" x14ac:dyDescent="0.3">
      <c r="B27" s="106" t="s">
        <v>57</v>
      </c>
      <c r="C27" s="109">
        <v>60</v>
      </c>
      <c r="D27" s="5">
        <v>100</v>
      </c>
      <c r="E27" s="174">
        <f>D27-General!G11</f>
        <v>100</v>
      </c>
      <c r="F27" s="182">
        <f>E27*100/C27</f>
        <v>166.66666666666666</v>
      </c>
      <c r="G27" s="86">
        <f t="shared" si="7"/>
        <v>0</v>
      </c>
      <c r="H27" s="81">
        <f t="shared" si="8"/>
        <v>52.083333333333329</v>
      </c>
      <c r="I27" s="81">
        <f t="shared" si="9"/>
        <v>55.05</v>
      </c>
      <c r="J27" s="101">
        <f t="shared" si="10"/>
        <v>59.533333333333331</v>
      </c>
      <c r="K27" s="196">
        <f>F27*0</f>
        <v>0</v>
      </c>
    </row>
    <row r="28" spans="1:11" x14ac:dyDescent="0.25">
      <c r="F28" s="96"/>
      <c r="G28" s="97"/>
      <c r="H28" s="97"/>
      <c r="I28" s="97"/>
      <c r="J28" s="98"/>
      <c r="K28" s="98"/>
    </row>
    <row r="29" spans="1:11" x14ac:dyDescent="0.25">
      <c r="F29" s="96"/>
      <c r="G29" s="97"/>
      <c r="H29" s="97"/>
      <c r="I29" s="97"/>
      <c r="J29" s="98"/>
      <c r="K29" s="98"/>
    </row>
    <row r="30" spans="1:11" x14ac:dyDescent="0.25">
      <c r="F30" s="98"/>
      <c r="G30" s="98"/>
      <c r="H30" s="98"/>
      <c r="I30" s="98"/>
      <c r="J30" s="98"/>
      <c r="K30" s="98"/>
    </row>
  </sheetData>
  <mergeCells count="22">
    <mergeCell ref="D13:D14"/>
    <mergeCell ref="G4:J4"/>
    <mergeCell ref="B4:B5"/>
    <mergeCell ref="C4:C5"/>
    <mergeCell ref="D4:D5"/>
    <mergeCell ref="E4:E5"/>
    <mergeCell ref="K23:K24"/>
    <mergeCell ref="B2:J2"/>
    <mergeCell ref="B11:J11"/>
    <mergeCell ref="B21:K21"/>
    <mergeCell ref="G13:J13"/>
    <mergeCell ref="B23:B24"/>
    <mergeCell ref="C23:C24"/>
    <mergeCell ref="D23:D24"/>
    <mergeCell ref="E23:E24"/>
    <mergeCell ref="F23:F24"/>
    <mergeCell ref="G23:J23"/>
    <mergeCell ref="F4:F5"/>
    <mergeCell ref="E13:E14"/>
    <mergeCell ref="F13:F14"/>
    <mergeCell ref="B13:B14"/>
    <mergeCell ref="C13:C14"/>
  </mergeCells>
  <dataValidations count="2">
    <dataValidation type="list" allowBlank="1" showInputMessage="1" showErrorMessage="1" sqref="D6:D9 D25:D27" xr:uid="{00000000-0002-0000-0100-000000000000}">
      <formula1>"20,30,40,50,60,70,80,90,100,110,120,130,140,150,160,170,180,190,200"</formula1>
    </dataValidation>
    <dataValidation type="list" allowBlank="1" showInputMessage="1" showErrorMessage="1" sqref="D15:D19" xr:uid="{00000000-0002-0000-0100-000001000000}">
      <formula1>"20,30,40,50,60,70,80,90,100"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K27"/>
  <sheetViews>
    <sheetView topLeftCell="A26" workbookViewId="0">
      <selection activeCell="B2" sqref="B2:K27"/>
    </sheetView>
  </sheetViews>
  <sheetFormatPr baseColWidth="10" defaultRowHeight="15" x14ac:dyDescent="0.25"/>
  <cols>
    <col min="1" max="1" width="2.5703125" bestFit="1" customWidth="1"/>
    <col min="2" max="2" width="13.42578125" customWidth="1"/>
    <col min="5" max="5" width="12.85546875" customWidth="1"/>
    <col min="8" max="8" width="10.7109375" customWidth="1"/>
    <col min="9" max="9" width="11" customWidth="1"/>
    <col min="10" max="10" width="11.28515625" customWidth="1"/>
  </cols>
  <sheetData>
    <row r="1" spans="1:10" ht="15.75" thickBot="1" x14ac:dyDescent="0.3"/>
    <row r="2" spans="1:10" ht="19.5" thickBot="1" x14ac:dyDescent="0.35">
      <c r="A2" s="49" t="s">
        <v>58</v>
      </c>
      <c r="B2" s="256" t="s">
        <v>137</v>
      </c>
      <c r="C2" s="257"/>
      <c r="D2" s="257"/>
      <c r="E2" s="257"/>
      <c r="F2" s="257"/>
      <c r="G2" s="257"/>
      <c r="H2" s="257"/>
      <c r="I2" s="257"/>
      <c r="J2" s="258"/>
    </row>
    <row r="3" spans="1:10" ht="15.75" thickBot="1" x14ac:dyDescent="0.3">
      <c r="B3" s="58"/>
      <c r="C3" s="58"/>
      <c r="D3" s="58"/>
      <c r="E3" s="58"/>
      <c r="F3" s="58"/>
      <c r="G3" s="58"/>
      <c r="H3" s="58"/>
    </row>
    <row r="4" spans="1:10" ht="15.75" customHeight="1" thickBot="1" x14ac:dyDescent="0.3">
      <c r="B4" s="250" t="s">
        <v>30</v>
      </c>
      <c r="C4" s="252" t="s">
        <v>50</v>
      </c>
      <c r="D4" s="252" t="s">
        <v>61</v>
      </c>
      <c r="E4" s="254" t="s">
        <v>62</v>
      </c>
      <c r="F4" s="216" t="s">
        <v>131</v>
      </c>
      <c r="G4" s="227" t="s">
        <v>65</v>
      </c>
      <c r="H4" s="228"/>
      <c r="I4" s="228"/>
      <c r="J4" s="229"/>
    </row>
    <row r="5" spans="1:10" ht="40.5" customHeight="1" thickBot="1" x14ac:dyDescent="0.3">
      <c r="B5" s="251"/>
      <c r="C5" s="253"/>
      <c r="D5" s="253"/>
      <c r="E5" s="255"/>
      <c r="F5" s="238"/>
      <c r="G5" s="71" t="s">
        <v>76</v>
      </c>
      <c r="H5" s="71" t="s">
        <v>73</v>
      </c>
      <c r="I5" s="71" t="s">
        <v>74</v>
      </c>
      <c r="J5" s="110" t="s">
        <v>75</v>
      </c>
    </row>
    <row r="6" spans="1:10" ht="30.75" thickBot="1" x14ac:dyDescent="0.3">
      <c r="B6" s="63" t="s">
        <v>49</v>
      </c>
      <c r="C6" s="67">
        <v>21</v>
      </c>
      <c r="D6" s="59">
        <v>150</v>
      </c>
      <c r="E6" s="175">
        <f>D6-General!G9</f>
        <v>150</v>
      </c>
      <c r="F6" s="77">
        <f>E6*100/C6</f>
        <v>714.28571428571433</v>
      </c>
      <c r="G6" s="82">
        <f>F6*0.2</f>
        <v>142.85714285714286</v>
      </c>
      <c r="H6" s="79">
        <f>F6*0.4</f>
        <v>285.71428571428572</v>
      </c>
      <c r="I6" s="79">
        <f>F6*0.4</f>
        <v>285.71428571428572</v>
      </c>
      <c r="J6" s="60">
        <f>F6*0</f>
        <v>0</v>
      </c>
    </row>
    <row r="7" spans="1:10" ht="30.75" thickBot="1" x14ac:dyDescent="0.3">
      <c r="B7" s="64" t="s">
        <v>51</v>
      </c>
      <c r="C7" s="68">
        <v>82</v>
      </c>
      <c r="D7" s="53">
        <v>150</v>
      </c>
      <c r="E7" s="176">
        <f>D7-General!G9</f>
        <v>150</v>
      </c>
      <c r="F7" s="77">
        <f>E7*100/C7</f>
        <v>182.92682926829269</v>
      </c>
      <c r="G7" s="85">
        <f t="shared" ref="G7:G9" si="0">F7*0.2</f>
        <v>36.585365853658537</v>
      </c>
      <c r="H7" s="80">
        <f t="shared" ref="H7:H9" si="1">F7*0.4</f>
        <v>73.170731707317074</v>
      </c>
      <c r="I7" s="80">
        <f t="shared" ref="I7:I9" si="2">F7*0.4</f>
        <v>73.170731707317074</v>
      </c>
      <c r="J7" s="3">
        <f t="shared" ref="J7:J9" si="3">F7*0</f>
        <v>0</v>
      </c>
    </row>
    <row r="8" spans="1:10" ht="30.75" thickBot="1" x14ac:dyDescent="0.3">
      <c r="B8" s="65" t="s">
        <v>52</v>
      </c>
      <c r="C8" s="68">
        <v>34</v>
      </c>
      <c r="D8" s="53">
        <v>150</v>
      </c>
      <c r="E8" s="176">
        <f>D8-General!G9</f>
        <v>150</v>
      </c>
      <c r="F8" s="77">
        <f>E8*100/C8</f>
        <v>441.1764705882353</v>
      </c>
      <c r="G8" s="85">
        <f t="shared" si="0"/>
        <v>88.235294117647072</v>
      </c>
      <c r="H8" s="80">
        <f t="shared" si="1"/>
        <v>176.47058823529414</v>
      </c>
      <c r="I8" s="80">
        <f t="shared" si="2"/>
        <v>176.47058823529414</v>
      </c>
      <c r="J8" s="3">
        <f t="shared" si="3"/>
        <v>0</v>
      </c>
    </row>
    <row r="9" spans="1:10" ht="27.75" customHeight="1" thickBot="1" x14ac:dyDescent="0.3">
      <c r="B9" s="66" t="s">
        <v>53</v>
      </c>
      <c r="C9" s="69">
        <v>46</v>
      </c>
      <c r="D9" s="61">
        <v>150</v>
      </c>
      <c r="E9" s="177">
        <f>D9-General!G9</f>
        <v>150</v>
      </c>
      <c r="F9" s="78">
        <f>E9*100/C9</f>
        <v>326.08695652173913</v>
      </c>
      <c r="G9" s="86">
        <f t="shared" si="0"/>
        <v>65.217391304347828</v>
      </c>
      <c r="H9" s="81">
        <f t="shared" si="1"/>
        <v>130.43478260869566</v>
      </c>
      <c r="I9" s="81">
        <f t="shared" si="2"/>
        <v>130.43478260869566</v>
      </c>
      <c r="J9" s="6">
        <f t="shared" si="3"/>
        <v>0</v>
      </c>
    </row>
    <row r="10" spans="1:10" ht="15.75" thickBot="1" x14ac:dyDescent="0.3">
      <c r="A10" s="51"/>
      <c r="B10" s="48"/>
      <c r="C10" s="35"/>
      <c r="D10" s="37"/>
    </row>
    <row r="11" spans="1:10" ht="19.5" thickBot="1" x14ac:dyDescent="0.35">
      <c r="A11" s="50" t="s">
        <v>59</v>
      </c>
      <c r="B11" s="259" t="s">
        <v>136</v>
      </c>
      <c r="C11" s="260"/>
      <c r="D11" s="260"/>
      <c r="E11" s="260"/>
      <c r="F11" s="260"/>
      <c r="G11" s="260"/>
      <c r="H11" s="260"/>
      <c r="I11" s="260"/>
      <c r="J11" s="261"/>
    </row>
    <row r="12" spans="1:10" ht="15.75" thickBot="1" x14ac:dyDescent="0.3">
      <c r="B12" s="58"/>
      <c r="C12" s="58"/>
      <c r="D12" s="58"/>
      <c r="E12" s="58"/>
      <c r="F12" s="58"/>
      <c r="G12" s="58"/>
      <c r="H12" s="58"/>
    </row>
    <row r="13" spans="1:10" ht="15.75" customHeight="1" thickBot="1" x14ac:dyDescent="0.3">
      <c r="B13" s="243" t="s">
        <v>30</v>
      </c>
      <c r="C13" s="245" t="s">
        <v>48</v>
      </c>
      <c r="D13" s="245" t="s">
        <v>63</v>
      </c>
      <c r="E13" s="239" t="s">
        <v>64</v>
      </c>
      <c r="F13" s="241" t="s">
        <v>132</v>
      </c>
      <c r="G13" s="227" t="s">
        <v>65</v>
      </c>
      <c r="H13" s="228"/>
      <c r="I13" s="228"/>
      <c r="J13" s="229"/>
    </row>
    <row r="14" spans="1:10" ht="30.75" customHeight="1" thickBot="1" x14ac:dyDescent="0.3">
      <c r="B14" s="244"/>
      <c r="C14" s="246"/>
      <c r="D14" s="246"/>
      <c r="E14" s="240"/>
      <c r="F14" s="242"/>
      <c r="G14" s="71" t="s">
        <v>76</v>
      </c>
      <c r="H14" s="71" t="s">
        <v>73</v>
      </c>
      <c r="I14" s="71" t="s">
        <v>74</v>
      </c>
      <c r="J14" s="110" t="s">
        <v>75</v>
      </c>
    </row>
    <row r="15" spans="1:10" ht="30.75" thickBot="1" x14ac:dyDescent="0.3">
      <c r="B15" s="72" t="s">
        <v>44</v>
      </c>
      <c r="C15" s="67">
        <v>20</v>
      </c>
      <c r="D15" s="59">
        <v>60</v>
      </c>
      <c r="E15" s="169">
        <f>D15-General!G10</f>
        <v>60</v>
      </c>
      <c r="F15" s="83">
        <f>E15*100/C15</f>
        <v>300</v>
      </c>
      <c r="G15" s="82">
        <f>F15*0.3</f>
        <v>90</v>
      </c>
      <c r="H15" s="79">
        <f>F15*0.3</f>
        <v>90</v>
      </c>
      <c r="I15" s="79">
        <f>F15*0.2</f>
        <v>60</v>
      </c>
      <c r="J15" s="99">
        <f>F15*0.2</f>
        <v>60</v>
      </c>
    </row>
    <row r="16" spans="1:10" ht="30.75" thickBot="1" x14ac:dyDescent="0.3">
      <c r="B16" s="73" t="s">
        <v>45</v>
      </c>
      <c r="C16" s="68">
        <v>46</v>
      </c>
      <c r="D16" s="53">
        <v>60</v>
      </c>
      <c r="E16" s="170">
        <f>D16-General!G10</f>
        <v>60</v>
      </c>
      <c r="F16" s="84">
        <f>E16*100/C16</f>
        <v>130.43478260869566</v>
      </c>
      <c r="G16" s="95">
        <f t="shared" ref="G16:G19" si="4">F16*0.3</f>
        <v>39.130434782608695</v>
      </c>
      <c r="H16" s="90">
        <f t="shared" ref="H16:H19" si="5">F16*0.3</f>
        <v>39.130434782608695</v>
      </c>
      <c r="I16" s="90">
        <f t="shared" ref="I16:I19" si="6">F16*0.2</f>
        <v>26.086956521739133</v>
      </c>
      <c r="J16" s="11">
        <f t="shared" ref="J16:J19" si="7">F16*0.2</f>
        <v>26.086956521739133</v>
      </c>
    </row>
    <row r="17" spans="1:11" ht="45.75" thickBot="1" x14ac:dyDescent="0.3">
      <c r="B17" s="74" t="s">
        <v>46</v>
      </c>
      <c r="C17" s="68">
        <v>30</v>
      </c>
      <c r="D17" s="53">
        <v>60</v>
      </c>
      <c r="E17" s="170">
        <f>D17-General!G10</f>
        <v>60</v>
      </c>
      <c r="F17" s="84">
        <f>E17*100/C17</f>
        <v>200</v>
      </c>
      <c r="G17" s="95">
        <f t="shared" si="4"/>
        <v>60</v>
      </c>
      <c r="H17" s="90">
        <f t="shared" si="5"/>
        <v>60</v>
      </c>
      <c r="I17" s="90">
        <f t="shared" si="6"/>
        <v>40</v>
      </c>
      <c r="J17" s="11">
        <f t="shared" si="7"/>
        <v>40</v>
      </c>
    </row>
    <row r="18" spans="1:11" ht="45.75" thickBot="1" x14ac:dyDescent="0.3">
      <c r="B18" s="128" t="s">
        <v>46</v>
      </c>
      <c r="C18" s="68">
        <v>52</v>
      </c>
      <c r="D18" s="53">
        <v>60</v>
      </c>
      <c r="E18" s="170">
        <f>D18-General!G10</f>
        <v>60</v>
      </c>
      <c r="F18" s="84">
        <f>E18*100/C18</f>
        <v>115.38461538461539</v>
      </c>
      <c r="G18" s="95">
        <f t="shared" si="4"/>
        <v>34.615384615384613</v>
      </c>
      <c r="H18" s="90">
        <f t="shared" si="5"/>
        <v>34.615384615384613</v>
      </c>
      <c r="I18" s="90">
        <f t="shared" si="6"/>
        <v>23.07692307692308</v>
      </c>
      <c r="J18" s="11">
        <f t="shared" si="7"/>
        <v>23.07692307692308</v>
      </c>
    </row>
    <row r="19" spans="1:11" ht="45.75" thickBot="1" x14ac:dyDescent="0.3">
      <c r="A19" s="51"/>
      <c r="B19" s="129" t="s">
        <v>47</v>
      </c>
      <c r="C19" s="69">
        <v>46</v>
      </c>
      <c r="D19" s="61">
        <v>60</v>
      </c>
      <c r="E19" s="171">
        <f>D19-General!G10</f>
        <v>60</v>
      </c>
      <c r="F19" s="84">
        <f>E19*100/C19</f>
        <v>130.43478260869566</v>
      </c>
      <c r="G19" s="111">
        <f t="shared" si="4"/>
        <v>39.130434782608695</v>
      </c>
      <c r="H19" s="112">
        <f t="shared" si="5"/>
        <v>39.130434782608695</v>
      </c>
      <c r="I19" s="112">
        <f t="shared" si="6"/>
        <v>26.086956521739133</v>
      </c>
      <c r="J19" s="113">
        <f t="shared" si="7"/>
        <v>26.086956521739133</v>
      </c>
    </row>
    <row r="20" spans="1:11" ht="15.75" thickBot="1" x14ac:dyDescent="0.3">
      <c r="B20" s="48"/>
      <c r="C20" s="35"/>
      <c r="D20" s="37"/>
    </row>
    <row r="21" spans="1:11" ht="19.5" thickBot="1" x14ac:dyDescent="0.35">
      <c r="A21" s="49" t="s">
        <v>60</v>
      </c>
      <c r="B21" s="224" t="s">
        <v>138</v>
      </c>
      <c r="C21" s="225"/>
      <c r="D21" s="225"/>
      <c r="E21" s="225"/>
      <c r="F21" s="225"/>
      <c r="G21" s="225"/>
      <c r="H21" s="225"/>
      <c r="I21" s="225"/>
      <c r="J21" s="225"/>
      <c r="K21" s="226"/>
    </row>
    <row r="22" spans="1:11" ht="15.75" thickBot="1" x14ac:dyDescent="0.3"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1" ht="15.75" customHeight="1" thickBot="1" x14ac:dyDescent="0.3">
      <c r="B23" s="230" t="s">
        <v>30</v>
      </c>
      <c r="C23" s="232" t="s">
        <v>54</v>
      </c>
      <c r="D23" s="232" t="s">
        <v>70</v>
      </c>
      <c r="E23" s="234" t="s">
        <v>72</v>
      </c>
      <c r="F23" s="236" t="s">
        <v>133</v>
      </c>
      <c r="G23" s="227" t="s">
        <v>65</v>
      </c>
      <c r="H23" s="228"/>
      <c r="I23" s="228"/>
      <c r="J23" s="229"/>
      <c r="K23" s="216" t="s">
        <v>71</v>
      </c>
    </row>
    <row r="24" spans="1:11" ht="40.5" customHeight="1" thickBot="1" x14ac:dyDescent="0.3">
      <c r="B24" s="231"/>
      <c r="C24" s="233"/>
      <c r="D24" s="233"/>
      <c r="E24" s="235"/>
      <c r="F24" s="237"/>
      <c r="G24" s="71" t="s">
        <v>76</v>
      </c>
      <c r="H24" s="71" t="s">
        <v>73</v>
      </c>
      <c r="I24" s="71" t="s">
        <v>74</v>
      </c>
      <c r="J24" s="110" t="s">
        <v>75</v>
      </c>
      <c r="K24" s="217"/>
    </row>
    <row r="25" spans="1:11" ht="30.75" thickBot="1" x14ac:dyDescent="0.3">
      <c r="B25" s="104" t="s">
        <v>55</v>
      </c>
      <c r="C25" s="107">
        <v>20</v>
      </c>
      <c r="D25" s="24">
        <v>100</v>
      </c>
      <c r="E25" s="172">
        <f>D25-General!G11</f>
        <v>100</v>
      </c>
      <c r="F25" s="181">
        <f>E25*100/C25</f>
        <v>500</v>
      </c>
      <c r="G25" s="82">
        <f>F25*0.3</f>
        <v>150</v>
      </c>
      <c r="H25" s="79">
        <f>F25*0.3</f>
        <v>150</v>
      </c>
      <c r="I25" s="79">
        <f>F25*0.2</f>
        <v>100</v>
      </c>
      <c r="J25" s="99">
        <f>F25*0.2</f>
        <v>100</v>
      </c>
      <c r="K25" s="194">
        <f>F25*13/100</f>
        <v>65</v>
      </c>
    </row>
    <row r="26" spans="1:11" ht="30.75" thickBot="1" x14ac:dyDescent="0.3">
      <c r="B26" s="105" t="s">
        <v>56</v>
      </c>
      <c r="C26" s="108">
        <v>46</v>
      </c>
      <c r="D26" s="1">
        <v>100</v>
      </c>
      <c r="E26" s="173">
        <f>D26-General!G11</f>
        <v>100</v>
      </c>
      <c r="F26" s="182">
        <f>E26*100/C26</f>
        <v>217.39130434782609</v>
      </c>
      <c r="G26" s="85">
        <f t="shared" ref="G26:G27" si="8">F26*0.3</f>
        <v>65.217391304347828</v>
      </c>
      <c r="H26" s="80">
        <f t="shared" ref="H26:H27" si="9">F26*0.3</f>
        <v>65.217391304347828</v>
      </c>
      <c r="I26" s="80">
        <f t="shared" ref="I26:I27" si="10">F26*0.2</f>
        <v>43.478260869565219</v>
      </c>
      <c r="J26" s="10">
        <f t="shared" ref="J26:J27" si="11">F26*0.2</f>
        <v>43.478260869565219</v>
      </c>
      <c r="K26" s="195">
        <f>F26*0</f>
        <v>0</v>
      </c>
    </row>
    <row r="27" spans="1:11" ht="30.75" thickBot="1" x14ac:dyDescent="0.3">
      <c r="B27" s="106" t="s">
        <v>57</v>
      </c>
      <c r="C27" s="109">
        <v>60</v>
      </c>
      <c r="D27" s="5">
        <v>100</v>
      </c>
      <c r="E27" s="174">
        <f>D27-General!G11</f>
        <v>100</v>
      </c>
      <c r="F27" s="182">
        <f>E27*100/C27</f>
        <v>166.66666666666666</v>
      </c>
      <c r="G27" s="86">
        <f t="shared" si="8"/>
        <v>49.999999999999993</v>
      </c>
      <c r="H27" s="81">
        <f t="shared" si="9"/>
        <v>49.999999999999993</v>
      </c>
      <c r="I27" s="81">
        <f t="shared" si="10"/>
        <v>33.333333333333336</v>
      </c>
      <c r="J27" s="101">
        <f t="shared" si="11"/>
        <v>33.333333333333336</v>
      </c>
      <c r="K27" s="196">
        <f>F27*0</f>
        <v>0</v>
      </c>
    </row>
  </sheetData>
  <mergeCells count="22">
    <mergeCell ref="D13:D14"/>
    <mergeCell ref="E13:E14"/>
    <mergeCell ref="B4:B5"/>
    <mergeCell ref="C4:C5"/>
    <mergeCell ref="D4:D5"/>
    <mergeCell ref="E4:E5"/>
    <mergeCell ref="G23:J23"/>
    <mergeCell ref="K23:K24"/>
    <mergeCell ref="B2:J2"/>
    <mergeCell ref="F4:F5"/>
    <mergeCell ref="G4:J4"/>
    <mergeCell ref="B11:J11"/>
    <mergeCell ref="F13:F14"/>
    <mergeCell ref="G13:J13"/>
    <mergeCell ref="B23:B24"/>
    <mergeCell ref="C23:C24"/>
    <mergeCell ref="D23:D24"/>
    <mergeCell ref="E23:E24"/>
    <mergeCell ref="B21:K21"/>
    <mergeCell ref="F23:F24"/>
    <mergeCell ref="B13:B14"/>
    <mergeCell ref="C13:C14"/>
  </mergeCells>
  <dataValidations count="2">
    <dataValidation type="list" allowBlank="1" showInputMessage="1" showErrorMessage="1" sqref="D6:D9 D25:D27" xr:uid="{00000000-0002-0000-0200-000000000000}">
      <formula1>"20,30,40,50,60,70,80,90,100,110,120,130,140,150,160,170,180,190,200"</formula1>
    </dataValidation>
    <dataValidation type="list" allowBlank="1" showInputMessage="1" showErrorMessage="1" sqref="D15:D19" xr:uid="{00000000-0002-0000-0200-000001000000}">
      <formula1>"20,30,40,50,60,70,80,90,100"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K27"/>
  <sheetViews>
    <sheetView topLeftCell="A9" workbookViewId="0">
      <selection activeCell="F16" sqref="F16"/>
    </sheetView>
  </sheetViews>
  <sheetFormatPr baseColWidth="10" defaultRowHeight="15" x14ac:dyDescent="0.25"/>
  <cols>
    <col min="1" max="1" width="2.5703125" bestFit="1" customWidth="1"/>
    <col min="2" max="2" width="13.5703125" customWidth="1"/>
    <col min="5" max="5" width="12.140625" customWidth="1"/>
    <col min="6" max="6" width="11.42578125" customWidth="1"/>
    <col min="7" max="7" width="10.5703125" customWidth="1"/>
    <col min="8" max="8" width="11.42578125" customWidth="1"/>
    <col min="9" max="9" width="12.28515625" customWidth="1"/>
    <col min="10" max="10" width="13.42578125" customWidth="1"/>
  </cols>
  <sheetData>
    <row r="1" spans="1:10" ht="15.75" thickBot="1" x14ac:dyDescent="0.3"/>
    <row r="2" spans="1:10" ht="19.5" thickBot="1" x14ac:dyDescent="0.35">
      <c r="A2" s="49" t="s">
        <v>58</v>
      </c>
      <c r="B2" s="218" t="s">
        <v>137</v>
      </c>
      <c r="C2" s="219"/>
      <c r="D2" s="219"/>
      <c r="E2" s="219"/>
      <c r="F2" s="219"/>
      <c r="G2" s="219"/>
      <c r="H2" s="219"/>
      <c r="I2" s="219"/>
      <c r="J2" s="220"/>
    </row>
    <row r="3" spans="1:10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0" ht="15.75" customHeight="1" thickBot="1" x14ac:dyDescent="0.3">
      <c r="B4" s="250" t="s">
        <v>30</v>
      </c>
      <c r="C4" s="252" t="s">
        <v>50</v>
      </c>
      <c r="D4" s="252" t="s">
        <v>85</v>
      </c>
      <c r="E4" s="254" t="s">
        <v>84</v>
      </c>
      <c r="F4" s="216" t="s">
        <v>131</v>
      </c>
      <c r="G4" s="227" t="s">
        <v>65</v>
      </c>
      <c r="H4" s="228"/>
      <c r="I4" s="228"/>
      <c r="J4" s="229"/>
    </row>
    <row r="5" spans="1:10" ht="42" customHeight="1" thickBot="1" x14ac:dyDescent="0.3">
      <c r="B5" s="251"/>
      <c r="C5" s="253"/>
      <c r="D5" s="253"/>
      <c r="E5" s="255"/>
      <c r="F5" s="238"/>
      <c r="G5" s="62" t="s">
        <v>77</v>
      </c>
      <c r="H5" s="62" t="s">
        <v>78</v>
      </c>
      <c r="I5" s="62" t="s">
        <v>79</v>
      </c>
      <c r="J5" s="114" t="s">
        <v>80</v>
      </c>
    </row>
    <row r="6" spans="1:10" ht="30.75" thickBot="1" x14ac:dyDescent="0.3">
      <c r="B6" s="63" t="s">
        <v>49</v>
      </c>
      <c r="C6" s="67">
        <v>21</v>
      </c>
      <c r="D6" s="59">
        <v>100</v>
      </c>
      <c r="E6" s="175">
        <f>D6-General!G9</f>
        <v>100</v>
      </c>
      <c r="F6" s="77">
        <f>E6*100/C6</f>
        <v>476.1904761904762</v>
      </c>
      <c r="G6" s="23">
        <f>F6*0</f>
        <v>0</v>
      </c>
      <c r="H6" s="79">
        <f>F6*0.4</f>
        <v>190.47619047619048</v>
      </c>
      <c r="I6" s="79">
        <f>F6*0.6</f>
        <v>285.71428571428572</v>
      </c>
      <c r="J6" s="60">
        <f>F6*0</f>
        <v>0</v>
      </c>
    </row>
    <row r="7" spans="1:10" ht="30.75" thickBot="1" x14ac:dyDescent="0.3">
      <c r="B7" s="64" t="s">
        <v>51</v>
      </c>
      <c r="C7" s="68">
        <v>82</v>
      </c>
      <c r="D7" s="53">
        <v>100</v>
      </c>
      <c r="E7" s="176">
        <f>D7-General!G9</f>
        <v>100</v>
      </c>
      <c r="F7" s="77">
        <f>E7*100/C7</f>
        <v>121.95121951219512</v>
      </c>
      <c r="G7" s="2">
        <f>F7*0</f>
        <v>0</v>
      </c>
      <c r="H7" s="80">
        <f t="shared" ref="H7:H9" si="0">F7*0.4</f>
        <v>48.780487804878049</v>
      </c>
      <c r="I7" s="80">
        <f t="shared" ref="I7:I9" si="1">F7*0.6</f>
        <v>73.170731707317074</v>
      </c>
      <c r="J7" s="3">
        <f t="shared" ref="J7:J9" si="2">F7*0</f>
        <v>0</v>
      </c>
    </row>
    <row r="8" spans="1:10" ht="30.75" thickBot="1" x14ac:dyDescent="0.3">
      <c r="B8" s="65" t="s">
        <v>52</v>
      </c>
      <c r="C8" s="68">
        <v>34</v>
      </c>
      <c r="D8" s="53">
        <v>100</v>
      </c>
      <c r="E8" s="176">
        <f>D8-General!G9</f>
        <v>100</v>
      </c>
      <c r="F8" s="77">
        <f>E8*100/C8</f>
        <v>294.11764705882354</v>
      </c>
      <c r="G8" s="2">
        <f>F8*0</f>
        <v>0</v>
      </c>
      <c r="H8" s="80">
        <f t="shared" si="0"/>
        <v>117.64705882352942</v>
      </c>
      <c r="I8" s="80">
        <f t="shared" si="1"/>
        <v>176.47058823529412</v>
      </c>
      <c r="J8" s="3">
        <f t="shared" si="2"/>
        <v>0</v>
      </c>
    </row>
    <row r="9" spans="1:10" ht="24.75" customHeight="1" thickBot="1" x14ac:dyDescent="0.3">
      <c r="B9" s="66" t="s">
        <v>53</v>
      </c>
      <c r="C9" s="69">
        <v>46</v>
      </c>
      <c r="D9" s="61">
        <v>100</v>
      </c>
      <c r="E9" s="177">
        <f>D9-General!G9</f>
        <v>100</v>
      </c>
      <c r="F9" s="78">
        <f>E9*100/C9</f>
        <v>217.39130434782609</v>
      </c>
      <c r="G9" s="4">
        <f>F9*0</f>
        <v>0</v>
      </c>
      <c r="H9" s="81">
        <f t="shared" si="0"/>
        <v>86.956521739130437</v>
      </c>
      <c r="I9" s="81">
        <f t="shared" si="1"/>
        <v>130.43478260869566</v>
      </c>
      <c r="J9" s="6">
        <f t="shared" si="2"/>
        <v>0</v>
      </c>
    </row>
    <row r="10" spans="1:10" ht="15.75" thickBot="1" x14ac:dyDescent="0.3">
      <c r="B10" s="48"/>
      <c r="C10" s="35"/>
      <c r="D10" s="37"/>
    </row>
    <row r="11" spans="1:10" ht="19.5" thickBot="1" x14ac:dyDescent="0.35">
      <c r="A11" s="49" t="s">
        <v>59</v>
      </c>
      <c r="B11" s="221" t="s">
        <v>136</v>
      </c>
      <c r="C11" s="222"/>
      <c r="D11" s="222"/>
      <c r="E11" s="222"/>
      <c r="F11" s="222"/>
      <c r="G11" s="222"/>
      <c r="H11" s="222"/>
      <c r="I11" s="222"/>
      <c r="J11" s="223"/>
    </row>
    <row r="12" spans="1:10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0" ht="15.75" customHeight="1" thickBot="1" x14ac:dyDescent="0.3">
      <c r="A13" s="70"/>
      <c r="B13" s="262" t="s">
        <v>30</v>
      </c>
      <c r="C13" s="264" t="s">
        <v>48</v>
      </c>
      <c r="D13" s="264" t="s">
        <v>63</v>
      </c>
      <c r="E13" s="266" t="s">
        <v>83</v>
      </c>
      <c r="F13" s="241" t="s">
        <v>132</v>
      </c>
      <c r="G13" s="227" t="s">
        <v>65</v>
      </c>
      <c r="H13" s="228"/>
      <c r="I13" s="228"/>
      <c r="J13" s="229"/>
    </row>
    <row r="14" spans="1:10" ht="42" customHeight="1" thickBot="1" x14ac:dyDescent="0.3">
      <c r="A14" s="70"/>
      <c r="B14" s="263"/>
      <c r="C14" s="265"/>
      <c r="D14" s="265"/>
      <c r="E14" s="267"/>
      <c r="F14" s="242"/>
      <c r="G14" s="71" t="s">
        <v>77</v>
      </c>
      <c r="H14" s="71" t="s">
        <v>78</v>
      </c>
      <c r="I14" s="71" t="s">
        <v>79</v>
      </c>
      <c r="J14" s="110" t="s">
        <v>80</v>
      </c>
    </row>
    <row r="15" spans="1:10" ht="30.75" thickBot="1" x14ac:dyDescent="0.3">
      <c r="B15" s="72" t="s">
        <v>44</v>
      </c>
      <c r="C15" s="67">
        <v>20</v>
      </c>
      <c r="D15" s="59">
        <v>60</v>
      </c>
      <c r="E15" s="169">
        <f>D15-General!G10</f>
        <v>60</v>
      </c>
      <c r="F15" s="83">
        <f>E15*100/C15</f>
        <v>300</v>
      </c>
      <c r="G15" s="82">
        <f>F15*0.4</f>
        <v>120</v>
      </c>
      <c r="H15" s="79">
        <f>F15*0.6</f>
        <v>180</v>
      </c>
      <c r="I15" s="79">
        <f>F15*0</f>
        <v>0</v>
      </c>
      <c r="J15" s="60">
        <f>F15*0</f>
        <v>0</v>
      </c>
    </row>
    <row r="16" spans="1:10" ht="30.75" thickBot="1" x14ac:dyDescent="0.3">
      <c r="B16" s="73" t="s">
        <v>45</v>
      </c>
      <c r="C16" s="68">
        <v>46</v>
      </c>
      <c r="D16" s="53">
        <v>60</v>
      </c>
      <c r="E16" s="170">
        <f>D16-General!G10</f>
        <v>60</v>
      </c>
      <c r="F16" s="84">
        <f>E16*100/C16</f>
        <v>130.43478260869566</v>
      </c>
      <c r="G16" s="95">
        <f t="shared" ref="G16:G19" si="3">F16*0.4</f>
        <v>52.173913043478265</v>
      </c>
      <c r="H16" s="90">
        <f t="shared" ref="H16:H19" si="4">F16*0.6</f>
        <v>78.260869565217391</v>
      </c>
      <c r="I16" s="80">
        <f t="shared" ref="I16:I19" si="5">F16*0</f>
        <v>0</v>
      </c>
      <c r="J16" s="3">
        <f t="shared" ref="J16:J19" si="6">F16*0</f>
        <v>0</v>
      </c>
    </row>
    <row r="17" spans="1:11" ht="45.75" thickBot="1" x14ac:dyDescent="0.3">
      <c r="B17" s="74" t="s">
        <v>46</v>
      </c>
      <c r="C17" s="68">
        <v>30</v>
      </c>
      <c r="D17" s="53">
        <v>50</v>
      </c>
      <c r="E17" s="170">
        <f>D17-General!G10</f>
        <v>50</v>
      </c>
      <c r="F17" s="84">
        <f>E17*100/C17</f>
        <v>166.66666666666666</v>
      </c>
      <c r="G17" s="95">
        <f t="shared" si="3"/>
        <v>66.666666666666671</v>
      </c>
      <c r="H17" s="90">
        <f t="shared" si="4"/>
        <v>99.999999999999986</v>
      </c>
      <c r="I17" s="80">
        <f t="shared" si="5"/>
        <v>0</v>
      </c>
      <c r="J17" s="3">
        <f t="shared" si="6"/>
        <v>0</v>
      </c>
    </row>
    <row r="18" spans="1:11" ht="45.75" thickBot="1" x14ac:dyDescent="0.3">
      <c r="B18" s="75" t="s">
        <v>46</v>
      </c>
      <c r="C18" s="68">
        <v>52</v>
      </c>
      <c r="D18" s="53">
        <v>60</v>
      </c>
      <c r="E18" s="170">
        <f>D18-General!G10</f>
        <v>60</v>
      </c>
      <c r="F18" s="84">
        <f>E18*100/C18</f>
        <v>115.38461538461539</v>
      </c>
      <c r="G18" s="95">
        <f t="shared" si="3"/>
        <v>46.15384615384616</v>
      </c>
      <c r="H18" s="90">
        <f t="shared" si="4"/>
        <v>69.230769230769226</v>
      </c>
      <c r="I18" s="80">
        <f t="shared" si="5"/>
        <v>0</v>
      </c>
      <c r="J18" s="3">
        <f t="shared" si="6"/>
        <v>0</v>
      </c>
    </row>
    <row r="19" spans="1:11" ht="45.75" thickBot="1" x14ac:dyDescent="0.3">
      <c r="B19" s="76" t="s">
        <v>47</v>
      </c>
      <c r="C19" s="69">
        <v>46</v>
      </c>
      <c r="D19" s="61">
        <v>60</v>
      </c>
      <c r="E19" s="171">
        <f>D19-General!G10</f>
        <v>60</v>
      </c>
      <c r="F19" s="84">
        <f>E19*100/C19</f>
        <v>130.43478260869566</v>
      </c>
      <c r="G19" s="111">
        <f t="shared" si="3"/>
        <v>52.173913043478265</v>
      </c>
      <c r="H19" s="112">
        <f t="shared" si="4"/>
        <v>78.260869565217391</v>
      </c>
      <c r="I19" s="81">
        <f t="shared" si="5"/>
        <v>0</v>
      </c>
      <c r="J19" s="6">
        <f t="shared" si="6"/>
        <v>0</v>
      </c>
    </row>
    <row r="20" spans="1:11" ht="15.75" thickBot="1" x14ac:dyDescent="0.3">
      <c r="B20" s="48"/>
      <c r="C20" s="35"/>
      <c r="D20" s="37"/>
    </row>
    <row r="21" spans="1:11" ht="19.5" thickBot="1" x14ac:dyDescent="0.35">
      <c r="A21" s="49" t="s">
        <v>60</v>
      </c>
      <c r="B21" s="224" t="s">
        <v>138</v>
      </c>
      <c r="C21" s="225"/>
      <c r="D21" s="225"/>
      <c r="E21" s="225"/>
      <c r="F21" s="225"/>
      <c r="G21" s="225"/>
      <c r="H21" s="225"/>
      <c r="I21" s="225"/>
      <c r="J21" s="225"/>
      <c r="K21" s="226"/>
    </row>
    <row r="22" spans="1:11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1" ht="15.75" customHeight="1" thickBot="1" x14ac:dyDescent="0.3">
      <c r="B23" s="230" t="s">
        <v>30</v>
      </c>
      <c r="C23" s="232" t="s">
        <v>54</v>
      </c>
      <c r="D23" s="232" t="s">
        <v>70</v>
      </c>
      <c r="E23" s="234" t="s">
        <v>86</v>
      </c>
      <c r="F23" s="236" t="s">
        <v>133</v>
      </c>
      <c r="G23" s="227" t="s">
        <v>65</v>
      </c>
      <c r="H23" s="228"/>
      <c r="I23" s="228"/>
      <c r="J23" s="229"/>
      <c r="K23" s="216" t="s">
        <v>71</v>
      </c>
    </row>
    <row r="24" spans="1:11" ht="57.75" customHeight="1" thickBot="1" x14ac:dyDescent="0.3">
      <c r="B24" s="231"/>
      <c r="C24" s="233"/>
      <c r="D24" s="233"/>
      <c r="E24" s="235"/>
      <c r="F24" s="237"/>
      <c r="G24" s="71" t="s">
        <v>77</v>
      </c>
      <c r="H24" s="71" t="s">
        <v>78</v>
      </c>
      <c r="I24" s="71" t="s">
        <v>79</v>
      </c>
      <c r="J24" s="110" t="s">
        <v>80</v>
      </c>
      <c r="K24" s="217"/>
    </row>
    <row r="25" spans="1:11" ht="30.75" thickBot="1" x14ac:dyDescent="0.3">
      <c r="B25" s="104" t="s">
        <v>55</v>
      </c>
      <c r="C25" s="107">
        <v>20</v>
      </c>
      <c r="D25" s="24">
        <v>120</v>
      </c>
      <c r="E25" s="172">
        <f>D25-General!G11</f>
        <v>120</v>
      </c>
      <c r="F25" s="181">
        <f>E25*100/C25</f>
        <v>600</v>
      </c>
      <c r="G25" s="82">
        <f>F25*0</f>
        <v>0</v>
      </c>
      <c r="H25" s="79">
        <f>F25*0.3125</f>
        <v>187.5</v>
      </c>
      <c r="I25" s="79">
        <f>F25*0.3303</f>
        <v>198.17999999999998</v>
      </c>
      <c r="J25" s="99">
        <f>F25*0.3572</f>
        <v>214.32000000000002</v>
      </c>
      <c r="K25" s="194">
        <f>F25*13/100</f>
        <v>78</v>
      </c>
    </row>
    <row r="26" spans="1:11" ht="30.75" thickBot="1" x14ac:dyDescent="0.3">
      <c r="B26" s="105" t="s">
        <v>56</v>
      </c>
      <c r="C26" s="108">
        <v>46</v>
      </c>
      <c r="D26" s="1">
        <v>120</v>
      </c>
      <c r="E26" s="173">
        <f>D26-General!G11</f>
        <v>120</v>
      </c>
      <c r="F26" s="182">
        <f>E26*100/C26</f>
        <v>260.86956521739131</v>
      </c>
      <c r="G26" s="85">
        <f t="shared" ref="G26:G27" si="7">F26*0</f>
        <v>0</v>
      </c>
      <c r="H26" s="80">
        <f t="shared" ref="H26:H27" si="8">F26*0.3125</f>
        <v>81.521739130434781</v>
      </c>
      <c r="I26" s="80">
        <f t="shared" ref="I26:I27" si="9">F26*0.3303</f>
        <v>86.165217391304353</v>
      </c>
      <c r="J26" s="10">
        <f t="shared" ref="J26:J27" si="10">F26*0.3572</f>
        <v>93.182608695652178</v>
      </c>
      <c r="K26" s="195">
        <f>F26*0</f>
        <v>0</v>
      </c>
    </row>
    <row r="27" spans="1:11" ht="30.75" thickBot="1" x14ac:dyDescent="0.3">
      <c r="B27" s="106" t="s">
        <v>57</v>
      </c>
      <c r="C27" s="109">
        <v>60</v>
      </c>
      <c r="D27" s="5">
        <v>120</v>
      </c>
      <c r="E27" s="174">
        <f>D27-General!G11</f>
        <v>120</v>
      </c>
      <c r="F27" s="182">
        <f>E27*100/C27</f>
        <v>200</v>
      </c>
      <c r="G27" s="86">
        <f t="shared" si="7"/>
        <v>0</v>
      </c>
      <c r="H27" s="81">
        <f t="shared" si="8"/>
        <v>62.5</v>
      </c>
      <c r="I27" s="81">
        <f t="shared" si="9"/>
        <v>66.06</v>
      </c>
      <c r="J27" s="101">
        <f t="shared" si="10"/>
        <v>71.44</v>
      </c>
      <c r="K27" s="196">
        <f>F27*0</f>
        <v>0</v>
      </c>
    </row>
  </sheetData>
  <mergeCells count="22">
    <mergeCell ref="B2:J2"/>
    <mergeCell ref="B4:B5"/>
    <mergeCell ref="C4:C5"/>
    <mergeCell ref="D4:D5"/>
    <mergeCell ref="E4:E5"/>
    <mergeCell ref="F4:F5"/>
    <mergeCell ref="G4:J4"/>
    <mergeCell ref="B11:J11"/>
    <mergeCell ref="B13:B14"/>
    <mergeCell ref="C13:C14"/>
    <mergeCell ref="D13:D14"/>
    <mergeCell ref="E13:E14"/>
    <mergeCell ref="F13:F14"/>
    <mergeCell ref="G13:J13"/>
    <mergeCell ref="B21:K21"/>
    <mergeCell ref="B23:B24"/>
    <mergeCell ref="C23:C24"/>
    <mergeCell ref="D23:D24"/>
    <mergeCell ref="E23:E24"/>
    <mergeCell ref="F23:F24"/>
    <mergeCell ref="G23:J23"/>
    <mergeCell ref="K23:K24"/>
  </mergeCells>
  <dataValidations count="2">
    <dataValidation type="list" allowBlank="1" showInputMessage="1" showErrorMessage="1" sqref="D15:D19" xr:uid="{00000000-0002-0000-0300-000000000000}">
      <formula1>"20,30,40,50,60,70,80,90,100"</formula1>
    </dataValidation>
    <dataValidation type="list" allowBlank="1" showInputMessage="1" showErrorMessage="1" sqref="D6:D9 D25:D27" xr:uid="{00000000-0002-0000-0300-000001000000}">
      <formula1>"20,30,40,50,60,70,80,90,100,110,120,130,140,150,160,170,180,190,200"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7"/>
  <sheetViews>
    <sheetView topLeftCell="A18" workbookViewId="0">
      <selection activeCell="E29" sqref="E29"/>
    </sheetView>
  </sheetViews>
  <sheetFormatPr baseColWidth="10" defaultRowHeight="15" x14ac:dyDescent="0.25"/>
  <cols>
    <col min="1" max="1" width="2.5703125" bestFit="1" customWidth="1"/>
    <col min="2" max="2" width="13.42578125" customWidth="1"/>
    <col min="4" max="4" width="12.140625" customWidth="1"/>
    <col min="5" max="5" width="12.85546875" customWidth="1"/>
    <col min="6" max="6" width="12.140625" customWidth="1"/>
    <col min="7" max="7" width="10.140625" customWidth="1"/>
    <col min="8" max="8" width="11.28515625" customWidth="1"/>
    <col min="9" max="9" width="11.85546875" customWidth="1"/>
    <col min="10" max="10" width="13.140625" customWidth="1"/>
    <col min="11" max="11" width="12.85546875" customWidth="1"/>
  </cols>
  <sheetData>
    <row r="1" spans="1:11" ht="15.75" thickBot="1" x14ac:dyDescent="0.3"/>
    <row r="2" spans="1:11" ht="19.5" thickBot="1" x14ac:dyDescent="0.35">
      <c r="A2" s="49" t="s">
        <v>58</v>
      </c>
      <c r="B2" s="271" t="s">
        <v>137</v>
      </c>
      <c r="C2" s="272"/>
      <c r="D2" s="272"/>
      <c r="E2" s="272"/>
      <c r="F2" s="272"/>
      <c r="G2" s="272"/>
      <c r="H2" s="272"/>
      <c r="I2" s="272"/>
      <c r="J2" s="272"/>
      <c r="K2" s="273"/>
    </row>
    <row r="3" spans="1:11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1" ht="15.75" customHeight="1" thickBot="1" x14ac:dyDescent="0.3">
      <c r="B4" s="250" t="s">
        <v>30</v>
      </c>
      <c r="C4" s="252" t="s">
        <v>50</v>
      </c>
      <c r="D4" s="252" t="s">
        <v>130</v>
      </c>
      <c r="E4" s="254" t="s">
        <v>92</v>
      </c>
      <c r="F4" s="216" t="s">
        <v>129</v>
      </c>
      <c r="G4" s="280" t="s">
        <v>65</v>
      </c>
      <c r="H4" s="281"/>
      <c r="I4" s="281"/>
      <c r="J4" s="281"/>
      <c r="K4" s="282"/>
    </row>
    <row r="5" spans="1:11" ht="47.25" customHeight="1" thickBot="1" x14ac:dyDescent="0.3">
      <c r="B5" s="251"/>
      <c r="C5" s="253"/>
      <c r="D5" s="253"/>
      <c r="E5" s="255"/>
      <c r="F5" s="238"/>
      <c r="G5" s="62" t="s">
        <v>87</v>
      </c>
      <c r="H5" s="62" t="s">
        <v>88</v>
      </c>
      <c r="I5" s="62" t="s">
        <v>89</v>
      </c>
      <c r="J5" s="62" t="s">
        <v>90</v>
      </c>
      <c r="K5" s="62" t="s">
        <v>91</v>
      </c>
    </row>
    <row r="6" spans="1:11" ht="30.75" thickBot="1" x14ac:dyDescent="0.3">
      <c r="B6" s="63" t="s">
        <v>49</v>
      </c>
      <c r="C6" s="67">
        <v>21</v>
      </c>
      <c r="D6" s="59">
        <v>280</v>
      </c>
      <c r="E6" s="175">
        <f>D6-General!G9</f>
        <v>280</v>
      </c>
      <c r="F6" s="130">
        <f>E6*100/C6</f>
        <v>1333.3333333333333</v>
      </c>
      <c r="G6" s="137">
        <f>F6*0.2</f>
        <v>266.66666666666669</v>
      </c>
      <c r="H6" s="138">
        <f>F6*0.2</f>
        <v>266.66666666666669</v>
      </c>
      <c r="I6" s="138">
        <f>F6*0.2</f>
        <v>266.66666666666669</v>
      </c>
      <c r="J6" s="138">
        <f>F6*0.2</f>
        <v>266.66666666666669</v>
      </c>
      <c r="K6" s="139">
        <f>F6*0.2</f>
        <v>266.66666666666669</v>
      </c>
    </row>
    <row r="7" spans="1:11" ht="30.75" thickBot="1" x14ac:dyDescent="0.3">
      <c r="B7" s="64" t="s">
        <v>51</v>
      </c>
      <c r="C7" s="68">
        <v>82</v>
      </c>
      <c r="D7" s="53">
        <v>280</v>
      </c>
      <c r="E7" s="176">
        <f>D7-General!G9</f>
        <v>280</v>
      </c>
      <c r="F7" s="130">
        <f>E7*100/C7</f>
        <v>341.46341463414632</v>
      </c>
      <c r="G7" s="134">
        <f>F7*0.2</f>
        <v>68.292682926829272</v>
      </c>
      <c r="H7" s="135">
        <f>F7*0.2</f>
        <v>68.292682926829272</v>
      </c>
      <c r="I7" s="135">
        <f>F7*0.2</f>
        <v>68.292682926829272</v>
      </c>
      <c r="J7" s="135">
        <f>F7*0.2</f>
        <v>68.292682926829272</v>
      </c>
      <c r="K7" s="136">
        <f>F7*0.2</f>
        <v>68.292682926829272</v>
      </c>
    </row>
    <row r="8" spans="1:11" ht="30.75" thickBot="1" x14ac:dyDescent="0.3">
      <c r="B8" s="65" t="s">
        <v>52</v>
      </c>
      <c r="C8" s="68">
        <v>34</v>
      </c>
      <c r="D8" s="53">
        <v>280</v>
      </c>
      <c r="E8" s="176">
        <f>D8-General!G9</f>
        <v>280</v>
      </c>
      <c r="F8" s="130">
        <f>E8*100/C8</f>
        <v>823.52941176470586</v>
      </c>
      <c r="G8" s="134">
        <f>F8*0.2</f>
        <v>164.70588235294119</v>
      </c>
      <c r="H8" s="135">
        <f>F8*0.2</f>
        <v>164.70588235294119</v>
      </c>
      <c r="I8" s="135">
        <f>F8*0.2</f>
        <v>164.70588235294119</v>
      </c>
      <c r="J8" s="135">
        <f>F8*0.2</f>
        <v>164.70588235294119</v>
      </c>
      <c r="K8" s="136">
        <f>F8*0.2</f>
        <v>164.70588235294119</v>
      </c>
    </row>
    <row r="9" spans="1:11" ht="25.5" customHeight="1" thickBot="1" x14ac:dyDescent="0.3">
      <c r="B9" s="66" t="s">
        <v>53</v>
      </c>
      <c r="C9" s="69">
        <v>46</v>
      </c>
      <c r="D9" s="61">
        <v>280</v>
      </c>
      <c r="E9" s="177">
        <f>D9-General!G9</f>
        <v>280</v>
      </c>
      <c r="F9" s="131">
        <f>E9*100/C9</f>
        <v>608.695652173913</v>
      </c>
      <c r="G9" s="140">
        <f>F9*0.2</f>
        <v>121.73913043478261</v>
      </c>
      <c r="H9" s="141">
        <f>F9*0.2</f>
        <v>121.73913043478261</v>
      </c>
      <c r="I9" s="141">
        <f>F9*0.2</f>
        <v>121.73913043478261</v>
      </c>
      <c r="J9" s="141">
        <f>F9*0.2</f>
        <v>121.73913043478261</v>
      </c>
      <c r="K9" s="142">
        <f>F9*0.2</f>
        <v>121.73913043478261</v>
      </c>
    </row>
    <row r="10" spans="1:11" ht="15.75" thickBot="1" x14ac:dyDescent="0.3">
      <c r="B10" s="48"/>
      <c r="C10" s="35"/>
      <c r="D10" s="37"/>
    </row>
    <row r="11" spans="1:11" ht="19.5" thickBot="1" x14ac:dyDescent="0.35">
      <c r="A11" s="49" t="s">
        <v>59</v>
      </c>
      <c r="B11" s="274" t="s">
        <v>136</v>
      </c>
      <c r="C11" s="275"/>
      <c r="D11" s="275"/>
      <c r="E11" s="275"/>
      <c r="F11" s="275"/>
      <c r="G11" s="275"/>
      <c r="H11" s="275"/>
      <c r="I11" s="275"/>
      <c r="J11" s="275"/>
      <c r="K11" s="276"/>
    </row>
    <row r="12" spans="1:11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1" ht="15.75" customHeight="1" thickBot="1" x14ac:dyDescent="0.3">
      <c r="A13" s="70"/>
      <c r="B13" s="262" t="s">
        <v>30</v>
      </c>
      <c r="C13" s="264" t="s">
        <v>48</v>
      </c>
      <c r="D13" s="264" t="s">
        <v>93</v>
      </c>
      <c r="E13" s="266" t="s">
        <v>94</v>
      </c>
      <c r="F13" s="241" t="s">
        <v>134</v>
      </c>
      <c r="G13" s="280" t="s">
        <v>65</v>
      </c>
      <c r="H13" s="281"/>
      <c r="I13" s="281"/>
      <c r="J13" s="281"/>
      <c r="K13" s="282"/>
    </row>
    <row r="14" spans="1:11" ht="45.75" customHeight="1" thickBot="1" x14ac:dyDescent="0.3">
      <c r="A14" s="70"/>
      <c r="B14" s="263"/>
      <c r="C14" s="283"/>
      <c r="D14" s="283"/>
      <c r="E14" s="284"/>
      <c r="F14" s="242"/>
      <c r="G14" s="62" t="s">
        <v>87</v>
      </c>
      <c r="H14" s="62" t="s">
        <v>88</v>
      </c>
      <c r="I14" s="62" t="s">
        <v>89</v>
      </c>
      <c r="J14" s="62" t="s">
        <v>90</v>
      </c>
      <c r="K14" s="62" t="s">
        <v>91</v>
      </c>
    </row>
    <row r="15" spans="1:11" ht="45.75" customHeight="1" thickBot="1" x14ac:dyDescent="0.3">
      <c r="B15" s="63" t="s">
        <v>44</v>
      </c>
      <c r="C15" s="67">
        <v>20</v>
      </c>
      <c r="D15" s="59">
        <v>150</v>
      </c>
      <c r="E15" s="175">
        <f>D15-General!G10</f>
        <v>150</v>
      </c>
      <c r="F15" s="102">
        <f>E15*100/C15</f>
        <v>750</v>
      </c>
      <c r="G15" s="137">
        <f>F15*0.2</f>
        <v>150</v>
      </c>
      <c r="H15" s="138">
        <f>F15*0</f>
        <v>0</v>
      </c>
      <c r="I15" s="138">
        <f>F15*0.4</f>
        <v>300</v>
      </c>
      <c r="J15" s="138">
        <f>F15*0.2</f>
        <v>150</v>
      </c>
      <c r="K15" s="139">
        <f>F15*0.2</f>
        <v>150</v>
      </c>
    </row>
    <row r="16" spans="1:11" ht="45.75" customHeight="1" thickBot="1" x14ac:dyDescent="0.3">
      <c r="B16" s="64" t="s">
        <v>45</v>
      </c>
      <c r="C16" s="68">
        <v>46</v>
      </c>
      <c r="D16" s="53">
        <v>150</v>
      </c>
      <c r="E16" s="176">
        <f>D16-General!G10</f>
        <v>150</v>
      </c>
      <c r="F16" s="103">
        <f>E16*100/C16</f>
        <v>326.08695652173913</v>
      </c>
      <c r="G16" s="134">
        <f>F16*0.2</f>
        <v>65.217391304347828</v>
      </c>
      <c r="H16" s="135">
        <f>F16*0</f>
        <v>0</v>
      </c>
      <c r="I16" s="135">
        <f>F16*0.4</f>
        <v>130.43478260869566</v>
      </c>
      <c r="J16" s="135">
        <f>F16*0.2</f>
        <v>65.217391304347828</v>
      </c>
      <c r="K16" s="136">
        <f>F16*0.2</f>
        <v>65.217391304347828</v>
      </c>
    </row>
    <row r="17" spans="1:12" ht="45.75" thickBot="1" x14ac:dyDescent="0.3">
      <c r="B17" s="65" t="s">
        <v>46</v>
      </c>
      <c r="C17" s="68">
        <v>30</v>
      </c>
      <c r="D17" s="53">
        <v>150</v>
      </c>
      <c r="E17" s="176">
        <f>D17-General!G10</f>
        <v>150</v>
      </c>
      <c r="F17" s="103">
        <f>E17*100/C17</f>
        <v>500</v>
      </c>
      <c r="G17" s="134">
        <f>F17*0.2</f>
        <v>100</v>
      </c>
      <c r="H17" s="135">
        <f>F17*0</f>
        <v>0</v>
      </c>
      <c r="I17" s="135">
        <f>F17*0.4</f>
        <v>200</v>
      </c>
      <c r="J17" s="135">
        <f>F17*0.2</f>
        <v>100</v>
      </c>
      <c r="K17" s="136">
        <f>F17*0.2</f>
        <v>100</v>
      </c>
    </row>
    <row r="18" spans="1:12" ht="45.75" thickBot="1" x14ac:dyDescent="0.3">
      <c r="B18" s="132" t="s">
        <v>46</v>
      </c>
      <c r="C18" s="68">
        <v>52</v>
      </c>
      <c r="D18" s="53">
        <v>150</v>
      </c>
      <c r="E18" s="176">
        <f>D18-General!G10</f>
        <v>150</v>
      </c>
      <c r="F18" s="103">
        <f>E18*100/C18</f>
        <v>288.46153846153845</v>
      </c>
      <c r="G18" s="134">
        <f>F18*0.2</f>
        <v>57.692307692307693</v>
      </c>
      <c r="H18" s="135">
        <f>F18*0</f>
        <v>0</v>
      </c>
      <c r="I18" s="135">
        <f>F18*0.4</f>
        <v>115.38461538461539</v>
      </c>
      <c r="J18" s="135">
        <f>F18*0.2</f>
        <v>57.692307692307693</v>
      </c>
      <c r="K18" s="136">
        <f>F18*0.2</f>
        <v>57.692307692307693</v>
      </c>
    </row>
    <row r="19" spans="1:12" ht="45.75" thickBot="1" x14ac:dyDescent="0.3">
      <c r="B19" s="133" t="s">
        <v>47</v>
      </c>
      <c r="C19" s="69">
        <v>46</v>
      </c>
      <c r="D19" s="61">
        <v>150</v>
      </c>
      <c r="E19" s="177">
        <f>D19-General!G10</f>
        <v>150</v>
      </c>
      <c r="F19" s="103">
        <f>E19*100/C19</f>
        <v>326.08695652173913</v>
      </c>
      <c r="G19" s="140">
        <f>F19*0.2</f>
        <v>65.217391304347828</v>
      </c>
      <c r="H19" s="141">
        <f>F19*0</f>
        <v>0</v>
      </c>
      <c r="I19" s="141">
        <f>F19*0.4</f>
        <v>130.43478260869566</v>
      </c>
      <c r="J19" s="141">
        <f>F19*0.2</f>
        <v>65.217391304347828</v>
      </c>
      <c r="K19" s="142">
        <f>F19*0.2</f>
        <v>65.217391304347828</v>
      </c>
    </row>
    <row r="20" spans="1:12" ht="15.75" thickBot="1" x14ac:dyDescent="0.3">
      <c r="B20" s="48"/>
      <c r="C20" s="35"/>
      <c r="D20" s="37"/>
    </row>
    <row r="21" spans="1:12" ht="19.5" thickBot="1" x14ac:dyDescent="0.35">
      <c r="A21" s="49" t="s">
        <v>60</v>
      </c>
      <c r="B21" s="277" t="s">
        <v>138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9"/>
    </row>
    <row r="22" spans="1:12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2" ht="15.75" customHeight="1" thickBot="1" x14ac:dyDescent="0.3">
      <c r="B23" s="230" t="s">
        <v>30</v>
      </c>
      <c r="C23" s="232" t="s">
        <v>54</v>
      </c>
      <c r="D23" s="232" t="s">
        <v>95</v>
      </c>
      <c r="E23" s="234" t="s">
        <v>96</v>
      </c>
      <c r="F23" s="236" t="s">
        <v>126</v>
      </c>
      <c r="G23" s="268" t="s">
        <v>65</v>
      </c>
      <c r="H23" s="269"/>
      <c r="I23" s="269"/>
      <c r="J23" s="269"/>
      <c r="K23" s="270"/>
      <c r="L23" s="216" t="s">
        <v>71</v>
      </c>
    </row>
    <row r="24" spans="1:12" ht="45.75" thickBot="1" x14ac:dyDescent="0.3">
      <c r="B24" s="231"/>
      <c r="C24" s="233"/>
      <c r="D24" s="233"/>
      <c r="E24" s="235"/>
      <c r="F24" s="237"/>
      <c r="G24" s="62" t="s">
        <v>87</v>
      </c>
      <c r="H24" s="62" t="s">
        <v>88</v>
      </c>
      <c r="I24" s="62" t="s">
        <v>89</v>
      </c>
      <c r="J24" s="62" t="s">
        <v>90</v>
      </c>
      <c r="K24" s="62" t="s">
        <v>91</v>
      </c>
      <c r="L24" s="217"/>
    </row>
    <row r="25" spans="1:12" ht="30.75" thickBot="1" x14ac:dyDescent="0.3">
      <c r="B25" s="104" t="s">
        <v>55</v>
      </c>
      <c r="C25" s="107">
        <v>20</v>
      </c>
      <c r="D25" s="24">
        <v>180</v>
      </c>
      <c r="E25" s="172">
        <f>D25-General!G11</f>
        <v>180</v>
      </c>
      <c r="F25" s="181">
        <f>E25*100/C25</f>
        <v>900</v>
      </c>
      <c r="G25" s="137">
        <f>F25*0</f>
        <v>0</v>
      </c>
      <c r="H25" s="138">
        <f>F25*0.2</f>
        <v>180</v>
      </c>
      <c r="I25" s="138">
        <f>F25*0.4</f>
        <v>360</v>
      </c>
      <c r="J25" s="138">
        <f>F25*0.2</f>
        <v>180</v>
      </c>
      <c r="K25" s="139">
        <f>F25*0.2</f>
        <v>180</v>
      </c>
      <c r="L25" s="193">
        <f>F25*0.13</f>
        <v>117</v>
      </c>
    </row>
    <row r="26" spans="1:12" ht="30.75" thickBot="1" x14ac:dyDescent="0.3">
      <c r="B26" s="105" t="s">
        <v>56</v>
      </c>
      <c r="C26" s="108">
        <v>46</v>
      </c>
      <c r="D26" s="1">
        <v>180</v>
      </c>
      <c r="E26" s="173">
        <f>D26-General!G11</f>
        <v>180</v>
      </c>
      <c r="F26" s="182">
        <f>E26*100/C26</f>
        <v>391.30434782608694</v>
      </c>
      <c r="G26" s="134">
        <f>F26*0</f>
        <v>0</v>
      </c>
      <c r="H26" s="135">
        <f>F26*0.2</f>
        <v>78.260869565217391</v>
      </c>
      <c r="I26" s="135">
        <f>F26*0.4</f>
        <v>156.52173913043478</v>
      </c>
      <c r="J26" s="135">
        <f>F26*0.2</f>
        <v>78.260869565217391</v>
      </c>
      <c r="K26" s="136">
        <f>F26*0.2</f>
        <v>78.260869565217391</v>
      </c>
      <c r="L26" s="188">
        <f>F26*0</f>
        <v>0</v>
      </c>
    </row>
    <row r="27" spans="1:12" ht="30.75" thickBot="1" x14ac:dyDescent="0.3">
      <c r="B27" s="106" t="s">
        <v>57</v>
      </c>
      <c r="C27" s="109">
        <v>60</v>
      </c>
      <c r="D27" s="5">
        <v>180</v>
      </c>
      <c r="E27" s="174">
        <f>D27-General!G11</f>
        <v>180</v>
      </c>
      <c r="F27" s="182">
        <f>E27*100/C27</f>
        <v>300</v>
      </c>
      <c r="G27" s="140">
        <f>F27*0</f>
        <v>0</v>
      </c>
      <c r="H27" s="141">
        <f>F27*0.2</f>
        <v>60</v>
      </c>
      <c r="I27" s="141">
        <f>F27*0.4</f>
        <v>120</v>
      </c>
      <c r="J27" s="141">
        <f>F27*0.2</f>
        <v>60</v>
      </c>
      <c r="K27" s="142">
        <f>F27*0.2</f>
        <v>60</v>
      </c>
      <c r="L27" s="189">
        <f>F27*0</f>
        <v>0</v>
      </c>
    </row>
  </sheetData>
  <mergeCells count="22">
    <mergeCell ref="B2:K2"/>
    <mergeCell ref="B11:K11"/>
    <mergeCell ref="B21:L21"/>
    <mergeCell ref="B4:B5"/>
    <mergeCell ref="C4:C5"/>
    <mergeCell ref="D4:D5"/>
    <mergeCell ref="E4:E5"/>
    <mergeCell ref="F4:F5"/>
    <mergeCell ref="G4:K4"/>
    <mergeCell ref="B13:B14"/>
    <mergeCell ref="C13:C14"/>
    <mergeCell ref="D13:D14"/>
    <mergeCell ref="E13:E14"/>
    <mergeCell ref="F13:F14"/>
    <mergeCell ref="G13:K13"/>
    <mergeCell ref="L23:L24"/>
    <mergeCell ref="B23:B24"/>
    <mergeCell ref="C23:C24"/>
    <mergeCell ref="D23:D24"/>
    <mergeCell ref="E23:E24"/>
    <mergeCell ref="F23:F24"/>
    <mergeCell ref="G23:K23"/>
  </mergeCells>
  <dataValidations count="3">
    <dataValidation type="list" allowBlank="1" showInputMessage="1" showErrorMessage="1" sqref="D15:D19" xr:uid="{00000000-0002-0000-0400-000000000000}">
      <formula1>"20,30,40,50,60,70,80,90,100,110,120,130,140,150,160,170,180,190,200"</formula1>
    </dataValidation>
    <dataValidation type="list" allowBlank="1" showInputMessage="1" showErrorMessage="1" sqref="D6:D9" xr:uid="{00000000-0002-0000-0400-000001000000}">
      <formula1>"50,60,70,80,90,100,110,120,130,140,150,160,170,180,190,200,210,220,230,240,250,260,270,280,290,300,320,340,360,380,400,420,440,460,480,500,520,540,560,580,600"</formula1>
    </dataValidation>
    <dataValidation type="list" allowBlank="1" showInputMessage="1" showErrorMessage="1" sqref="D25:D27" xr:uid="{00000000-0002-0000-0400-000002000000}">
      <formula1>"20,30,40,50,60,70,80,90,100,110,120,130,140,150,160,170,180,190,200,210,220,230,240,250,260,270,280,290,300,310,320,330,340,350,360,370,380,390,400"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M27"/>
  <sheetViews>
    <sheetView workbookViewId="0">
      <selection activeCell="P9" sqref="P9"/>
    </sheetView>
  </sheetViews>
  <sheetFormatPr baseColWidth="10" defaultRowHeight="15" x14ac:dyDescent="0.25"/>
  <cols>
    <col min="1" max="1" width="2.5703125" bestFit="1" customWidth="1"/>
    <col min="2" max="2" width="14" customWidth="1"/>
    <col min="4" max="4" width="12.28515625" customWidth="1"/>
    <col min="5" max="5" width="12.5703125" customWidth="1"/>
    <col min="6" max="6" width="12.42578125" customWidth="1"/>
    <col min="7" max="7" width="10" customWidth="1"/>
    <col min="8" max="8" width="10.42578125" customWidth="1"/>
    <col min="9" max="9" width="10.7109375" customWidth="1"/>
    <col min="10" max="10" width="11.7109375" customWidth="1"/>
    <col min="11" max="11" width="11.85546875" customWidth="1"/>
    <col min="12" max="12" width="13.140625" customWidth="1"/>
  </cols>
  <sheetData>
    <row r="1" spans="1:12" ht="15.75" thickBot="1" x14ac:dyDescent="0.3"/>
    <row r="2" spans="1:12" ht="19.5" thickBot="1" x14ac:dyDescent="0.35">
      <c r="A2" s="49" t="s">
        <v>58</v>
      </c>
      <c r="B2" s="271" t="s">
        <v>137</v>
      </c>
      <c r="C2" s="272"/>
      <c r="D2" s="272"/>
      <c r="E2" s="272"/>
      <c r="F2" s="272"/>
      <c r="G2" s="272"/>
      <c r="H2" s="272"/>
      <c r="I2" s="272"/>
      <c r="J2" s="272"/>
      <c r="K2" s="272"/>
      <c r="L2" s="273"/>
    </row>
    <row r="3" spans="1:12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2" ht="28.5" customHeight="1" thickBot="1" x14ac:dyDescent="0.3">
      <c r="B4" s="250" t="s">
        <v>30</v>
      </c>
      <c r="C4" s="252" t="s">
        <v>50</v>
      </c>
      <c r="D4" s="252" t="s">
        <v>118</v>
      </c>
      <c r="E4" s="254" t="s">
        <v>119</v>
      </c>
      <c r="F4" s="216" t="s">
        <v>135</v>
      </c>
      <c r="G4" s="280" t="s">
        <v>147</v>
      </c>
      <c r="H4" s="281"/>
      <c r="I4" s="281"/>
      <c r="J4" s="281"/>
      <c r="K4" s="281"/>
      <c r="L4" s="282"/>
    </row>
    <row r="5" spans="1:12" ht="45.75" thickBot="1" x14ac:dyDescent="0.3">
      <c r="B5" s="251"/>
      <c r="C5" s="253"/>
      <c r="D5" s="253"/>
      <c r="E5" s="255"/>
      <c r="F5" s="238"/>
      <c r="G5" s="62" t="s">
        <v>97</v>
      </c>
      <c r="H5" s="62" t="s">
        <v>98</v>
      </c>
      <c r="I5" s="62" t="s">
        <v>99</v>
      </c>
      <c r="J5" s="62" t="s">
        <v>100</v>
      </c>
      <c r="K5" s="62" t="s">
        <v>101</v>
      </c>
      <c r="L5" s="114" t="s">
        <v>102</v>
      </c>
    </row>
    <row r="6" spans="1:12" ht="30.75" thickBot="1" x14ac:dyDescent="0.3">
      <c r="B6" s="63" t="s">
        <v>49</v>
      </c>
      <c r="C6" s="67">
        <v>21</v>
      </c>
      <c r="D6" s="59">
        <v>280</v>
      </c>
      <c r="E6" s="175">
        <f>D6-General!G9</f>
        <v>280</v>
      </c>
      <c r="F6" s="130">
        <f>E6*100/C6</f>
        <v>1333.3333333333333</v>
      </c>
      <c r="G6" s="137">
        <f>F6*0.017</f>
        <v>22.666666666666668</v>
      </c>
      <c r="H6" s="138">
        <f>F6*0.032</f>
        <v>42.666666666666664</v>
      </c>
      <c r="I6" s="138">
        <f>F6*0.158</f>
        <v>210.66666666666666</v>
      </c>
      <c r="J6" s="138">
        <f>F6*0.212</f>
        <v>282.66666666666663</v>
      </c>
      <c r="K6" s="138">
        <f>F6*0.264</f>
        <v>352</v>
      </c>
      <c r="L6" s="139">
        <f>F6*0.317</f>
        <v>422.66666666666663</v>
      </c>
    </row>
    <row r="7" spans="1:12" ht="30.75" thickBot="1" x14ac:dyDescent="0.3">
      <c r="B7" s="64" t="s">
        <v>51</v>
      </c>
      <c r="C7" s="68">
        <v>82</v>
      </c>
      <c r="D7" s="53">
        <v>280</v>
      </c>
      <c r="E7" s="176">
        <f>D7-General!G9</f>
        <v>280</v>
      </c>
      <c r="F7" s="130">
        <f>E7*100/C7</f>
        <v>341.46341463414632</v>
      </c>
      <c r="G7" s="134">
        <f t="shared" ref="G7:G9" si="0">F7*0.017</f>
        <v>5.8048780487804876</v>
      </c>
      <c r="H7" s="135">
        <f>F7*0.032</f>
        <v>10.926829268292682</v>
      </c>
      <c r="I7" s="135">
        <f t="shared" ref="I7:I9" si="1">F7*0.158</f>
        <v>53.951219512195117</v>
      </c>
      <c r="J7" s="135">
        <f t="shared" ref="J7:J9" si="2">F7*0.212</f>
        <v>72.390243902439011</v>
      </c>
      <c r="K7" s="135">
        <f t="shared" ref="K7:K9" si="3">F7*0.264</f>
        <v>90.146341463414629</v>
      </c>
      <c r="L7" s="136">
        <f t="shared" ref="L7:L9" si="4">F7*0.317</f>
        <v>108.24390243902438</v>
      </c>
    </row>
    <row r="8" spans="1:12" ht="30.75" thickBot="1" x14ac:dyDescent="0.3">
      <c r="B8" s="65" t="s">
        <v>52</v>
      </c>
      <c r="C8" s="68">
        <v>34</v>
      </c>
      <c r="D8" s="53">
        <v>280</v>
      </c>
      <c r="E8" s="176">
        <f>D8-General!G9</f>
        <v>280</v>
      </c>
      <c r="F8" s="130">
        <f>E8*100/C8</f>
        <v>823.52941176470586</v>
      </c>
      <c r="G8" s="134">
        <f t="shared" si="0"/>
        <v>14</v>
      </c>
      <c r="H8" s="135">
        <f t="shared" ref="H8:H9" si="5">F8*0.032</f>
        <v>26.352941176470587</v>
      </c>
      <c r="I8" s="135">
        <f t="shared" si="1"/>
        <v>130.11764705882354</v>
      </c>
      <c r="J8" s="135">
        <f t="shared" si="2"/>
        <v>174.58823529411762</v>
      </c>
      <c r="K8" s="135">
        <f t="shared" si="3"/>
        <v>217.41176470588235</v>
      </c>
      <c r="L8" s="136">
        <f t="shared" si="4"/>
        <v>261.05882352941177</v>
      </c>
    </row>
    <row r="9" spans="1:12" ht="15.75" thickBot="1" x14ac:dyDescent="0.3">
      <c r="B9" s="66" t="s">
        <v>53</v>
      </c>
      <c r="C9" s="69">
        <v>46</v>
      </c>
      <c r="D9" s="61">
        <v>280</v>
      </c>
      <c r="E9" s="177">
        <f>D9-General!G9</f>
        <v>280</v>
      </c>
      <c r="F9" s="131">
        <f>E9*100/C9</f>
        <v>608.695652173913</v>
      </c>
      <c r="G9" s="140">
        <f t="shared" si="0"/>
        <v>10.347826086956522</v>
      </c>
      <c r="H9" s="141">
        <f t="shared" si="5"/>
        <v>19.478260869565215</v>
      </c>
      <c r="I9" s="141">
        <f t="shared" si="1"/>
        <v>96.173913043478251</v>
      </c>
      <c r="J9" s="141">
        <f t="shared" si="2"/>
        <v>129.04347826086956</v>
      </c>
      <c r="K9" s="141">
        <f t="shared" si="3"/>
        <v>160.69565217391303</v>
      </c>
      <c r="L9" s="142">
        <f t="shared" si="4"/>
        <v>192.95652173913044</v>
      </c>
    </row>
    <row r="10" spans="1:12" ht="15.75" thickBot="1" x14ac:dyDescent="0.3">
      <c r="B10" s="48"/>
      <c r="C10" s="35"/>
      <c r="D10" s="37"/>
    </row>
    <row r="11" spans="1:12" ht="19.5" thickBot="1" x14ac:dyDescent="0.35">
      <c r="A11" s="49" t="s">
        <v>59</v>
      </c>
      <c r="B11" s="274" t="s">
        <v>136</v>
      </c>
      <c r="C11" s="275"/>
      <c r="D11" s="275"/>
      <c r="E11" s="275"/>
      <c r="F11" s="275"/>
      <c r="G11" s="275"/>
      <c r="H11" s="275"/>
      <c r="I11" s="275"/>
      <c r="J11" s="275"/>
      <c r="K11" s="275"/>
      <c r="L11" s="276"/>
    </row>
    <row r="12" spans="1:12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2" ht="30.75" customHeight="1" thickBot="1" x14ac:dyDescent="0.3">
      <c r="A13" s="70"/>
      <c r="B13" s="262" t="s">
        <v>30</v>
      </c>
      <c r="C13" s="264" t="s">
        <v>48</v>
      </c>
      <c r="D13" s="264" t="s">
        <v>120</v>
      </c>
      <c r="E13" s="266" t="s">
        <v>121</v>
      </c>
      <c r="F13" s="241" t="s">
        <v>128</v>
      </c>
      <c r="G13" s="280" t="s">
        <v>147</v>
      </c>
      <c r="H13" s="281"/>
      <c r="I13" s="281"/>
      <c r="J13" s="281"/>
      <c r="K13" s="281"/>
      <c r="L13" s="282"/>
    </row>
    <row r="14" spans="1:12" ht="45.75" thickBot="1" x14ac:dyDescent="0.3">
      <c r="A14" s="70"/>
      <c r="B14" s="263"/>
      <c r="C14" s="283"/>
      <c r="D14" s="283"/>
      <c r="E14" s="284"/>
      <c r="F14" s="242"/>
      <c r="G14" s="62" t="s">
        <v>97</v>
      </c>
      <c r="H14" s="62" t="s">
        <v>98</v>
      </c>
      <c r="I14" s="62" t="s">
        <v>99</v>
      </c>
      <c r="J14" s="62" t="s">
        <v>100</v>
      </c>
      <c r="K14" s="62" t="s">
        <v>101</v>
      </c>
      <c r="L14" s="114" t="s">
        <v>102</v>
      </c>
    </row>
    <row r="15" spans="1:12" ht="45.75" customHeight="1" thickBot="1" x14ac:dyDescent="0.3">
      <c r="B15" s="63" t="s">
        <v>44</v>
      </c>
      <c r="C15" s="67">
        <v>20</v>
      </c>
      <c r="D15" s="59">
        <v>130</v>
      </c>
      <c r="E15" s="175">
        <f>D15-General!G10</f>
        <v>130</v>
      </c>
      <c r="F15" s="102">
        <f>E15*100/C15</f>
        <v>650</v>
      </c>
      <c r="G15" s="137">
        <f>F15*0.046</f>
        <v>29.9</v>
      </c>
      <c r="H15" s="138">
        <f>F15*0.115</f>
        <v>74.75</v>
      </c>
      <c r="I15" s="138">
        <f>F15*0.115</f>
        <v>74.75</v>
      </c>
      <c r="J15" s="138">
        <f>F15*0.146</f>
        <v>94.899999999999991</v>
      </c>
      <c r="K15" s="138">
        <f>F15*0.289</f>
        <v>187.85</v>
      </c>
      <c r="L15" s="139">
        <f>F15*0.289</f>
        <v>187.85</v>
      </c>
    </row>
    <row r="16" spans="1:12" ht="45.75" customHeight="1" thickBot="1" x14ac:dyDescent="0.3">
      <c r="B16" s="64" t="s">
        <v>45</v>
      </c>
      <c r="C16" s="68">
        <v>46</v>
      </c>
      <c r="D16" s="53">
        <v>130</v>
      </c>
      <c r="E16" s="176">
        <f>D16-General!G10</f>
        <v>130</v>
      </c>
      <c r="F16" s="103">
        <f>E16*100/C16</f>
        <v>282.60869565217394</v>
      </c>
      <c r="G16" s="134">
        <f t="shared" ref="G16:G19" si="6">F16*0.046</f>
        <v>13</v>
      </c>
      <c r="H16" s="135">
        <f t="shared" ref="H16:H19" si="7">F16*0.115</f>
        <v>32.500000000000007</v>
      </c>
      <c r="I16" s="135">
        <f t="shared" ref="I16:I19" si="8">F16*0.115</f>
        <v>32.500000000000007</v>
      </c>
      <c r="J16" s="135">
        <f t="shared" ref="J16:J19" si="9">F16*0.146</f>
        <v>41.260869565217391</v>
      </c>
      <c r="K16" s="135">
        <f t="shared" ref="K16:K19" si="10">F16*0.289</f>
        <v>81.673913043478265</v>
      </c>
      <c r="L16" s="136">
        <f t="shared" ref="L16:L19" si="11">F16*0.289</f>
        <v>81.673913043478265</v>
      </c>
    </row>
    <row r="17" spans="1:13" ht="45.75" thickBot="1" x14ac:dyDescent="0.3">
      <c r="B17" s="65" t="s">
        <v>46</v>
      </c>
      <c r="C17" s="68">
        <v>30</v>
      </c>
      <c r="D17" s="53">
        <v>130</v>
      </c>
      <c r="E17" s="176">
        <f>D17-General!G10</f>
        <v>130</v>
      </c>
      <c r="F17" s="103">
        <f>E17*100/C17</f>
        <v>433.33333333333331</v>
      </c>
      <c r="G17" s="134">
        <f t="shared" si="6"/>
        <v>19.933333333333334</v>
      </c>
      <c r="H17" s="135">
        <f t="shared" si="7"/>
        <v>49.833333333333336</v>
      </c>
      <c r="I17" s="135">
        <f t="shared" si="8"/>
        <v>49.833333333333336</v>
      </c>
      <c r="J17" s="135">
        <f t="shared" si="9"/>
        <v>63.266666666666659</v>
      </c>
      <c r="K17" s="135">
        <f t="shared" si="10"/>
        <v>125.23333333333332</v>
      </c>
      <c r="L17" s="136">
        <f t="shared" si="11"/>
        <v>125.23333333333332</v>
      </c>
    </row>
    <row r="18" spans="1:13" ht="45.75" thickBot="1" x14ac:dyDescent="0.3">
      <c r="B18" s="132" t="s">
        <v>46</v>
      </c>
      <c r="C18" s="68">
        <v>52</v>
      </c>
      <c r="D18" s="53">
        <v>130</v>
      </c>
      <c r="E18" s="176">
        <f>D18-General!G10</f>
        <v>130</v>
      </c>
      <c r="F18" s="103">
        <f>E18*100/C18</f>
        <v>250</v>
      </c>
      <c r="G18" s="134">
        <f t="shared" si="6"/>
        <v>11.5</v>
      </c>
      <c r="H18" s="135">
        <f t="shared" si="7"/>
        <v>28.75</v>
      </c>
      <c r="I18" s="135">
        <f t="shared" si="8"/>
        <v>28.75</v>
      </c>
      <c r="J18" s="135">
        <f t="shared" si="9"/>
        <v>36.5</v>
      </c>
      <c r="K18" s="135">
        <f t="shared" si="10"/>
        <v>72.25</v>
      </c>
      <c r="L18" s="136">
        <f t="shared" si="11"/>
        <v>72.25</v>
      </c>
    </row>
    <row r="19" spans="1:13" ht="45.75" thickBot="1" x14ac:dyDescent="0.3">
      <c r="B19" s="133" t="s">
        <v>47</v>
      </c>
      <c r="C19" s="69">
        <v>46</v>
      </c>
      <c r="D19" s="61">
        <v>130</v>
      </c>
      <c r="E19" s="177">
        <f>D19-General!G10</f>
        <v>130</v>
      </c>
      <c r="F19" s="103">
        <f>E19*100/C19</f>
        <v>282.60869565217394</v>
      </c>
      <c r="G19" s="140">
        <f t="shared" si="6"/>
        <v>13</v>
      </c>
      <c r="H19" s="141">
        <f t="shared" si="7"/>
        <v>32.500000000000007</v>
      </c>
      <c r="I19" s="141">
        <f t="shared" si="8"/>
        <v>32.500000000000007</v>
      </c>
      <c r="J19" s="141">
        <f t="shared" si="9"/>
        <v>41.260869565217391</v>
      </c>
      <c r="K19" s="141">
        <f t="shared" si="10"/>
        <v>81.673913043478265</v>
      </c>
      <c r="L19" s="142">
        <f t="shared" si="11"/>
        <v>81.673913043478265</v>
      </c>
    </row>
    <row r="20" spans="1:13" ht="15.75" thickBot="1" x14ac:dyDescent="0.3">
      <c r="B20" s="48"/>
      <c r="C20" s="35"/>
      <c r="D20" s="37"/>
    </row>
    <row r="21" spans="1:13" ht="19.5" thickBot="1" x14ac:dyDescent="0.35">
      <c r="A21" s="49" t="s">
        <v>60</v>
      </c>
      <c r="B21" s="277" t="s">
        <v>138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9"/>
    </row>
    <row r="22" spans="1:13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3" ht="31.5" customHeight="1" thickBot="1" x14ac:dyDescent="0.3">
      <c r="B23" s="285" t="s">
        <v>30</v>
      </c>
      <c r="C23" s="287" t="s">
        <v>54</v>
      </c>
      <c r="D23" s="287" t="s">
        <v>122</v>
      </c>
      <c r="E23" s="289" t="s">
        <v>123</v>
      </c>
      <c r="F23" s="291" t="s">
        <v>127</v>
      </c>
      <c r="G23" s="280" t="s">
        <v>147</v>
      </c>
      <c r="H23" s="281"/>
      <c r="I23" s="281"/>
      <c r="J23" s="281"/>
      <c r="K23" s="281"/>
      <c r="L23" s="282"/>
      <c r="M23" s="216" t="s">
        <v>71</v>
      </c>
    </row>
    <row r="24" spans="1:13" ht="45.75" thickBot="1" x14ac:dyDescent="0.3">
      <c r="B24" s="286"/>
      <c r="C24" s="288"/>
      <c r="D24" s="288"/>
      <c r="E24" s="290"/>
      <c r="F24" s="292"/>
      <c r="G24" s="62" t="s">
        <v>97</v>
      </c>
      <c r="H24" s="62" t="s">
        <v>98</v>
      </c>
      <c r="I24" s="62" t="s">
        <v>99</v>
      </c>
      <c r="J24" s="62" t="s">
        <v>100</v>
      </c>
      <c r="K24" s="62" t="s">
        <v>101</v>
      </c>
      <c r="L24" s="114" t="s">
        <v>102</v>
      </c>
      <c r="M24" s="217"/>
    </row>
    <row r="25" spans="1:13" ht="30.75" thickBot="1" x14ac:dyDescent="0.3">
      <c r="B25" s="104" t="s">
        <v>55</v>
      </c>
      <c r="C25" s="107">
        <v>20</v>
      </c>
      <c r="D25" s="24">
        <v>180</v>
      </c>
      <c r="E25" s="172">
        <f>D25-General!G11</f>
        <v>180</v>
      </c>
      <c r="F25" s="183">
        <f>E25*100/C25</f>
        <v>900</v>
      </c>
      <c r="G25" s="137">
        <f>F25*0</f>
        <v>0</v>
      </c>
      <c r="H25" s="138">
        <f>F25*0.053</f>
        <v>47.699999999999996</v>
      </c>
      <c r="I25" s="138">
        <f>F25*0.159</f>
        <v>143.1</v>
      </c>
      <c r="J25" s="138">
        <f>F25*0.211</f>
        <v>189.9</v>
      </c>
      <c r="K25" s="138">
        <f>F25*0.263</f>
        <v>236.70000000000002</v>
      </c>
      <c r="L25" s="139">
        <f>F25*0.314</f>
        <v>282.60000000000002</v>
      </c>
      <c r="M25" s="190">
        <f>(F25*13)/100</f>
        <v>117</v>
      </c>
    </row>
    <row r="26" spans="1:13" ht="30.75" thickBot="1" x14ac:dyDescent="0.3">
      <c r="B26" s="105" t="s">
        <v>56</v>
      </c>
      <c r="C26" s="108">
        <v>46</v>
      </c>
      <c r="D26" s="1">
        <v>180</v>
      </c>
      <c r="E26" s="173">
        <f>D26-General!G11</f>
        <v>180</v>
      </c>
      <c r="F26" s="184">
        <f>E26*100/C26</f>
        <v>391.30434782608694</v>
      </c>
      <c r="G26" s="134">
        <f t="shared" ref="G26:G27" si="12">F26*0</f>
        <v>0</v>
      </c>
      <c r="H26" s="135">
        <f t="shared" ref="H26:H27" si="13">F26*0.053</f>
        <v>20.739130434782606</v>
      </c>
      <c r="I26" s="135">
        <f t="shared" ref="I26:I27" si="14">F26*0.159</f>
        <v>62.217391304347821</v>
      </c>
      <c r="J26" s="135">
        <f t="shared" ref="J26:J27" si="15">F26*0.211</f>
        <v>82.565217391304344</v>
      </c>
      <c r="K26" s="135">
        <f t="shared" ref="K26:K27" si="16">F26*0.263</f>
        <v>102.91304347826087</v>
      </c>
      <c r="L26" s="136">
        <f t="shared" ref="L26:L27" si="17">F26*0.314</f>
        <v>122.8695652173913</v>
      </c>
      <c r="M26" s="191">
        <f>F26*0</f>
        <v>0</v>
      </c>
    </row>
    <row r="27" spans="1:13" ht="30.75" thickBot="1" x14ac:dyDescent="0.3">
      <c r="B27" s="106" t="s">
        <v>57</v>
      </c>
      <c r="C27" s="109">
        <v>60</v>
      </c>
      <c r="D27" s="5">
        <v>180</v>
      </c>
      <c r="E27" s="174">
        <f>D27-General!G11</f>
        <v>180</v>
      </c>
      <c r="F27" s="184">
        <f>E27*100/C27</f>
        <v>300</v>
      </c>
      <c r="G27" s="140">
        <f t="shared" si="12"/>
        <v>0</v>
      </c>
      <c r="H27" s="141">
        <f t="shared" si="13"/>
        <v>15.9</v>
      </c>
      <c r="I27" s="141">
        <f t="shared" si="14"/>
        <v>47.7</v>
      </c>
      <c r="J27" s="141">
        <f t="shared" si="15"/>
        <v>63.3</v>
      </c>
      <c r="K27" s="141">
        <f t="shared" si="16"/>
        <v>78.900000000000006</v>
      </c>
      <c r="L27" s="142">
        <f t="shared" si="17"/>
        <v>94.2</v>
      </c>
      <c r="M27" s="192">
        <f>F27*0</f>
        <v>0</v>
      </c>
    </row>
  </sheetData>
  <mergeCells count="22">
    <mergeCell ref="M23:M24"/>
    <mergeCell ref="G23:L23"/>
    <mergeCell ref="B2:L2"/>
    <mergeCell ref="B11:L11"/>
    <mergeCell ref="B21:M21"/>
    <mergeCell ref="B23:B24"/>
    <mergeCell ref="C23:C24"/>
    <mergeCell ref="D23:D24"/>
    <mergeCell ref="E23:E24"/>
    <mergeCell ref="F23:F24"/>
    <mergeCell ref="B13:B14"/>
    <mergeCell ref="C13:C14"/>
    <mergeCell ref="D13:D14"/>
    <mergeCell ref="E13:E14"/>
    <mergeCell ref="F13:F14"/>
    <mergeCell ref="G13:L13"/>
    <mergeCell ref="G4:L4"/>
    <mergeCell ref="B4:B5"/>
    <mergeCell ref="C4:C5"/>
    <mergeCell ref="D4:D5"/>
    <mergeCell ref="E4:E5"/>
    <mergeCell ref="F4:F5"/>
  </mergeCells>
  <dataValidations count="3">
    <dataValidation type="list" allowBlank="1" showInputMessage="1" showErrorMessage="1" sqref="D25:D27" xr:uid="{00000000-0002-0000-0500-000000000000}">
      <formula1>"20,30,40,50,60,70,80,90,100,110,120,130,140,150,160,170,180,190,200,210,220,230,240,250,260,270,280,290,300,310,320,330,340,350,360,370,380,390,400"</formula1>
    </dataValidation>
    <dataValidation type="list" allowBlank="1" showInputMessage="1" showErrorMessage="1" sqref="D15:D19" xr:uid="{00000000-0002-0000-0500-000001000000}">
      <formula1>"20,30,40,50,60,70,80,90,100,110,120,130,140,150,160,170,180,190,200"</formula1>
    </dataValidation>
    <dataValidation type="list" allowBlank="1" showInputMessage="1" showErrorMessage="1" sqref="D6:D9" xr:uid="{00000000-0002-0000-0500-000002000000}">
      <formula1>"50,60,70,80,90,100,110,120,130,140,150,160,170,180,190,200,210,220,230,240,250,260,270,280,290,300,310,320,330,340,350,360,370,380,390,400,410,420,430,440,450"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O27"/>
  <sheetViews>
    <sheetView topLeftCell="A18" workbookViewId="0">
      <selection activeCell="A2" sqref="A2:N27"/>
    </sheetView>
  </sheetViews>
  <sheetFormatPr baseColWidth="10" defaultRowHeight="15" x14ac:dyDescent="0.25"/>
  <cols>
    <col min="1" max="1" width="2.5703125" bestFit="1" customWidth="1"/>
    <col min="2" max="2" width="13.5703125" customWidth="1"/>
    <col min="4" max="4" width="12.5703125" customWidth="1"/>
    <col min="5" max="5" width="12.7109375" customWidth="1"/>
    <col min="6" max="6" width="12.140625" customWidth="1"/>
    <col min="7" max="8" width="9.85546875" customWidth="1"/>
    <col min="9" max="9" width="10.7109375" customWidth="1"/>
    <col min="10" max="10" width="10.5703125" customWidth="1"/>
    <col min="11" max="11" width="10.7109375" customWidth="1"/>
    <col min="12" max="12" width="11.28515625" customWidth="1"/>
    <col min="13" max="13" width="14" customWidth="1"/>
  </cols>
  <sheetData>
    <row r="1" spans="1:14" ht="15.75" thickBot="1" x14ac:dyDescent="0.3"/>
    <row r="2" spans="1:14" ht="19.5" thickBot="1" x14ac:dyDescent="0.35">
      <c r="A2" s="49" t="s">
        <v>58</v>
      </c>
      <c r="B2" s="299" t="s">
        <v>137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1"/>
    </row>
    <row r="3" spans="1:14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4" ht="32.25" customHeight="1" thickBot="1" x14ac:dyDescent="0.3">
      <c r="B4" s="250" t="s">
        <v>30</v>
      </c>
      <c r="C4" s="252" t="s">
        <v>50</v>
      </c>
      <c r="D4" s="252" t="s">
        <v>118</v>
      </c>
      <c r="E4" s="254" t="s">
        <v>119</v>
      </c>
      <c r="F4" s="216" t="s">
        <v>125</v>
      </c>
      <c r="G4" s="280" t="s">
        <v>145</v>
      </c>
      <c r="H4" s="281"/>
      <c r="I4" s="281"/>
      <c r="J4" s="281"/>
      <c r="K4" s="281"/>
      <c r="L4" s="281"/>
      <c r="M4" s="282"/>
    </row>
    <row r="5" spans="1:14" ht="45.75" thickBot="1" x14ac:dyDescent="0.3">
      <c r="B5" s="251"/>
      <c r="C5" s="253"/>
      <c r="D5" s="253"/>
      <c r="E5" s="255"/>
      <c r="F5" s="238"/>
      <c r="G5" s="62" t="s">
        <v>97</v>
      </c>
      <c r="H5" s="62" t="s">
        <v>103</v>
      </c>
      <c r="I5" s="62" t="s">
        <v>104</v>
      </c>
      <c r="J5" s="62" t="s">
        <v>105</v>
      </c>
      <c r="K5" s="62" t="s">
        <v>106</v>
      </c>
      <c r="L5" s="114" t="s">
        <v>107</v>
      </c>
      <c r="M5" s="114" t="s">
        <v>108</v>
      </c>
    </row>
    <row r="6" spans="1:14" ht="30.75" thickBot="1" x14ac:dyDescent="0.3">
      <c r="B6" s="63" t="s">
        <v>49</v>
      </c>
      <c r="C6" s="67">
        <v>21</v>
      </c>
      <c r="D6" s="59">
        <v>310</v>
      </c>
      <c r="E6" s="175">
        <f>D6-General!G9</f>
        <v>310</v>
      </c>
      <c r="F6" s="130">
        <f>E6*100/C6</f>
        <v>1476.1904761904761</v>
      </c>
      <c r="G6" s="137">
        <f>F6*0.004</f>
        <v>5.9047619047619051</v>
      </c>
      <c r="H6" s="138">
        <f>F6*0.047</f>
        <v>69.38095238095238</v>
      </c>
      <c r="I6" s="138">
        <f>F6*0.09</f>
        <v>132.85714285714286</v>
      </c>
      <c r="J6" s="138">
        <f>F6*0.143</f>
        <v>211.09523809523807</v>
      </c>
      <c r="K6" s="138">
        <f>F6*0.19</f>
        <v>280.47619047619048</v>
      </c>
      <c r="L6" s="138">
        <f>F6*0.226</f>
        <v>333.61904761904759</v>
      </c>
      <c r="M6" s="139">
        <f>F6*0.3</f>
        <v>442.85714285714283</v>
      </c>
      <c r="N6" s="143"/>
    </row>
    <row r="7" spans="1:14" ht="30.75" thickBot="1" x14ac:dyDescent="0.3">
      <c r="B7" s="64" t="s">
        <v>51</v>
      </c>
      <c r="C7" s="68">
        <v>82</v>
      </c>
      <c r="D7" s="53">
        <v>310</v>
      </c>
      <c r="E7" s="176">
        <f>D7-General!G9</f>
        <v>310</v>
      </c>
      <c r="F7" s="130">
        <f>E7*100/C7</f>
        <v>378.04878048780489</v>
      </c>
      <c r="G7" s="134">
        <f t="shared" ref="G7:G9" si="0">F7*0.004</f>
        <v>1.5121951219512195</v>
      </c>
      <c r="H7" s="135">
        <f t="shared" ref="H7:H9" si="1">F7*0.047</f>
        <v>17.76829268292683</v>
      </c>
      <c r="I7" s="135">
        <f t="shared" ref="I7:I9" si="2">F7*0.09</f>
        <v>34.024390243902438</v>
      </c>
      <c r="J7" s="135">
        <f t="shared" ref="J7:J9" si="3">F7*0.143</f>
        <v>54.060975609756092</v>
      </c>
      <c r="K7" s="135">
        <f t="shared" ref="K7:K9" si="4">F7*0.19</f>
        <v>71.829268292682926</v>
      </c>
      <c r="L7" s="135">
        <f t="shared" ref="L7:L9" si="5">F7*0.226</f>
        <v>85.439024390243901</v>
      </c>
      <c r="M7" s="136">
        <f>F7*0.3</f>
        <v>113.41463414634147</v>
      </c>
      <c r="N7" s="143"/>
    </row>
    <row r="8" spans="1:14" ht="30.75" thickBot="1" x14ac:dyDescent="0.3">
      <c r="B8" s="65" t="s">
        <v>52</v>
      </c>
      <c r="C8" s="68">
        <v>34</v>
      </c>
      <c r="D8" s="53">
        <v>310</v>
      </c>
      <c r="E8" s="176">
        <f>D8-General!G9</f>
        <v>310</v>
      </c>
      <c r="F8" s="130">
        <f>E8*100/C8</f>
        <v>911.76470588235293</v>
      </c>
      <c r="G8" s="134">
        <f t="shared" si="0"/>
        <v>3.6470588235294117</v>
      </c>
      <c r="H8" s="135">
        <f t="shared" si="1"/>
        <v>42.852941176470587</v>
      </c>
      <c r="I8" s="135">
        <f t="shared" si="2"/>
        <v>82.058823529411754</v>
      </c>
      <c r="J8" s="135">
        <f t="shared" si="3"/>
        <v>130.38235294117646</v>
      </c>
      <c r="K8" s="135">
        <f t="shared" si="4"/>
        <v>173.23529411764707</v>
      </c>
      <c r="L8" s="135">
        <f t="shared" si="5"/>
        <v>206.05882352941177</v>
      </c>
      <c r="M8" s="136">
        <f>F8*0.3</f>
        <v>273.52941176470586</v>
      </c>
      <c r="N8" s="143"/>
    </row>
    <row r="9" spans="1:14" ht="30" customHeight="1" thickBot="1" x14ac:dyDescent="0.3">
      <c r="B9" s="66" t="s">
        <v>53</v>
      </c>
      <c r="C9" s="69">
        <v>46</v>
      </c>
      <c r="D9" s="61">
        <v>310</v>
      </c>
      <c r="E9" s="177">
        <f>D9-General!G9</f>
        <v>310</v>
      </c>
      <c r="F9" s="131">
        <f>E9*100/C9</f>
        <v>673.91304347826087</v>
      </c>
      <c r="G9" s="140">
        <f t="shared" si="0"/>
        <v>2.6956521739130435</v>
      </c>
      <c r="H9" s="141">
        <f t="shared" si="1"/>
        <v>31.673913043478262</v>
      </c>
      <c r="I9" s="141">
        <f t="shared" si="2"/>
        <v>60.652173913043477</v>
      </c>
      <c r="J9" s="141">
        <f t="shared" si="3"/>
        <v>96.369565217391298</v>
      </c>
      <c r="K9" s="141">
        <f t="shared" si="4"/>
        <v>128.04347826086956</v>
      </c>
      <c r="L9" s="141">
        <f t="shared" si="5"/>
        <v>152.30434782608697</v>
      </c>
      <c r="M9" s="142">
        <f>F9*0.3</f>
        <v>202.17391304347825</v>
      </c>
      <c r="N9" s="143"/>
    </row>
    <row r="10" spans="1:14" ht="15.75" thickBot="1" x14ac:dyDescent="0.3">
      <c r="B10" s="48"/>
      <c r="C10" s="35"/>
      <c r="D10" s="37"/>
    </row>
    <row r="11" spans="1:14" ht="19.5" thickBot="1" x14ac:dyDescent="0.35">
      <c r="A11" s="49" t="s">
        <v>59</v>
      </c>
      <c r="B11" s="256" t="s">
        <v>136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8"/>
    </row>
    <row r="12" spans="1:14" ht="15.75" thickBot="1" x14ac:dyDescent="0.3">
      <c r="A12" s="52"/>
      <c r="B12" s="58"/>
      <c r="C12" s="58"/>
      <c r="D12" s="58"/>
      <c r="E12" s="58"/>
      <c r="F12" s="58"/>
      <c r="G12" s="58"/>
      <c r="H12" s="58"/>
    </row>
    <row r="13" spans="1:14" ht="31.5" customHeight="1" thickBot="1" x14ac:dyDescent="0.3">
      <c r="A13" s="70"/>
      <c r="B13" s="262" t="s">
        <v>30</v>
      </c>
      <c r="C13" s="264" t="s">
        <v>48</v>
      </c>
      <c r="D13" s="264" t="s">
        <v>120</v>
      </c>
      <c r="E13" s="266" t="s">
        <v>121</v>
      </c>
      <c r="F13" s="241" t="s">
        <v>124</v>
      </c>
      <c r="G13" s="280" t="s">
        <v>145</v>
      </c>
      <c r="H13" s="281"/>
      <c r="I13" s="281"/>
      <c r="J13" s="281"/>
      <c r="K13" s="281"/>
      <c r="L13" s="281"/>
      <c r="M13" s="282"/>
    </row>
    <row r="14" spans="1:14" ht="45.75" thickBot="1" x14ac:dyDescent="0.3">
      <c r="A14" s="70"/>
      <c r="B14" s="263"/>
      <c r="C14" s="283"/>
      <c r="D14" s="283"/>
      <c r="E14" s="284"/>
      <c r="F14" s="242"/>
      <c r="G14" s="62" t="s">
        <v>97</v>
      </c>
      <c r="H14" s="62" t="s">
        <v>103</v>
      </c>
      <c r="I14" s="62" t="s">
        <v>104</v>
      </c>
      <c r="J14" s="62" t="s">
        <v>105</v>
      </c>
      <c r="K14" s="62" t="s">
        <v>106</v>
      </c>
      <c r="L14" s="114" t="s">
        <v>107</v>
      </c>
      <c r="M14" s="114" t="s">
        <v>108</v>
      </c>
    </row>
    <row r="15" spans="1:14" ht="34.5" customHeight="1" thickBot="1" x14ac:dyDescent="0.3">
      <c r="B15" s="63" t="s">
        <v>44</v>
      </c>
      <c r="C15" s="67">
        <v>20</v>
      </c>
      <c r="D15" s="59">
        <v>240</v>
      </c>
      <c r="E15" s="175">
        <f>D15-General!G10</f>
        <v>240</v>
      </c>
      <c r="F15" s="102">
        <f>E15*100/C15</f>
        <v>1200</v>
      </c>
      <c r="G15" s="137">
        <f>F15*0.005</f>
        <v>6</v>
      </c>
      <c r="H15" s="138">
        <f>F15*0.075</f>
        <v>90</v>
      </c>
      <c r="I15" s="138">
        <f>F15*0.125</f>
        <v>150</v>
      </c>
      <c r="J15" s="138">
        <f>F15*0.15</f>
        <v>180</v>
      </c>
      <c r="K15" s="138">
        <f>F15*0.1718</f>
        <v>206.16</v>
      </c>
      <c r="L15" s="138">
        <f>F15*0.2232</f>
        <v>267.84000000000003</v>
      </c>
      <c r="M15" s="139">
        <f>F15*0.25</f>
        <v>300</v>
      </c>
      <c r="N15" s="143"/>
    </row>
    <row r="16" spans="1:14" ht="39" customHeight="1" thickBot="1" x14ac:dyDescent="0.3">
      <c r="B16" s="64" t="s">
        <v>45</v>
      </c>
      <c r="C16" s="68">
        <v>46</v>
      </c>
      <c r="D16" s="53">
        <v>240</v>
      </c>
      <c r="E16" s="176">
        <f>D16-General!G10</f>
        <v>240</v>
      </c>
      <c r="F16" s="103">
        <f>E16*100/C16</f>
        <v>521.73913043478262</v>
      </c>
      <c r="G16" s="134">
        <f t="shared" ref="G16:G19" si="6">F16*0.005</f>
        <v>2.6086956521739131</v>
      </c>
      <c r="H16" s="135">
        <f t="shared" ref="H16:H19" si="7">F16*0.075</f>
        <v>39.130434782608695</v>
      </c>
      <c r="I16" s="135">
        <f t="shared" ref="I16:I19" si="8">F16*0.125</f>
        <v>65.217391304347828</v>
      </c>
      <c r="J16" s="135">
        <f t="shared" ref="J16:J19" si="9">F16*0.15</f>
        <v>78.260869565217391</v>
      </c>
      <c r="K16" s="135">
        <f t="shared" ref="K16:K19" si="10">F16*0.1725</f>
        <v>90</v>
      </c>
      <c r="L16" s="135">
        <f>F16*0.2225</f>
        <v>116.08695652173914</v>
      </c>
      <c r="M16" s="136">
        <f>F16*0.25</f>
        <v>130.43478260869566</v>
      </c>
      <c r="N16" s="143"/>
    </row>
    <row r="17" spans="1:15" ht="45.75" thickBot="1" x14ac:dyDescent="0.3">
      <c r="B17" s="65" t="s">
        <v>46</v>
      </c>
      <c r="C17" s="68">
        <v>30</v>
      </c>
      <c r="D17" s="53">
        <v>240</v>
      </c>
      <c r="E17" s="176">
        <f>D17-General!G10</f>
        <v>240</v>
      </c>
      <c r="F17" s="103">
        <f>E17*100/C17</f>
        <v>800</v>
      </c>
      <c r="G17" s="134">
        <f t="shared" si="6"/>
        <v>4</v>
      </c>
      <c r="H17" s="135">
        <f t="shared" si="7"/>
        <v>60</v>
      </c>
      <c r="I17" s="135">
        <f t="shared" si="8"/>
        <v>100</v>
      </c>
      <c r="J17" s="135">
        <f t="shared" si="9"/>
        <v>120</v>
      </c>
      <c r="K17" s="135">
        <f t="shared" si="10"/>
        <v>138</v>
      </c>
      <c r="L17" s="135">
        <f>F17*0.2225</f>
        <v>178</v>
      </c>
      <c r="M17" s="136">
        <f t="shared" ref="M17" si="11">F17*0.25</f>
        <v>200</v>
      </c>
      <c r="N17" s="143"/>
    </row>
    <row r="18" spans="1:15" ht="45.75" thickBot="1" x14ac:dyDescent="0.3">
      <c r="B18" s="132" t="s">
        <v>46</v>
      </c>
      <c r="C18" s="68">
        <v>52</v>
      </c>
      <c r="D18" s="53">
        <v>240</v>
      </c>
      <c r="E18" s="176">
        <f>D18-General!G10</f>
        <v>240</v>
      </c>
      <c r="F18" s="103">
        <f>E18*100/C18</f>
        <v>461.53846153846155</v>
      </c>
      <c r="G18" s="134">
        <f t="shared" si="6"/>
        <v>2.3076923076923079</v>
      </c>
      <c r="H18" s="135">
        <f t="shared" si="7"/>
        <v>34.615384615384613</v>
      </c>
      <c r="I18" s="135">
        <f t="shared" si="8"/>
        <v>57.692307692307693</v>
      </c>
      <c r="J18" s="135">
        <f t="shared" si="9"/>
        <v>69.230769230769226</v>
      </c>
      <c r="K18" s="135">
        <f t="shared" si="10"/>
        <v>79.615384615384613</v>
      </c>
      <c r="L18" s="135">
        <f>F18*0.2225</f>
        <v>102.69230769230769</v>
      </c>
      <c r="M18" s="136">
        <f>F18*0.25</f>
        <v>115.38461538461539</v>
      </c>
      <c r="N18" s="143"/>
    </row>
    <row r="19" spans="1:15" ht="45.75" thickBot="1" x14ac:dyDescent="0.3">
      <c r="B19" s="133" t="s">
        <v>47</v>
      </c>
      <c r="C19" s="69">
        <v>46</v>
      </c>
      <c r="D19" s="61">
        <v>240</v>
      </c>
      <c r="E19" s="177">
        <f>D19-General!G10</f>
        <v>240</v>
      </c>
      <c r="F19" s="103">
        <f>E19*100/C19</f>
        <v>521.73913043478262</v>
      </c>
      <c r="G19" s="140">
        <f t="shared" si="6"/>
        <v>2.6086956521739131</v>
      </c>
      <c r="H19" s="141">
        <f t="shared" si="7"/>
        <v>39.130434782608695</v>
      </c>
      <c r="I19" s="141">
        <f t="shared" si="8"/>
        <v>65.217391304347828</v>
      </c>
      <c r="J19" s="141">
        <f t="shared" si="9"/>
        <v>78.260869565217391</v>
      </c>
      <c r="K19" s="141">
        <f t="shared" si="10"/>
        <v>90</v>
      </c>
      <c r="L19" s="141">
        <f>F19*0.2225</f>
        <v>116.08695652173914</v>
      </c>
      <c r="M19" s="142">
        <f>F19*0.25</f>
        <v>130.43478260869566</v>
      </c>
      <c r="N19" s="143"/>
    </row>
    <row r="20" spans="1:15" ht="15.75" thickBot="1" x14ac:dyDescent="0.3">
      <c r="B20" s="48"/>
      <c r="C20" s="35"/>
      <c r="D20" s="37"/>
    </row>
    <row r="21" spans="1:15" ht="19.5" thickBot="1" x14ac:dyDescent="0.35">
      <c r="A21" s="49" t="s">
        <v>60</v>
      </c>
      <c r="B21" s="277" t="s">
        <v>138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9"/>
    </row>
    <row r="22" spans="1:15" ht="15.75" thickBot="1" x14ac:dyDescent="0.3">
      <c r="A22" s="52"/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5" ht="37.5" customHeight="1" thickBot="1" x14ac:dyDescent="0.3">
      <c r="B23" s="293" t="s">
        <v>30</v>
      </c>
      <c r="C23" s="295" t="s">
        <v>54</v>
      </c>
      <c r="D23" s="295" t="s">
        <v>122</v>
      </c>
      <c r="E23" s="297" t="s">
        <v>123</v>
      </c>
      <c r="F23" s="241" t="s">
        <v>127</v>
      </c>
      <c r="G23" s="280" t="s">
        <v>145</v>
      </c>
      <c r="H23" s="281"/>
      <c r="I23" s="281"/>
      <c r="J23" s="281"/>
      <c r="K23" s="281"/>
      <c r="L23" s="281"/>
      <c r="M23" s="282"/>
      <c r="N23" s="216" t="s">
        <v>71</v>
      </c>
    </row>
    <row r="24" spans="1:15" ht="45.75" thickBot="1" x14ac:dyDescent="0.3">
      <c r="B24" s="294"/>
      <c r="C24" s="296"/>
      <c r="D24" s="296"/>
      <c r="E24" s="298"/>
      <c r="F24" s="242"/>
      <c r="G24" s="62" t="s">
        <v>97</v>
      </c>
      <c r="H24" s="62" t="s">
        <v>103</v>
      </c>
      <c r="I24" s="62" t="s">
        <v>104</v>
      </c>
      <c r="J24" s="62" t="s">
        <v>105</v>
      </c>
      <c r="K24" s="62" t="s">
        <v>106</v>
      </c>
      <c r="L24" s="114" t="s">
        <v>107</v>
      </c>
      <c r="M24" s="114" t="s">
        <v>108</v>
      </c>
      <c r="N24" s="217"/>
    </row>
    <row r="25" spans="1:15" ht="30.75" thickBot="1" x14ac:dyDescent="0.3">
      <c r="B25" s="104" t="s">
        <v>55</v>
      </c>
      <c r="C25" s="107">
        <v>20</v>
      </c>
      <c r="D25" s="24">
        <v>450</v>
      </c>
      <c r="E25" s="172">
        <f>D25-General!G11</f>
        <v>450</v>
      </c>
      <c r="F25" s="102">
        <f>E25*100/C25</f>
        <v>2250</v>
      </c>
      <c r="G25" s="137">
        <f>F25*0.03</f>
        <v>67.5</v>
      </c>
      <c r="H25" s="138">
        <f>F25*0.0465</f>
        <v>104.625</v>
      </c>
      <c r="I25" s="138">
        <f>F25*0.0872</f>
        <v>196.2</v>
      </c>
      <c r="J25" s="138">
        <f>F25*0.145</f>
        <v>326.25</v>
      </c>
      <c r="K25" s="138">
        <f>F25*0.1817</f>
        <v>408.82499999999999</v>
      </c>
      <c r="L25" s="138">
        <f>F25*0.218</f>
        <v>490.5</v>
      </c>
      <c r="M25" s="139">
        <f>F25*0.2915</f>
        <v>655.875</v>
      </c>
      <c r="N25" s="187">
        <f>(F25*13)/100</f>
        <v>292.5</v>
      </c>
    </row>
    <row r="26" spans="1:15" ht="30.75" thickBot="1" x14ac:dyDescent="0.3">
      <c r="B26" s="105" t="s">
        <v>56</v>
      </c>
      <c r="C26" s="108">
        <v>46</v>
      </c>
      <c r="D26" s="1">
        <v>450</v>
      </c>
      <c r="E26" s="173">
        <f>D26-General!G11</f>
        <v>450</v>
      </c>
      <c r="F26" s="103">
        <f>E26*100/C26</f>
        <v>978.26086956521738</v>
      </c>
      <c r="G26" s="134">
        <f t="shared" ref="G26:G27" si="12">F26*0.03</f>
        <v>29.34782608695652</v>
      </c>
      <c r="H26" s="135">
        <f t="shared" ref="H26:H27" si="13">F26*0.0465</f>
        <v>45.489130434782609</v>
      </c>
      <c r="I26" s="135">
        <f t="shared" ref="I26:I27" si="14">F26*0.0872</f>
        <v>85.304347826086953</v>
      </c>
      <c r="J26" s="135">
        <f t="shared" ref="J26:J27" si="15">F26*0.145</f>
        <v>141.8478260869565</v>
      </c>
      <c r="K26" s="135">
        <f t="shared" ref="K26:K27" si="16">F26*0.1817</f>
        <v>177.75</v>
      </c>
      <c r="L26" s="135">
        <f t="shared" ref="L26:L27" si="17">F26*0.218</f>
        <v>213.26086956521738</v>
      </c>
      <c r="M26" s="136">
        <f>F26*0.2915</f>
        <v>285.16304347826087</v>
      </c>
      <c r="N26" s="188">
        <f>F26*0</f>
        <v>0</v>
      </c>
    </row>
    <row r="27" spans="1:15" ht="30.75" thickBot="1" x14ac:dyDescent="0.3">
      <c r="B27" s="106" t="s">
        <v>57</v>
      </c>
      <c r="C27" s="109">
        <v>60</v>
      </c>
      <c r="D27" s="5">
        <v>500</v>
      </c>
      <c r="E27" s="174">
        <f>D27-General!G11</f>
        <v>500</v>
      </c>
      <c r="F27" s="103">
        <f>E27*100/C27</f>
        <v>833.33333333333337</v>
      </c>
      <c r="G27" s="140">
        <f t="shared" si="12"/>
        <v>25</v>
      </c>
      <c r="H27" s="141">
        <f t="shared" si="13"/>
        <v>38.75</v>
      </c>
      <c r="I27" s="141">
        <f t="shared" si="14"/>
        <v>72.666666666666671</v>
      </c>
      <c r="J27" s="141">
        <f t="shared" si="15"/>
        <v>120.83333333333333</v>
      </c>
      <c r="K27" s="141">
        <f t="shared" si="16"/>
        <v>151.41666666666669</v>
      </c>
      <c r="L27" s="141">
        <f t="shared" si="17"/>
        <v>181.66666666666669</v>
      </c>
      <c r="M27" s="142">
        <f>F27*0.2915</f>
        <v>242.91666666666666</v>
      </c>
      <c r="N27" s="189">
        <f>F27*0</f>
        <v>0</v>
      </c>
      <c r="O27" s="143"/>
    </row>
  </sheetData>
  <mergeCells count="22">
    <mergeCell ref="G4:M4"/>
    <mergeCell ref="B2:M2"/>
    <mergeCell ref="B11:M11"/>
    <mergeCell ref="B21:N21"/>
    <mergeCell ref="B4:B5"/>
    <mergeCell ref="C4:C5"/>
    <mergeCell ref="D4:D5"/>
    <mergeCell ref="E4:E5"/>
    <mergeCell ref="F4:F5"/>
    <mergeCell ref="B13:B14"/>
    <mergeCell ref="C13:C14"/>
    <mergeCell ref="D13:D14"/>
    <mergeCell ref="E13:E14"/>
    <mergeCell ref="F13:F14"/>
    <mergeCell ref="G13:M13"/>
    <mergeCell ref="N23:N24"/>
    <mergeCell ref="B23:B24"/>
    <mergeCell ref="C23:C24"/>
    <mergeCell ref="D23:D24"/>
    <mergeCell ref="E23:E24"/>
    <mergeCell ref="F23:F24"/>
    <mergeCell ref="G23:M23"/>
  </mergeCells>
  <dataValidations count="2">
    <dataValidation type="list" allowBlank="1" showInputMessage="1" showErrorMessage="1" sqref="D6:D9 D15:D19" xr:uid="{00000000-0002-0000-0600-000000000000}">
      <formula1>"50,60,70,80,90,100,110,120,130,140,150,160,170,180,190,200,210,220,230,240,250,260,270,280,290,300,310,320,330,340,350"</formula1>
    </dataValidation>
    <dataValidation type="list" allowBlank="1" showInputMessage="1" showErrorMessage="1" sqref="D25:D27" xr:uid="{00000000-0002-0000-0600-000001000000}">
      <formula1>"50,60,70,80,90,100,110,120,130,140,150,160,170,180,190,200,210,220,230,240,250,260,270,280,290,300,310,320,330,340,350,360,370,380,390,400,410,420,430,440,450,460,470,480,490,500"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M33"/>
  <sheetViews>
    <sheetView topLeftCell="A22" workbookViewId="0">
      <selection activeCell="P26" sqref="P26"/>
    </sheetView>
  </sheetViews>
  <sheetFormatPr baseColWidth="10" defaultRowHeight="15" x14ac:dyDescent="0.25"/>
  <cols>
    <col min="1" max="1" width="2.5703125" bestFit="1" customWidth="1"/>
    <col min="2" max="2" width="13.5703125" customWidth="1"/>
    <col min="4" max="4" width="12" customWidth="1"/>
    <col min="5" max="5" width="12.28515625" customWidth="1"/>
    <col min="6" max="6" width="12.140625" customWidth="1"/>
    <col min="7" max="7" width="9.85546875" customWidth="1"/>
    <col min="8" max="8" width="10.42578125" customWidth="1"/>
    <col min="9" max="9" width="9.7109375" customWidth="1"/>
    <col min="10" max="10" width="10.7109375" customWidth="1"/>
    <col min="11" max="12" width="12.5703125" customWidth="1"/>
  </cols>
  <sheetData>
    <row r="1" spans="1:13" ht="15.75" thickBot="1" x14ac:dyDescent="0.3"/>
    <row r="2" spans="1:13" ht="19.5" thickBot="1" x14ac:dyDescent="0.35">
      <c r="A2" s="49" t="s">
        <v>58</v>
      </c>
      <c r="B2" s="256" t="s">
        <v>137</v>
      </c>
      <c r="C2" s="257"/>
      <c r="D2" s="257"/>
      <c r="E2" s="257"/>
      <c r="F2" s="257"/>
      <c r="G2" s="257"/>
      <c r="H2" s="257"/>
      <c r="I2" s="257"/>
      <c r="J2" s="257"/>
      <c r="K2" s="257"/>
      <c r="L2" s="258"/>
    </row>
    <row r="3" spans="1:13" ht="15.75" thickBot="1" x14ac:dyDescent="0.3">
      <c r="A3" s="52"/>
      <c r="B3" s="58"/>
      <c r="C3" s="58"/>
      <c r="D3" s="58"/>
      <c r="E3" s="58"/>
      <c r="F3" s="58"/>
      <c r="G3" s="58"/>
      <c r="H3" s="58"/>
    </row>
    <row r="4" spans="1:13" ht="30" customHeight="1" thickBot="1" x14ac:dyDescent="0.3">
      <c r="A4" s="52"/>
      <c r="B4" s="302" t="s">
        <v>30</v>
      </c>
      <c r="C4" s="305" t="s">
        <v>50</v>
      </c>
      <c r="D4" s="305" t="s">
        <v>118</v>
      </c>
      <c r="E4" s="305" t="s">
        <v>119</v>
      </c>
      <c r="F4" s="323" t="s">
        <v>129</v>
      </c>
      <c r="G4" s="317" t="s">
        <v>146</v>
      </c>
      <c r="H4" s="318"/>
      <c r="I4" s="318"/>
      <c r="J4" s="318"/>
      <c r="K4" s="318"/>
      <c r="L4" s="319"/>
    </row>
    <row r="5" spans="1:13" ht="30" customHeight="1" thickBot="1" x14ac:dyDescent="0.3">
      <c r="B5" s="303"/>
      <c r="C5" s="306"/>
      <c r="D5" s="306"/>
      <c r="E5" s="306"/>
      <c r="F5" s="324"/>
      <c r="G5" s="320" t="s">
        <v>116</v>
      </c>
      <c r="H5" s="320"/>
      <c r="I5" s="320"/>
      <c r="J5" s="320"/>
      <c r="K5" s="321" t="s">
        <v>117</v>
      </c>
      <c r="L5" s="322"/>
    </row>
    <row r="6" spans="1:13" ht="45.75" thickBot="1" x14ac:dyDescent="0.3">
      <c r="B6" s="304"/>
      <c r="C6" s="307"/>
      <c r="D6" s="307"/>
      <c r="E6" s="307"/>
      <c r="F6" s="325"/>
      <c r="G6" s="144" t="s">
        <v>110</v>
      </c>
      <c r="H6" s="62" t="s">
        <v>111</v>
      </c>
      <c r="I6" s="62" t="s">
        <v>112</v>
      </c>
      <c r="J6" s="150" t="s">
        <v>113</v>
      </c>
      <c r="K6" s="62" t="s">
        <v>114</v>
      </c>
      <c r="L6" s="114" t="s">
        <v>115</v>
      </c>
    </row>
    <row r="7" spans="1:13" ht="30.75" thickBot="1" x14ac:dyDescent="0.3">
      <c r="B7" s="145" t="s">
        <v>49</v>
      </c>
      <c r="C7" s="67">
        <v>21</v>
      </c>
      <c r="D7" s="59">
        <v>100</v>
      </c>
      <c r="E7" s="175">
        <f>D7-General!G9</f>
        <v>100</v>
      </c>
      <c r="F7" s="131">
        <f>E7*100/C7</f>
        <v>476.1904761904762</v>
      </c>
      <c r="G7" s="151">
        <f>F7*0.08</f>
        <v>38.095238095238095</v>
      </c>
      <c r="H7" s="152">
        <f>F7*0.134</f>
        <v>63.809523809523817</v>
      </c>
      <c r="I7" s="152">
        <f>F7*0.134</f>
        <v>63.809523809523817</v>
      </c>
      <c r="J7" s="152">
        <f>F7*0.132</f>
        <v>62.857142857142861</v>
      </c>
      <c r="K7" s="152">
        <f>F7*0.26</f>
        <v>123.80952380952381</v>
      </c>
      <c r="L7" s="154">
        <f>F7*0.26</f>
        <v>123.80952380952381</v>
      </c>
      <c r="M7" s="143"/>
    </row>
    <row r="8" spans="1:13" ht="30.75" thickBot="1" x14ac:dyDescent="0.3">
      <c r="B8" s="64" t="s">
        <v>51</v>
      </c>
      <c r="C8" s="68">
        <v>82</v>
      </c>
      <c r="D8" s="147">
        <v>100</v>
      </c>
      <c r="E8" s="176">
        <f>D8-General!G9</f>
        <v>100</v>
      </c>
      <c r="F8" s="130">
        <f>E8*100/C8</f>
        <v>121.95121951219512</v>
      </c>
      <c r="G8" s="155">
        <f t="shared" ref="G8:G10" si="0">F8*0.08</f>
        <v>9.7560975609756095</v>
      </c>
      <c r="H8" s="153">
        <f t="shared" ref="H8:H10" si="1">F8*0.134</f>
        <v>16.341463414634148</v>
      </c>
      <c r="I8" s="153">
        <f t="shared" ref="I8:I10" si="2">F8*0.134</f>
        <v>16.341463414634148</v>
      </c>
      <c r="J8" s="153">
        <f t="shared" ref="J8:J10" si="3">F8*0.132</f>
        <v>16.097560975609756</v>
      </c>
      <c r="K8" s="153">
        <f t="shared" ref="K8:K10" si="4">F8*0.26</f>
        <v>31.707317073170735</v>
      </c>
      <c r="L8" s="156">
        <f t="shared" ref="L8:L10" si="5">F8*0.26</f>
        <v>31.707317073170735</v>
      </c>
      <c r="M8" s="143"/>
    </row>
    <row r="9" spans="1:13" ht="30.75" thickBot="1" x14ac:dyDescent="0.3">
      <c r="B9" s="65" t="s">
        <v>52</v>
      </c>
      <c r="C9" s="68">
        <v>34</v>
      </c>
      <c r="D9" s="147">
        <v>100</v>
      </c>
      <c r="E9" s="176">
        <f>D9-General!G9</f>
        <v>100</v>
      </c>
      <c r="F9" s="130">
        <f>E9*100/C9</f>
        <v>294.11764705882354</v>
      </c>
      <c r="G9" s="155">
        <f t="shared" si="0"/>
        <v>23.529411764705884</v>
      </c>
      <c r="H9" s="153">
        <f t="shared" si="1"/>
        <v>39.411764705882355</v>
      </c>
      <c r="I9" s="153">
        <f t="shared" si="2"/>
        <v>39.411764705882355</v>
      </c>
      <c r="J9" s="153">
        <f t="shared" si="3"/>
        <v>38.82352941176471</v>
      </c>
      <c r="K9" s="153">
        <f t="shared" si="4"/>
        <v>76.470588235294116</v>
      </c>
      <c r="L9" s="156">
        <f t="shared" si="5"/>
        <v>76.470588235294116</v>
      </c>
      <c r="M9" s="143"/>
    </row>
    <row r="10" spans="1:13" ht="27.75" customHeight="1" thickBot="1" x14ac:dyDescent="0.3">
      <c r="B10" s="66" t="s">
        <v>53</v>
      </c>
      <c r="C10" s="69">
        <v>46</v>
      </c>
      <c r="D10" s="161">
        <v>100</v>
      </c>
      <c r="E10" s="177">
        <f>D10-General!G9</f>
        <v>100</v>
      </c>
      <c r="F10" s="131">
        <f>E10*100/C10</f>
        <v>217.39130434782609</v>
      </c>
      <c r="G10" s="157">
        <f t="shared" si="0"/>
        <v>17.39130434782609</v>
      </c>
      <c r="H10" s="158">
        <f t="shared" si="1"/>
        <v>29.130434782608699</v>
      </c>
      <c r="I10" s="158">
        <f t="shared" si="2"/>
        <v>29.130434782608699</v>
      </c>
      <c r="J10" s="158">
        <f t="shared" si="3"/>
        <v>28.695652173913047</v>
      </c>
      <c r="K10" s="158">
        <f t="shared" si="4"/>
        <v>56.521739130434788</v>
      </c>
      <c r="L10" s="159">
        <f t="shared" si="5"/>
        <v>56.521739130434788</v>
      </c>
      <c r="M10" s="143"/>
    </row>
    <row r="11" spans="1:13" ht="15.75" thickBot="1" x14ac:dyDescent="0.3">
      <c r="B11" s="48"/>
      <c r="C11" s="35"/>
      <c r="D11" s="37"/>
    </row>
    <row r="12" spans="1:13" ht="19.5" thickBot="1" x14ac:dyDescent="0.35">
      <c r="A12" s="49" t="s">
        <v>59</v>
      </c>
      <c r="B12" s="259" t="s">
        <v>136</v>
      </c>
      <c r="C12" s="260"/>
      <c r="D12" s="260"/>
      <c r="E12" s="260"/>
      <c r="F12" s="260"/>
      <c r="G12" s="260"/>
      <c r="H12" s="260"/>
      <c r="I12" s="260"/>
      <c r="J12" s="260"/>
      <c r="K12" s="260"/>
      <c r="L12" s="261"/>
    </row>
    <row r="13" spans="1:13" ht="15.75" thickBot="1" x14ac:dyDescent="0.3">
      <c r="A13" s="52"/>
      <c r="B13" s="58"/>
      <c r="C13" s="58"/>
      <c r="D13" s="58"/>
      <c r="E13" s="58"/>
      <c r="F13" s="58"/>
      <c r="G13" s="58"/>
      <c r="H13" s="58"/>
    </row>
    <row r="14" spans="1:13" ht="32.25" customHeight="1" thickBot="1" x14ac:dyDescent="0.3">
      <c r="A14" s="52"/>
      <c r="B14" s="327" t="s">
        <v>30</v>
      </c>
      <c r="C14" s="311" t="s">
        <v>48</v>
      </c>
      <c r="D14" s="308" t="s">
        <v>120</v>
      </c>
      <c r="E14" s="311" t="s">
        <v>121</v>
      </c>
      <c r="F14" s="314" t="s">
        <v>128</v>
      </c>
      <c r="G14" s="317" t="s">
        <v>146</v>
      </c>
      <c r="H14" s="318"/>
      <c r="I14" s="318"/>
      <c r="J14" s="318"/>
      <c r="K14" s="318"/>
      <c r="L14" s="319"/>
    </row>
    <row r="15" spans="1:13" ht="29.25" customHeight="1" thickBot="1" x14ac:dyDescent="0.3">
      <c r="A15" s="70"/>
      <c r="B15" s="328"/>
      <c r="C15" s="312"/>
      <c r="D15" s="309"/>
      <c r="E15" s="312"/>
      <c r="F15" s="315"/>
      <c r="G15" s="320" t="s">
        <v>116</v>
      </c>
      <c r="H15" s="320"/>
      <c r="I15" s="320"/>
      <c r="J15" s="320"/>
      <c r="K15" s="321" t="s">
        <v>117</v>
      </c>
      <c r="L15" s="322"/>
    </row>
    <row r="16" spans="1:13" ht="45.75" thickBot="1" x14ac:dyDescent="0.3">
      <c r="A16" s="70"/>
      <c r="B16" s="329"/>
      <c r="C16" s="313"/>
      <c r="D16" s="310"/>
      <c r="E16" s="313"/>
      <c r="F16" s="316"/>
      <c r="G16" s="144" t="s">
        <v>110</v>
      </c>
      <c r="H16" s="62" t="s">
        <v>111</v>
      </c>
      <c r="I16" s="62" t="s">
        <v>112</v>
      </c>
      <c r="J16" s="62" t="s">
        <v>113</v>
      </c>
      <c r="K16" s="62" t="s">
        <v>114</v>
      </c>
      <c r="L16" s="62" t="s">
        <v>115</v>
      </c>
    </row>
    <row r="17" spans="1:13" s="98" customFormat="1" ht="36.75" customHeight="1" thickBot="1" x14ac:dyDescent="0.3">
      <c r="B17" s="198" t="s">
        <v>109</v>
      </c>
      <c r="C17" s="197">
        <v>14</v>
      </c>
      <c r="D17" s="59">
        <v>90</v>
      </c>
      <c r="E17" s="160">
        <f>D17-General!G10</f>
        <v>90</v>
      </c>
      <c r="F17" s="84">
        <f t="shared" ref="F17:F22" si="6">E17*100/C17</f>
        <v>642.85714285714289</v>
      </c>
      <c r="G17" s="151">
        <f>F17*0.094</f>
        <v>60.428571428571431</v>
      </c>
      <c r="H17" s="152">
        <f>F17*0.1812</f>
        <v>116.48571428571429</v>
      </c>
      <c r="I17" s="152">
        <f>F17*0.1812</f>
        <v>116.48571428571429</v>
      </c>
      <c r="J17" s="154">
        <f>F17*0.1812</f>
        <v>116.48571428571429</v>
      </c>
      <c r="K17" s="151">
        <f>F17*0.1812</f>
        <v>116.48571428571429</v>
      </c>
      <c r="L17" s="154">
        <f>F17*0.1812</f>
        <v>116.48571428571429</v>
      </c>
      <c r="M17" s="162"/>
    </row>
    <row r="18" spans="1:13" ht="30.75" thickBot="1" x14ac:dyDescent="0.3">
      <c r="B18" s="145" t="s">
        <v>44</v>
      </c>
      <c r="C18" s="146">
        <v>20</v>
      </c>
      <c r="D18" s="147">
        <v>90</v>
      </c>
      <c r="E18" s="180">
        <f>D18-General!G10</f>
        <v>90</v>
      </c>
      <c r="F18" s="148">
        <f t="shared" si="6"/>
        <v>450</v>
      </c>
      <c r="G18" s="155">
        <f t="shared" ref="G18:G22" si="7">F18*0.094</f>
        <v>42.3</v>
      </c>
      <c r="H18" s="153">
        <f t="shared" ref="H18:H22" si="8">F18*0.1812</f>
        <v>81.540000000000006</v>
      </c>
      <c r="I18" s="153">
        <f t="shared" ref="I18:I22" si="9">F18*0.1812</f>
        <v>81.540000000000006</v>
      </c>
      <c r="J18" s="156">
        <f t="shared" ref="J18:J22" si="10">F18*0.1812</f>
        <v>81.540000000000006</v>
      </c>
      <c r="K18" s="155">
        <f t="shared" ref="K18:K22" si="11">F18*0.1812</f>
        <v>81.540000000000006</v>
      </c>
      <c r="L18" s="156">
        <f t="shared" ref="L18:L22" si="12">F18*0.1812</f>
        <v>81.540000000000006</v>
      </c>
      <c r="M18" s="143"/>
    </row>
    <row r="19" spans="1:13" ht="30.75" thickBot="1" x14ac:dyDescent="0.3">
      <c r="B19" s="64" t="s">
        <v>45</v>
      </c>
      <c r="C19" s="68">
        <v>46</v>
      </c>
      <c r="D19" s="147">
        <v>90</v>
      </c>
      <c r="E19" s="176">
        <f>D19-General!G10</f>
        <v>90</v>
      </c>
      <c r="F19" s="103">
        <f t="shared" si="6"/>
        <v>195.65217391304347</v>
      </c>
      <c r="G19" s="155">
        <f t="shared" si="7"/>
        <v>18.391304347826086</v>
      </c>
      <c r="H19" s="153">
        <f t="shared" si="8"/>
        <v>35.452173913043474</v>
      </c>
      <c r="I19" s="153">
        <f t="shared" si="9"/>
        <v>35.452173913043474</v>
      </c>
      <c r="J19" s="156">
        <f t="shared" si="10"/>
        <v>35.452173913043474</v>
      </c>
      <c r="K19" s="155">
        <f t="shared" si="11"/>
        <v>35.452173913043474</v>
      </c>
      <c r="L19" s="156">
        <f t="shared" si="12"/>
        <v>35.452173913043474</v>
      </c>
      <c r="M19" s="143"/>
    </row>
    <row r="20" spans="1:13" ht="45.75" thickBot="1" x14ac:dyDescent="0.3">
      <c r="B20" s="65" t="s">
        <v>46</v>
      </c>
      <c r="C20" s="68">
        <v>30</v>
      </c>
      <c r="D20" s="147">
        <v>90</v>
      </c>
      <c r="E20" s="176">
        <f>D20-General!G10</f>
        <v>90</v>
      </c>
      <c r="F20" s="103">
        <f t="shared" si="6"/>
        <v>300</v>
      </c>
      <c r="G20" s="155">
        <f t="shared" si="7"/>
        <v>28.2</v>
      </c>
      <c r="H20" s="153">
        <f t="shared" si="8"/>
        <v>54.36</v>
      </c>
      <c r="I20" s="153">
        <f t="shared" si="9"/>
        <v>54.36</v>
      </c>
      <c r="J20" s="156">
        <f t="shared" si="10"/>
        <v>54.36</v>
      </c>
      <c r="K20" s="155">
        <f t="shared" si="11"/>
        <v>54.36</v>
      </c>
      <c r="L20" s="156">
        <f t="shared" si="12"/>
        <v>54.36</v>
      </c>
      <c r="M20" s="143"/>
    </row>
    <row r="21" spans="1:13" ht="45.75" thickBot="1" x14ac:dyDescent="0.3">
      <c r="B21" s="132" t="s">
        <v>46</v>
      </c>
      <c r="C21" s="68">
        <v>52</v>
      </c>
      <c r="D21" s="147">
        <v>90</v>
      </c>
      <c r="E21" s="176">
        <f>D21-General!G10</f>
        <v>90</v>
      </c>
      <c r="F21" s="103">
        <f t="shared" si="6"/>
        <v>173.07692307692307</v>
      </c>
      <c r="G21" s="155">
        <f t="shared" si="7"/>
        <v>16.269230769230766</v>
      </c>
      <c r="H21" s="153">
        <f t="shared" si="8"/>
        <v>31.361538461538458</v>
      </c>
      <c r="I21" s="153">
        <f t="shared" si="9"/>
        <v>31.361538461538458</v>
      </c>
      <c r="J21" s="156">
        <f t="shared" si="10"/>
        <v>31.361538461538458</v>
      </c>
      <c r="K21" s="155">
        <f t="shared" si="11"/>
        <v>31.361538461538458</v>
      </c>
      <c r="L21" s="156">
        <f t="shared" si="12"/>
        <v>31.361538461538458</v>
      </c>
      <c r="M21" s="143"/>
    </row>
    <row r="22" spans="1:13" ht="45.75" thickBot="1" x14ac:dyDescent="0.3">
      <c r="B22" s="133" t="s">
        <v>47</v>
      </c>
      <c r="C22" s="69">
        <v>46</v>
      </c>
      <c r="D22" s="161">
        <v>90</v>
      </c>
      <c r="E22" s="177">
        <f>D22-General!G10</f>
        <v>90</v>
      </c>
      <c r="F22" s="103">
        <f t="shared" si="6"/>
        <v>195.65217391304347</v>
      </c>
      <c r="G22" s="157">
        <f t="shared" si="7"/>
        <v>18.391304347826086</v>
      </c>
      <c r="H22" s="158">
        <f t="shared" si="8"/>
        <v>35.452173913043474</v>
      </c>
      <c r="I22" s="158">
        <f t="shared" si="9"/>
        <v>35.452173913043474</v>
      </c>
      <c r="J22" s="159">
        <f t="shared" si="10"/>
        <v>35.452173913043474</v>
      </c>
      <c r="K22" s="157">
        <f t="shared" si="11"/>
        <v>35.452173913043474</v>
      </c>
      <c r="L22" s="159">
        <f t="shared" si="12"/>
        <v>35.452173913043474</v>
      </c>
      <c r="M22" s="143"/>
    </row>
    <row r="23" spans="1:13" ht="15.75" thickBot="1" x14ac:dyDescent="0.3">
      <c r="B23" s="48"/>
      <c r="C23" s="35"/>
      <c r="D23" s="37"/>
    </row>
    <row r="24" spans="1:13" ht="19.5" thickBot="1" x14ac:dyDescent="0.35">
      <c r="A24" s="49" t="s">
        <v>60</v>
      </c>
      <c r="B24" s="224" t="s">
        <v>138</v>
      </c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6"/>
    </row>
    <row r="25" spans="1:13" ht="15.75" thickBot="1" x14ac:dyDescent="0.3">
      <c r="A25" s="52"/>
      <c r="B25" s="52"/>
      <c r="C25" s="52"/>
      <c r="D25" s="52"/>
      <c r="E25" s="52"/>
      <c r="F25" s="52"/>
      <c r="G25" s="52"/>
      <c r="H25" s="52"/>
      <c r="I25" s="70"/>
      <c r="J25" s="70"/>
      <c r="K25" s="70"/>
    </row>
    <row r="26" spans="1:13" ht="36.75" customHeight="1" thickBot="1" x14ac:dyDescent="0.3">
      <c r="A26" s="52"/>
      <c r="B26" s="230" t="s">
        <v>30</v>
      </c>
      <c r="C26" s="232" t="s">
        <v>54</v>
      </c>
      <c r="D26" s="232" t="s">
        <v>95</v>
      </c>
      <c r="E26" s="232" t="s">
        <v>96</v>
      </c>
      <c r="F26" s="236" t="s">
        <v>127</v>
      </c>
      <c r="G26" s="318" t="s">
        <v>146</v>
      </c>
      <c r="H26" s="318"/>
      <c r="I26" s="318"/>
      <c r="J26" s="318"/>
      <c r="K26" s="318"/>
      <c r="L26" s="318"/>
      <c r="M26" s="216" t="s">
        <v>71</v>
      </c>
    </row>
    <row r="27" spans="1:13" ht="33" customHeight="1" thickBot="1" x14ac:dyDescent="0.3">
      <c r="B27" s="231"/>
      <c r="C27" s="233"/>
      <c r="D27" s="233"/>
      <c r="E27" s="233"/>
      <c r="F27" s="331"/>
      <c r="G27" s="320" t="s">
        <v>116</v>
      </c>
      <c r="H27" s="320"/>
      <c r="I27" s="320"/>
      <c r="J27" s="320"/>
      <c r="K27" s="321" t="s">
        <v>117</v>
      </c>
      <c r="L27" s="322"/>
      <c r="M27" s="217"/>
    </row>
    <row r="28" spans="1:13" ht="45.75" thickBot="1" x14ac:dyDescent="0.3">
      <c r="B28" s="330"/>
      <c r="C28" s="233"/>
      <c r="D28" s="233"/>
      <c r="E28" s="233"/>
      <c r="F28" s="332"/>
      <c r="G28" s="144" t="s">
        <v>110</v>
      </c>
      <c r="H28" s="62" t="s">
        <v>111</v>
      </c>
      <c r="I28" s="62" t="s">
        <v>112</v>
      </c>
      <c r="J28" s="62" t="s">
        <v>113</v>
      </c>
      <c r="K28" s="62" t="s">
        <v>114</v>
      </c>
      <c r="L28" s="150" t="s">
        <v>115</v>
      </c>
      <c r="M28" s="326"/>
    </row>
    <row r="29" spans="1:13" ht="30.75" thickBot="1" x14ac:dyDescent="0.3">
      <c r="B29" s="104" t="s">
        <v>55</v>
      </c>
      <c r="C29" s="107">
        <v>20</v>
      </c>
      <c r="D29" s="24">
        <v>230</v>
      </c>
      <c r="E29" s="172">
        <f>D29-General!G11</f>
        <v>230</v>
      </c>
      <c r="F29" s="181">
        <f>E29*100/C29</f>
        <v>1150</v>
      </c>
      <c r="G29" s="163">
        <f>F29*0.09</f>
        <v>103.5</v>
      </c>
      <c r="H29" s="164">
        <f>F29*0.152</f>
        <v>174.79999999999998</v>
      </c>
      <c r="I29" s="164">
        <f>F29*0.152</f>
        <v>174.79999999999998</v>
      </c>
      <c r="J29" s="164">
        <f>F29*0.152</f>
        <v>174.79999999999998</v>
      </c>
      <c r="K29" s="164">
        <f>F29*0.227</f>
        <v>261.05</v>
      </c>
      <c r="L29" s="165">
        <f>F29*0.227</f>
        <v>261.05</v>
      </c>
      <c r="M29" s="190">
        <f>(F29*13)/100</f>
        <v>149.5</v>
      </c>
    </row>
    <row r="30" spans="1:13" ht="30.75" thickBot="1" x14ac:dyDescent="0.3">
      <c r="B30" s="105" t="s">
        <v>56</v>
      </c>
      <c r="C30" s="108">
        <v>46</v>
      </c>
      <c r="D30" s="1">
        <v>230</v>
      </c>
      <c r="E30" s="173">
        <f>D30-General!G11</f>
        <v>230</v>
      </c>
      <c r="F30" s="182">
        <f>E30*100/C30</f>
        <v>500</v>
      </c>
      <c r="G30" s="151">
        <f t="shared" ref="G30:G31" si="13">F30*0.09</f>
        <v>45</v>
      </c>
      <c r="H30" s="152">
        <f t="shared" ref="H30:H31" si="14">F30*0.152</f>
        <v>76</v>
      </c>
      <c r="I30" s="152">
        <f t="shared" ref="I30:I31" si="15">F30*0.152</f>
        <v>76</v>
      </c>
      <c r="J30" s="152">
        <f t="shared" ref="J30:J31" si="16">F30*0.152</f>
        <v>76</v>
      </c>
      <c r="K30" s="152">
        <f t="shared" ref="K30:K31" si="17">F30*0.227</f>
        <v>113.5</v>
      </c>
      <c r="L30" s="154">
        <f t="shared" ref="L30:L31" si="18">F30*0.227</f>
        <v>113.5</v>
      </c>
      <c r="M30" s="191">
        <f>F30*0</f>
        <v>0</v>
      </c>
    </row>
    <row r="31" spans="1:13" ht="30.75" thickBot="1" x14ac:dyDescent="0.3">
      <c r="B31" s="106" t="s">
        <v>57</v>
      </c>
      <c r="C31" s="109">
        <v>60</v>
      </c>
      <c r="D31" s="5">
        <v>220</v>
      </c>
      <c r="E31" s="174">
        <f>D31-General!G11</f>
        <v>220</v>
      </c>
      <c r="F31" s="182">
        <f>E31*100/C31</f>
        <v>366.66666666666669</v>
      </c>
      <c r="G31" s="166">
        <f t="shared" si="13"/>
        <v>33</v>
      </c>
      <c r="H31" s="167">
        <f t="shared" si="14"/>
        <v>55.733333333333334</v>
      </c>
      <c r="I31" s="167">
        <f t="shared" si="15"/>
        <v>55.733333333333334</v>
      </c>
      <c r="J31" s="167">
        <f t="shared" si="16"/>
        <v>55.733333333333334</v>
      </c>
      <c r="K31" s="167">
        <f t="shared" si="17"/>
        <v>83.233333333333334</v>
      </c>
      <c r="L31" s="168">
        <f t="shared" si="18"/>
        <v>83.233333333333334</v>
      </c>
      <c r="M31" s="192">
        <f>F31*0</f>
        <v>0</v>
      </c>
    </row>
    <row r="32" spans="1:13" x14ac:dyDescent="0.25">
      <c r="G32" s="149"/>
      <c r="H32" s="149"/>
      <c r="I32" s="149"/>
      <c r="J32" s="149"/>
      <c r="K32" s="149"/>
      <c r="L32" s="149"/>
    </row>
    <row r="33" spans="7:12" x14ac:dyDescent="0.25">
      <c r="G33" s="8"/>
      <c r="H33" s="8"/>
      <c r="I33" s="8"/>
      <c r="J33" s="8"/>
      <c r="K33" s="8"/>
      <c r="L33" s="8"/>
    </row>
  </sheetData>
  <mergeCells count="28">
    <mergeCell ref="B24:M24"/>
    <mergeCell ref="G26:L26"/>
    <mergeCell ref="M26:M28"/>
    <mergeCell ref="B12:L12"/>
    <mergeCell ref="B14:B16"/>
    <mergeCell ref="C14:C16"/>
    <mergeCell ref="B26:B28"/>
    <mergeCell ref="C26:C28"/>
    <mergeCell ref="D26:D28"/>
    <mergeCell ref="E26:E28"/>
    <mergeCell ref="F26:F28"/>
    <mergeCell ref="G27:J27"/>
    <mergeCell ref="K27:L27"/>
    <mergeCell ref="B2:L2"/>
    <mergeCell ref="B4:B6"/>
    <mergeCell ref="C4:C6"/>
    <mergeCell ref="D4:D6"/>
    <mergeCell ref="D14:D16"/>
    <mergeCell ref="E14:E16"/>
    <mergeCell ref="F14:F16"/>
    <mergeCell ref="G14:L14"/>
    <mergeCell ref="G15:J15"/>
    <mergeCell ref="K15:L15"/>
    <mergeCell ref="E4:E6"/>
    <mergeCell ref="F4:F6"/>
    <mergeCell ref="G4:L4"/>
    <mergeCell ref="G5:J5"/>
    <mergeCell ref="K5:L5"/>
  </mergeCells>
  <dataValidations count="3">
    <dataValidation type="list" allowBlank="1" showInputMessage="1" showErrorMessage="1" sqref="D17:D22" xr:uid="{00000000-0002-0000-0700-000000000000}">
      <formula1>"20,30,40,50,60,70,80,90,100,110,120,130,140,150,160,170,180,190,200"</formula1>
    </dataValidation>
    <dataValidation type="list" allowBlank="1" showInputMessage="1" showErrorMessage="1" sqref="D7:D10" xr:uid="{00000000-0002-0000-0700-000001000000}">
      <formula1>"10,15,20,25,30,35,40,45,50,55,60,65,70,75,80,85,90,95,100,105,110,115,120"</formula1>
    </dataValidation>
    <dataValidation type="list" allowBlank="1" showInputMessage="1" showErrorMessage="1" sqref="D29:D31" xr:uid="{00000000-0002-0000-0700-000002000000}">
      <formula1>"20,30,40,50,60,70,75,80,85,90,100,110,120,130,140,150,160,170,180,190,200,210,220,230,240,250,260,270,280,290,300,310,320,330,340,350,360,370,380,390,400"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P27"/>
  <sheetViews>
    <sheetView topLeftCell="A11" zoomScaleNormal="100" workbookViewId="0">
      <selection activeCell="K35" sqref="K35"/>
    </sheetView>
  </sheetViews>
  <sheetFormatPr baseColWidth="10" defaultRowHeight="15" x14ac:dyDescent="0.25"/>
  <cols>
    <col min="1" max="1" width="2.5703125" bestFit="1" customWidth="1"/>
    <col min="2" max="2" width="13.5703125" customWidth="1"/>
    <col min="7" max="7" width="10" customWidth="1"/>
    <col min="8" max="8" width="10.140625" customWidth="1"/>
    <col min="9" max="9" width="10.28515625" customWidth="1"/>
    <col min="10" max="10" width="10.5703125" customWidth="1"/>
    <col min="11" max="11" width="10" customWidth="1"/>
    <col min="13" max="13" width="13" customWidth="1"/>
    <col min="15" max="15" width="14.140625" customWidth="1"/>
  </cols>
  <sheetData>
    <row r="1" spans="1:16" ht="15.75" thickBot="1" x14ac:dyDescent="0.3"/>
    <row r="2" spans="1:16" ht="19.5" thickBot="1" x14ac:dyDescent="0.35">
      <c r="A2" s="50" t="s">
        <v>58</v>
      </c>
      <c r="B2" s="299" t="s">
        <v>137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1"/>
    </row>
    <row r="3" spans="1:16" ht="15.75" thickBot="1" x14ac:dyDescent="0.3">
      <c r="B3" s="58"/>
      <c r="C3" s="58"/>
      <c r="D3" s="58"/>
      <c r="E3" s="58"/>
      <c r="F3" s="58"/>
      <c r="G3" s="58"/>
      <c r="H3" s="58"/>
    </row>
    <row r="4" spans="1:16" ht="30" customHeight="1" thickBot="1" x14ac:dyDescent="0.3">
      <c r="B4" s="250" t="s">
        <v>30</v>
      </c>
      <c r="C4" s="252" t="s">
        <v>50</v>
      </c>
      <c r="D4" s="252" t="s">
        <v>118</v>
      </c>
      <c r="E4" s="254" t="s">
        <v>119</v>
      </c>
      <c r="F4" s="216" t="s">
        <v>125</v>
      </c>
      <c r="G4" s="280" t="s">
        <v>148</v>
      </c>
      <c r="H4" s="281"/>
      <c r="I4" s="281"/>
      <c r="J4" s="281"/>
      <c r="K4" s="281"/>
      <c r="L4" s="281"/>
      <c r="M4" s="281"/>
      <c r="N4" s="281"/>
      <c r="O4" s="282"/>
    </row>
    <row r="5" spans="1:16" ht="30.75" thickBot="1" x14ac:dyDescent="0.3">
      <c r="B5" s="251"/>
      <c r="C5" s="253"/>
      <c r="D5" s="253"/>
      <c r="E5" s="255"/>
      <c r="F5" s="238"/>
      <c r="G5" s="62" t="s">
        <v>97</v>
      </c>
      <c r="H5" s="62" t="s">
        <v>103</v>
      </c>
      <c r="I5" s="62" t="s">
        <v>139</v>
      </c>
      <c r="J5" s="62" t="s">
        <v>104</v>
      </c>
      <c r="K5" s="62" t="s">
        <v>140</v>
      </c>
      <c r="L5" s="114" t="s">
        <v>142</v>
      </c>
      <c r="M5" s="114" t="s">
        <v>143</v>
      </c>
      <c r="N5" s="114" t="s">
        <v>141</v>
      </c>
      <c r="O5" s="114" t="s">
        <v>144</v>
      </c>
    </row>
    <row r="6" spans="1:16" ht="30.75" thickBot="1" x14ac:dyDescent="0.3">
      <c r="B6" s="63" t="s">
        <v>49</v>
      </c>
      <c r="C6" s="199">
        <v>21</v>
      </c>
      <c r="D6" s="205">
        <v>850</v>
      </c>
      <c r="E6" s="202">
        <f>D6-General!G9</f>
        <v>850</v>
      </c>
      <c r="F6" s="130">
        <f>E6*100/C6</f>
        <v>4047.6190476190477</v>
      </c>
      <c r="G6" s="137">
        <f>F6*0.014</f>
        <v>56.666666666666671</v>
      </c>
      <c r="H6" s="138">
        <f>F6*0.021</f>
        <v>85</v>
      </c>
      <c r="I6" s="138">
        <f>F6*0.025</f>
        <v>101.1904761904762</v>
      </c>
      <c r="J6" s="138">
        <f>F6*0.035</f>
        <v>141.66666666666669</v>
      </c>
      <c r="K6" s="138">
        <f>F6*0.089</f>
        <v>360.23809523809524</v>
      </c>
      <c r="L6" s="138">
        <f>F6*0.16</f>
        <v>647.61904761904759</v>
      </c>
      <c r="M6" s="138">
        <f>F6*0.177</f>
        <v>716.42857142857144</v>
      </c>
      <c r="N6" s="138">
        <f>F6*0.213</f>
        <v>862.14285714285711</v>
      </c>
      <c r="O6" s="139">
        <f>F6*0.266</f>
        <v>1076.6666666666667</v>
      </c>
      <c r="P6" s="143"/>
    </row>
    <row r="7" spans="1:16" ht="30.75" thickBot="1" x14ac:dyDescent="0.3">
      <c r="B7" s="64" t="s">
        <v>51</v>
      </c>
      <c r="C7" s="200">
        <v>82</v>
      </c>
      <c r="D7" s="206">
        <v>850</v>
      </c>
      <c r="E7" s="203">
        <f>D7-General!G10</f>
        <v>850</v>
      </c>
      <c r="F7" s="130">
        <f>E7*100/C7</f>
        <v>1036.5853658536585</v>
      </c>
      <c r="G7" s="134">
        <f t="shared" ref="G7:G9" si="0">F7*0.014</f>
        <v>14.512195121951219</v>
      </c>
      <c r="H7" s="135">
        <f t="shared" ref="H7:H9" si="1">F7*0.021</f>
        <v>21.76829268292683</v>
      </c>
      <c r="I7" s="135">
        <f t="shared" ref="I7:I9" si="2">F7*0.025</f>
        <v>25.914634146341463</v>
      </c>
      <c r="J7" s="135">
        <f t="shared" ref="J7:J9" si="3">F7*0.035</f>
        <v>36.280487804878049</v>
      </c>
      <c r="K7" s="135">
        <f t="shared" ref="K7:K9" si="4">F7*0.089</f>
        <v>92.256097560975604</v>
      </c>
      <c r="L7" s="135">
        <f t="shared" ref="L7:L9" si="5">F7*0.16</f>
        <v>165.85365853658536</v>
      </c>
      <c r="M7" s="135">
        <f t="shared" ref="M7:M9" si="6">F7*0.177</f>
        <v>183.47560975609753</v>
      </c>
      <c r="N7" s="135">
        <f t="shared" ref="N7:N9" si="7">F7*0.213</f>
        <v>220.79268292682926</v>
      </c>
      <c r="O7" s="136">
        <f t="shared" ref="O7:O9" si="8">F7*0.266</f>
        <v>275.73170731707319</v>
      </c>
    </row>
    <row r="8" spans="1:16" ht="30.75" thickBot="1" x14ac:dyDescent="0.3">
      <c r="B8" s="65" t="s">
        <v>52</v>
      </c>
      <c r="C8" s="200">
        <v>34</v>
      </c>
      <c r="D8" s="206">
        <v>850</v>
      </c>
      <c r="E8" s="203">
        <f>D8-General!G11</f>
        <v>850</v>
      </c>
      <c r="F8" s="130">
        <f>E8*100/C8</f>
        <v>2500</v>
      </c>
      <c r="G8" s="134">
        <f t="shared" si="0"/>
        <v>35</v>
      </c>
      <c r="H8" s="135">
        <f t="shared" si="1"/>
        <v>52.5</v>
      </c>
      <c r="I8" s="135">
        <f t="shared" si="2"/>
        <v>62.5</v>
      </c>
      <c r="J8" s="135">
        <f t="shared" si="3"/>
        <v>87.500000000000014</v>
      </c>
      <c r="K8" s="135">
        <f t="shared" si="4"/>
        <v>222.5</v>
      </c>
      <c r="L8" s="135">
        <f t="shared" si="5"/>
        <v>400</v>
      </c>
      <c r="M8" s="135">
        <f t="shared" si="6"/>
        <v>442.5</v>
      </c>
      <c r="N8" s="135">
        <f t="shared" si="7"/>
        <v>532.5</v>
      </c>
      <c r="O8" s="136">
        <f t="shared" si="8"/>
        <v>665</v>
      </c>
    </row>
    <row r="9" spans="1:16" ht="15.75" thickBot="1" x14ac:dyDescent="0.3">
      <c r="B9" s="66" t="s">
        <v>53</v>
      </c>
      <c r="C9" s="201">
        <v>46</v>
      </c>
      <c r="D9" s="207">
        <v>850</v>
      </c>
      <c r="E9" s="204">
        <f>D9-General!G12</f>
        <v>850</v>
      </c>
      <c r="F9" s="131">
        <f>E9*100/C9</f>
        <v>1847.8260869565217</v>
      </c>
      <c r="G9" s="140">
        <f t="shared" si="0"/>
        <v>25.869565217391305</v>
      </c>
      <c r="H9" s="141">
        <f t="shared" si="1"/>
        <v>38.804347826086961</v>
      </c>
      <c r="I9" s="141">
        <f t="shared" si="2"/>
        <v>46.195652173913047</v>
      </c>
      <c r="J9" s="141">
        <f t="shared" si="3"/>
        <v>64.673913043478265</v>
      </c>
      <c r="K9" s="141">
        <f t="shared" si="4"/>
        <v>164.45652173913044</v>
      </c>
      <c r="L9" s="141">
        <f t="shared" si="5"/>
        <v>295.6521739130435</v>
      </c>
      <c r="M9" s="141">
        <f t="shared" si="6"/>
        <v>327.06521739130432</v>
      </c>
      <c r="N9" s="141">
        <f t="shared" si="7"/>
        <v>393.58695652173913</v>
      </c>
      <c r="O9" s="142">
        <f t="shared" si="8"/>
        <v>491.52173913043481</v>
      </c>
    </row>
    <row r="10" spans="1:16" ht="15.75" thickBot="1" x14ac:dyDescent="0.3">
      <c r="B10" s="48"/>
      <c r="C10" s="35"/>
      <c r="D10" s="37"/>
    </row>
    <row r="11" spans="1:16" ht="19.5" thickBot="1" x14ac:dyDescent="0.35">
      <c r="A11" s="50" t="s">
        <v>59</v>
      </c>
      <c r="B11" s="256" t="s">
        <v>136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8"/>
    </row>
    <row r="12" spans="1:16" ht="15.75" thickBot="1" x14ac:dyDescent="0.3">
      <c r="B12" s="58"/>
      <c r="C12" s="58"/>
      <c r="D12" s="58"/>
      <c r="E12" s="58"/>
      <c r="F12" s="58"/>
      <c r="G12" s="58"/>
      <c r="H12" s="58"/>
    </row>
    <row r="13" spans="1:16" ht="30" customHeight="1" thickBot="1" x14ac:dyDescent="0.3">
      <c r="A13" s="50" t="s">
        <v>60</v>
      </c>
      <c r="B13" s="262" t="s">
        <v>30</v>
      </c>
      <c r="C13" s="264" t="s">
        <v>48</v>
      </c>
      <c r="D13" s="264" t="s">
        <v>120</v>
      </c>
      <c r="E13" s="266" t="s">
        <v>121</v>
      </c>
      <c r="F13" s="241" t="s">
        <v>124</v>
      </c>
      <c r="G13" s="280" t="s">
        <v>148</v>
      </c>
      <c r="H13" s="281"/>
      <c r="I13" s="281"/>
      <c r="J13" s="281"/>
      <c r="K13" s="281"/>
      <c r="L13" s="281"/>
      <c r="M13" s="281"/>
      <c r="N13" s="281"/>
      <c r="O13" s="282"/>
    </row>
    <row r="14" spans="1:16" ht="30.75" thickBot="1" x14ac:dyDescent="0.3">
      <c r="B14" s="263"/>
      <c r="C14" s="283"/>
      <c r="D14" s="283"/>
      <c r="E14" s="284"/>
      <c r="F14" s="242"/>
      <c r="G14" s="62" t="s">
        <v>97</v>
      </c>
      <c r="H14" s="62" t="s">
        <v>103</v>
      </c>
      <c r="I14" s="62" t="s">
        <v>139</v>
      </c>
      <c r="J14" s="62" t="s">
        <v>104</v>
      </c>
      <c r="K14" s="62" t="s">
        <v>140</v>
      </c>
      <c r="L14" s="114" t="s">
        <v>142</v>
      </c>
      <c r="M14" s="114" t="s">
        <v>143</v>
      </c>
      <c r="N14" s="114" t="s">
        <v>141</v>
      </c>
      <c r="O14" s="114" t="s">
        <v>144</v>
      </c>
    </row>
    <row r="15" spans="1:16" ht="30.75" thickBot="1" x14ac:dyDescent="0.3">
      <c r="B15" s="63" t="s">
        <v>44</v>
      </c>
      <c r="C15" s="199">
        <v>20</v>
      </c>
      <c r="D15" s="205">
        <v>850</v>
      </c>
      <c r="E15" s="202">
        <f>D15-General!G10</f>
        <v>850</v>
      </c>
      <c r="F15" s="102">
        <f>E15*100/C15</f>
        <v>4250</v>
      </c>
      <c r="G15" s="137">
        <f>F15*0.011</f>
        <v>46.75</v>
      </c>
      <c r="H15" s="138">
        <f>F15*0.011</f>
        <v>46.75</v>
      </c>
      <c r="I15" s="138">
        <f>F15*0.017</f>
        <v>72.25</v>
      </c>
      <c r="J15" s="138">
        <f>F15*0.022</f>
        <v>93.5</v>
      </c>
      <c r="K15" s="138">
        <f>F15*0.087</f>
        <v>369.75</v>
      </c>
      <c r="L15" s="138">
        <f>F15*0.164</f>
        <v>697</v>
      </c>
      <c r="M15" s="138">
        <f>F15*0.197</f>
        <v>837.25</v>
      </c>
      <c r="N15" s="138">
        <f>F15*0.218</f>
        <v>926.5</v>
      </c>
      <c r="O15" s="139">
        <f>F15*0.273</f>
        <v>1160.25</v>
      </c>
    </row>
    <row r="16" spans="1:16" ht="30.75" thickBot="1" x14ac:dyDescent="0.3">
      <c r="B16" s="64" t="s">
        <v>45</v>
      </c>
      <c r="C16" s="200">
        <v>46</v>
      </c>
      <c r="D16" s="206">
        <v>850</v>
      </c>
      <c r="E16" s="203">
        <f>D16-General!G11</f>
        <v>850</v>
      </c>
      <c r="F16" s="103">
        <f>E16*100/C16</f>
        <v>1847.8260869565217</v>
      </c>
      <c r="G16" s="134">
        <f t="shared" ref="G16:G19" si="9">F16*0.011</f>
        <v>20.326086956521738</v>
      </c>
      <c r="H16" s="135">
        <f t="shared" ref="H16:H19" si="10">F16*0.011</f>
        <v>20.326086956521738</v>
      </c>
      <c r="I16" s="135">
        <f t="shared" ref="I16:I19" si="11">F16*0.017</f>
        <v>31.413043478260871</v>
      </c>
      <c r="J16" s="135">
        <f t="shared" ref="J16:J19" si="12">F16*0.022</f>
        <v>40.652173913043477</v>
      </c>
      <c r="K16" s="135">
        <f t="shared" ref="K16:K19" si="13">F16*0.087</f>
        <v>160.76086956521738</v>
      </c>
      <c r="L16" s="135">
        <f t="shared" ref="L16:L19" si="14">F16*0.164</f>
        <v>303.04347826086956</v>
      </c>
      <c r="M16" s="135">
        <f t="shared" ref="M16:M19" si="15">F16*0.197</f>
        <v>364.02173913043481</v>
      </c>
      <c r="N16" s="135">
        <f t="shared" ref="N16:N19" si="16">F16*0.218</f>
        <v>402.82608695652175</v>
      </c>
      <c r="O16" s="136">
        <f t="shared" ref="O16:O19" si="17">F16*0.273</f>
        <v>504.45652173913049</v>
      </c>
    </row>
    <row r="17" spans="1:16" ht="45.75" thickBot="1" x14ac:dyDescent="0.3">
      <c r="B17" s="65" t="s">
        <v>46</v>
      </c>
      <c r="C17" s="200">
        <v>30</v>
      </c>
      <c r="D17" s="206">
        <v>850</v>
      </c>
      <c r="E17" s="203">
        <f>D17-General!G12</f>
        <v>850</v>
      </c>
      <c r="F17" s="103">
        <f>E17*100/C17</f>
        <v>2833.3333333333335</v>
      </c>
      <c r="G17" s="134">
        <f t="shared" si="9"/>
        <v>31.166666666666668</v>
      </c>
      <c r="H17" s="135">
        <f t="shared" si="10"/>
        <v>31.166666666666668</v>
      </c>
      <c r="I17" s="135">
        <f t="shared" si="11"/>
        <v>48.166666666666671</v>
      </c>
      <c r="J17" s="135">
        <f t="shared" si="12"/>
        <v>62.333333333333336</v>
      </c>
      <c r="K17" s="135">
        <f t="shared" si="13"/>
        <v>246.5</v>
      </c>
      <c r="L17" s="135">
        <f t="shared" si="14"/>
        <v>464.66666666666669</v>
      </c>
      <c r="M17" s="135">
        <f t="shared" si="15"/>
        <v>558.16666666666674</v>
      </c>
      <c r="N17" s="135">
        <f t="shared" si="16"/>
        <v>617.66666666666674</v>
      </c>
      <c r="O17" s="136">
        <f t="shared" si="17"/>
        <v>773.50000000000011</v>
      </c>
    </row>
    <row r="18" spans="1:16" ht="45.75" thickBot="1" x14ac:dyDescent="0.3">
      <c r="B18" s="132" t="s">
        <v>46</v>
      </c>
      <c r="C18" s="200">
        <v>52</v>
      </c>
      <c r="D18" s="206">
        <v>850</v>
      </c>
      <c r="E18" s="203">
        <f>D18-General!G13</f>
        <v>850</v>
      </c>
      <c r="F18" s="103">
        <f>E18*100/C18</f>
        <v>1634.6153846153845</v>
      </c>
      <c r="G18" s="134">
        <f t="shared" si="9"/>
        <v>17.98076923076923</v>
      </c>
      <c r="H18" s="135">
        <f t="shared" si="10"/>
        <v>17.98076923076923</v>
      </c>
      <c r="I18" s="135">
        <f t="shared" si="11"/>
        <v>27.78846153846154</v>
      </c>
      <c r="J18" s="135">
        <f t="shared" si="12"/>
        <v>35.96153846153846</v>
      </c>
      <c r="K18" s="135">
        <f t="shared" si="13"/>
        <v>142.21153846153845</v>
      </c>
      <c r="L18" s="135">
        <f t="shared" si="14"/>
        <v>268.07692307692309</v>
      </c>
      <c r="M18" s="135">
        <f t="shared" si="15"/>
        <v>322.01923076923077</v>
      </c>
      <c r="N18" s="135">
        <f t="shared" si="16"/>
        <v>356.34615384615381</v>
      </c>
      <c r="O18" s="136">
        <f t="shared" si="17"/>
        <v>446.25</v>
      </c>
    </row>
    <row r="19" spans="1:16" ht="45.75" thickBot="1" x14ac:dyDescent="0.3">
      <c r="B19" s="133" t="s">
        <v>47</v>
      </c>
      <c r="C19" s="201">
        <v>46</v>
      </c>
      <c r="D19" s="207">
        <v>850</v>
      </c>
      <c r="E19" s="204">
        <f>D19-General!G14</f>
        <v>850</v>
      </c>
      <c r="F19" s="103">
        <f>E19*100/C19</f>
        <v>1847.8260869565217</v>
      </c>
      <c r="G19" s="140">
        <f t="shared" si="9"/>
        <v>20.326086956521738</v>
      </c>
      <c r="H19" s="141">
        <f t="shared" si="10"/>
        <v>20.326086956521738</v>
      </c>
      <c r="I19" s="141">
        <f t="shared" si="11"/>
        <v>31.413043478260871</v>
      </c>
      <c r="J19" s="141">
        <f t="shared" si="12"/>
        <v>40.652173913043477</v>
      </c>
      <c r="K19" s="141">
        <f t="shared" si="13"/>
        <v>160.76086956521738</v>
      </c>
      <c r="L19" s="141">
        <f t="shared" si="14"/>
        <v>303.04347826086956</v>
      </c>
      <c r="M19" s="141">
        <f t="shared" si="15"/>
        <v>364.02173913043481</v>
      </c>
      <c r="N19" s="141">
        <f t="shared" si="16"/>
        <v>402.82608695652175</v>
      </c>
      <c r="O19" s="142">
        <f t="shared" si="17"/>
        <v>504.45652173913049</v>
      </c>
    </row>
    <row r="20" spans="1:16" ht="15.75" thickBot="1" x14ac:dyDescent="0.3">
      <c r="B20" s="48"/>
      <c r="C20" s="35"/>
      <c r="D20" s="37"/>
    </row>
    <row r="21" spans="1:16" ht="19.5" thickBot="1" x14ac:dyDescent="0.35">
      <c r="A21" s="50" t="s">
        <v>60</v>
      </c>
      <c r="B21" s="277" t="s">
        <v>138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9"/>
    </row>
    <row r="22" spans="1:16" ht="15.75" thickBot="1" x14ac:dyDescent="0.3">
      <c r="B22" s="52"/>
      <c r="C22" s="52"/>
      <c r="D22" s="52"/>
      <c r="E22" s="52"/>
      <c r="F22" s="52"/>
      <c r="G22" s="52"/>
      <c r="H22" s="52"/>
      <c r="I22" s="70"/>
      <c r="J22" s="70"/>
      <c r="K22" s="70"/>
    </row>
    <row r="23" spans="1:16" ht="34.5" customHeight="1" thickBot="1" x14ac:dyDescent="0.3">
      <c r="B23" s="293" t="s">
        <v>30</v>
      </c>
      <c r="C23" s="295" t="s">
        <v>54</v>
      </c>
      <c r="D23" s="295" t="s">
        <v>122</v>
      </c>
      <c r="E23" s="297" t="s">
        <v>123</v>
      </c>
      <c r="F23" s="241" t="s">
        <v>127</v>
      </c>
      <c r="G23" s="280" t="s">
        <v>148</v>
      </c>
      <c r="H23" s="281"/>
      <c r="I23" s="281"/>
      <c r="J23" s="281"/>
      <c r="K23" s="281"/>
      <c r="L23" s="281"/>
      <c r="M23" s="281"/>
      <c r="N23" s="281"/>
      <c r="O23" s="282"/>
      <c r="P23" s="216" t="s">
        <v>71</v>
      </c>
    </row>
    <row r="24" spans="1:16" ht="30.75" thickBot="1" x14ac:dyDescent="0.3">
      <c r="B24" s="294"/>
      <c r="C24" s="296"/>
      <c r="D24" s="296"/>
      <c r="E24" s="298"/>
      <c r="F24" s="242"/>
      <c r="G24" s="62" t="s">
        <v>97</v>
      </c>
      <c r="H24" s="62" t="s">
        <v>103</v>
      </c>
      <c r="I24" s="62" t="s">
        <v>139</v>
      </c>
      <c r="J24" s="62" t="s">
        <v>104</v>
      </c>
      <c r="K24" s="62" t="s">
        <v>140</v>
      </c>
      <c r="L24" s="114" t="s">
        <v>142</v>
      </c>
      <c r="M24" s="114" t="s">
        <v>143</v>
      </c>
      <c r="N24" s="114" t="s">
        <v>141</v>
      </c>
      <c r="O24" s="114" t="s">
        <v>144</v>
      </c>
      <c r="P24" s="217"/>
    </row>
    <row r="25" spans="1:16" ht="30.75" thickBot="1" x14ac:dyDescent="0.3">
      <c r="B25" s="104" t="s">
        <v>55</v>
      </c>
      <c r="C25" s="199">
        <v>20</v>
      </c>
      <c r="D25" s="205">
        <v>1600</v>
      </c>
      <c r="E25" s="202">
        <f>D25-General!G11</f>
        <v>1600</v>
      </c>
      <c r="F25" s="102">
        <f>E25*100/C25</f>
        <v>8000</v>
      </c>
      <c r="G25" s="137">
        <f>F25*0</f>
        <v>0</v>
      </c>
      <c r="H25" s="138">
        <f>F25*0.012</f>
        <v>96</v>
      </c>
      <c r="I25" s="138">
        <f>F25*0.015</f>
        <v>120</v>
      </c>
      <c r="J25" s="138">
        <f>F25*0.03</f>
        <v>240</v>
      </c>
      <c r="K25" s="138">
        <f>F25*0.089</f>
        <v>712</v>
      </c>
      <c r="L25" s="138">
        <f>F25*0.163</f>
        <v>1304</v>
      </c>
      <c r="M25" s="138">
        <f>F25*0.192</f>
        <v>1536</v>
      </c>
      <c r="N25" s="138">
        <f>F25*0.222</f>
        <v>1776</v>
      </c>
      <c r="O25" s="139">
        <f>F25*0.278</f>
        <v>2224</v>
      </c>
      <c r="P25" s="187">
        <f>(F25*13)/100</f>
        <v>1040</v>
      </c>
    </row>
    <row r="26" spans="1:16" ht="30.75" thickBot="1" x14ac:dyDescent="0.3">
      <c r="B26" s="105" t="s">
        <v>56</v>
      </c>
      <c r="C26" s="200">
        <v>46</v>
      </c>
      <c r="D26" s="206">
        <v>1600</v>
      </c>
      <c r="E26" s="203">
        <f>D26-General!G12</f>
        <v>1600</v>
      </c>
      <c r="F26" s="103">
        <f>E26*100/C26</f>
        <v>3478.2608695652175</v>
      </c>
      <c r="G26" s="134">
        <f t="shared" ref="G26:G27" si="18">F26*0</f>
        <v>0</v>
      </c>
      <c r="H26" s="135">
        <f t="shared" ref="H26:H27" si="19">F26*0.012</f>
        <v>41.739130434782609</v>
      </c>
      <c r="I26" s="135">
        <f t="shared" ref="I26:I27" si="20">F26*0.015</f>
        <v>52.173913043478258</v>
      </c>
      <c r="J26" s="135">
        <f t="shared" ref="J26:J27" si="21">F26*0.03</f>
        <v>104.34782608695652</v>
      </c>
      <c r="K26" s="135">
        <f t="shared" ref="K26:K27" si="22">F26*0.089</f>
        <v>309.56521739130432</v>
      </c>
      <c r="L26" s="135">
        <f t="shared" ref="L26:L27" si="23">F26*0.163</f>
        <v>566.95652173913049</v>
      </c>
      <c r="M26" s="135">
        <f t="shared" ref="M26:M27" si="24">F26*0.192</f>
        <v>667.82608695652175</v>
      </c>
      <c r="N26" s="135">
        <f t="shared" ref="N26:N27" si="25">F26*0.222</f>
        <v>772.17391304347825</v>
      </c>
      <c r="O26" s="136">
        <f t="shared" ref="O26:O27" si="26">F26*0.278</f>
        <v>966.95652173913049</v>
      </c>
      <c r="P26" s="188">
        <f>H26*0</f>
        <v>0</v>
      </c>
    </row>
    <row r="27" spans="1:16" ht="30.75" thickBot="1" x14ac:dyDescent="0.3">
      <c r="B27" s="106" t="s">
        <v>57</v>
      </c>
      <c r="C27" s="201">
        <v>60</v>
      </c>
      <c r="D27" s="207">
        <v>1600</v>
      </c>
      <c r="E27" s="204">
        <f>D27-General!G13</f>
        <v>1600</v>
      </c>
      <c r="F27" s="103">
        <f>E27*100/C27</f>
        <v>2666.6666666666665</v>
      </c>
      <c r="G27" s="140">
        <f t="shared" si="18"/>
        <v>0</v>
      </c>
      <c r="H27" s="141">
        <f t="shared" si="19"/>
        <v>32</v>
      </c>
      <c r="I27" s="141">
        <f t="shared" si="20"/>
        <v>39.999999999999993</v>
      </c>
      <c r="J27" s="141">
        <f t="shared" si="21"/>
        <v>79.999999999999986</v>
      </c>
      <c r="K27" s="141">
        <f t="shared" si="22"/>
        <v>237.33333333333331</v>
      </c>
      <c r="L27" s="141">
        <f t="shared" si="23"/>
        <v>434.66666666666669</v>
      </c>
      <c r="M27" s="141">
        <f t="shared" si="24"/>
        <v>512</v>
      </c>
      <c r="N27" s="141">
        <f t="shared" si="25"/>
        <v>592</v>
      </c>
      <c r="O27" s="142">
        <f t="shared" si="26"/>
        <v>741.33333333333337</v>
      </c>
      <c r="P27" s="189">
        <f>H27*0</f>
        <v>0</v>
      </c>
    </row>
  </sheetData>
  <mergeCells count="22">
    <mergeCell ref="P23:P24"/>
    <mergeCell ref="G23:O23"/>
    <mergeCell ref="B2:O2"/>
    <mergeCell ref="B11:O11"/>
    <mergeCell ref="G13:O13"/>
    <mergeCell ref="B21:P21"/>
    <mergeCell ref="B4:B5"/>
    <mergeCell ref="C4:C5"/>
    <mergeCell ref="D4:D5"/>
    <mergeCell ref="E4:E5"/>
    <mergeCell ref="F4:F5"/>
    <mergeCell ref="G4:O4"/>
    <mergeCell ref="B13:B14"/>
    <mergeCell ref="C13:C14"/>
    <mergeCell ref="D13:D14"/>
    <mergeCell ref="E13:E14"/>
    <mergeCell ref="F13:F14"/>
    <mergeCell ref="B23:B24"/>
    <mergeCell ref="C23:C24"/>
    <mergeCell ref="D23:D24"/>
    <mergeCell ref="E23:E24"/>
    <mergeCell ref="F23:F24"/>
  </mergeCells>
  <dataValidations count="1">
    <dataValidation type="list" allowBlank="1" showInputMessage="1" showErrorMessage="1" sqref="D6:D9 D15:D19 D25:D27" xr:uid="{00000000-0002-0000-0800-000000000000}">
      <formula1>"50,100,150,200,250,300,350,400,450,500,550,600,650,700,750,800,850,900,1000,1100,1200,1300,1400,1500,1600,1700,1800,1900,2000"</formula1>
    </dataValidation>
  </dataValidation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General</vt:lpstr>
      <vt:lpstr>YUCA</vt:lpstr>
      <vt:lpstr>MAIZ</vt:lpstr>
      <vt:lpstr>ÑAME</vt:lpstr>
      <vt:lpstr>PLATANO</vt:lpstr>
      <vt:lpstr>MANGO</vt:lpstr>
      <vt:lpstr>GUAYABA</vt:lpstr>
      <vt:lpstr>PALMA ACEITE</vt:lpstr>
      <vt:lpstr>LIMON</vt:lpstr>
      <vt:lpstr>PAPAYA</vt:lpstr>
      <vt:lpstr>GUANDUL</vt:lpstr>
      <vt:lpstr>MARAÑON</vt:lpstr>
      <vt:lpstr>CIRUELA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JuanDavid</cp:lastModifiedBy>
  <cp:lastPrinted>2021-09-16T00:01:34Z</cp:lastPrinted>
  <dcterms:created xsi:type="dcterms:W3CDTF">2021-08-09T15:30:17Z</dcterms:created>
  <dcterms:modified xsi:type="dcterms:W3CDTF">2021-11-04T01:11:02Z</dcterms:modified>
</cp:coreProperties>
</file>