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012"/>
  <workbookPr defaultThemeVersion="166925"/>
  <mc:AlternateContent xmlns:mc="http://schemas.openxmlformats.org/markup-compatibility/2006">
    <mc:Choice Requires="x15">
      <x15ac:absPath xmlns:x15ac="http://schemas.microsoft.com/office/spreadsheetml/2010/11/ac" url="/Users/jfdecarolis/Library/CloudStorage/GoogleDrive-jdecarolis@gmail.com/My Drive/Work/NC State University/Collaboration/Utilities Commission/SB261 Analysis/final/"/>
    </mc:Choice>
  </mc:AlternateContent>
  <xr:revisionPtr revIDLastSave="0" documentId="13_ncr:1_{5D0D9CA1-EBAD-264B-9608-9DE9DF589F42}" xr6:coauthVersionLast="36" xr6:coauthVersionMax="36" xr10:uidLastSave="{00000000-0000-0000-0000-000000000000}"/>
  <bookViews>
    <workbookView xWindow="0" yWindow="500" windowWidth="30720" windowHeight="17700" xr2:uid="{00000000-000D-0000-FFFF-FFFF00000000}"/>
  </bookViews>
  <sheets>
    <sheet name="README" sheetId="9" r:id="rId1"/>
    <sheet name="Main" sheetId="3" r:id="rId2"/>
    <sheet name="Load" sheetId="4" r:id="rId3"/>
    <sheet name="Existing Capacity" sheetId="5" r:id="rId4"/>
    <sheet name="PS - Relative Buildout" sheetId="2" r:id="rId5"/>
    <sheet name="PS Relative Buildout- All Yrs" sheetId="7" r:id="rId6"/>
    <sheet name="Nuclear Capex" sheetId="8" r:id="rId7"/>
    <sheet name="Projected NG Prices" sheetId="6" r:id="rId8"/>
  </sheets>
  <definedNames>
    <definedName name="_xlnm._FilterDatabase" localSheetId="1" hidden="1">Main!$A$20:$K$20</definedName>
    <definedName name="_xlnm._FilterDatabase" localSheetId="5" hidden="1">'PS Relative Buildout- All Yrs'!$A$4:$K$25</definedName>
  </definedNames>
  <calcPr calcId="181029"/>
  <fileRecoveryPr repairLoad="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4" i="3" l="1"/>
  <c r="C5" i="5"/>
  <c r="M29" i="7"/>
  <c r="I65" i="3" l="1"/>
  <c r="I64" i="3"/>
  <c r="I63" i="3"/>
  <c r="I62" i="3"/>
  <c r="I61" i="3"/>
  <c r="I60" i="3"/>
  <c r="I59" i="3"/>
  <c r="I58" i="3"/>
  <c r="I57" i="3"/>
  <c r="I56" i="3"/>
  <c r="I55" i="3"/>
  <c r="I54" i="3"/>
  <c r="I53" i="3"/>
  <c r="I52" i="3"/>
  <c r="I51" i="3"/>
  <c r="I50" i="3"/>
  <c r="I49" i="3"/>
  <c r="I48" i="3"/>
  <c r="I47" i="3"/>
  <c r="I46" i="3"/>
  <c r="I45" i="3"/>
  <c r="I22" i="3"/>
  <c r="I23" i="3"/>
  <c r="I24" i="3"/>
  <c r="I25" i="3"/>
  <c r="I26" i="3"/>
  <c r="I27" i="3"/>
  <c r="I28" i="3"/>
  <c r="I29" i="3"/>
  <c r="I30" i="3"/>
  <c r="I31" i="3"/>
  <c r="I32" i="3"/>
  <c r="I33" i="3"/>
  <c r="I34" i="3"/>
  <c r="I35" i="3"/>
  <c r="I36" i="3"/>
  <c r="I37" i="3"/>
  <c r="I38" i="3"/>
  <c r="I39" i="3"/>
  <c r="I40" i="3"/>
  <c r="I41" i="3"/>
  <c r="I21" i="3"/>
  <c r="L21" i="3"/>
  <c r="D21" i="3"/>
  <c r="H21" i="3"/>
  <c r="G21" i="3"/>
  <c r="F21" i="3"/>
  <c r="G47" i="3" l="1"/>
  <c r="G48" i="3"/>
  <c r="G49" i="3"/>
  <c r="G50" i="3"/>
  <c r="G51" i="3"/>
  <c r="G52" i="3"/>
  <c r="G53" i="3"/>
  <c r="G54" i="3"/>
  <c r="G55" i="3"/>
  <c r="G56" i="3"/>
  <c r="G57" i="3"/>
  <c r="G58" i="3"/>
  <c r="G59" i="3"/>
  <c r="G60" i="3"/>
  <c r="G61" i="3"/>
  <c r="G62" i="3"/>
  <c r="G63" i="3"/>
  <c r="G64" i="3"/>
  <c r="G65" i="3"/>
  <c r="G45" i="3"/>
  <c r="G46" i="3"/>
  <c r="G22" i="3" l="1"/>
  <c r="G23" i="3"/>
  <c r="G24" i="3"/>
  <c r="G25" i="3"/>
  <c r="G26" i="3"/>
  <c r="G27" i="3"/>
  <c r="G28" i="3"/>
  <c r="G29" i="3"/>
  <c r="G30" i="3"/>
  <c r="G31" i="3"/>
  <c r="G32" i="3"/>
  <c r="G33" i="3"/>
  <c r="G34" i="3"/>
  <c r="G35" i="3"/>
  <c r="G36" i="3"/>
  <c r="G37" i="3"/>
  <c r="G38" i="3"/>
  <c r="G39" i="3"/>
  <c r="G40" i="3"/>
  <c r="G41" i="3"/>
  <c r="M51" i="7" l="1"/>
  <c r="M50" i="7"/>
  <c r="M52" i="7"/>
  <c r="M53" i="7"/>
  <c r="M54" i="7"/>
  <c r="M55" i="7"/>
  <c r="M56" i="7"/>
  <c r="M57" i="7"/>
  <c r="M58" i="7"/>
  <c r="M59" i="7"/>
  <c r="M60" i="7"/>
  <c r="M61" i="7"/>
  <c r="M62" i="7"/>
  <c r="M63" i="7"/>
  <c r="M64" i="7"/>
  <c r="M65" i="7"/>
  <c r="M66" i="7"/>
  <c r="M67" i="7"/>
  <c r="M68" i="7"/>
  <c r="M69" i="7"/>
  <c r="M70" i="7"/>
  <c r="M28" i="7"/>
  <c r="J7" i="8"/>
  <c r="O27" i="8"/>
  <c r="J8" i="8"/>
  <c r="K8" i="8"/>
  <c r="L8" i="8"/>
  <c r="M8" i="8"/>
  <c r="N8" i="8"/>
  <c r="O8" i="8"/>
  <c r="J9" i="8"/>
  <c r="K9" i="8"/>
  <c r="L9" i="8"/>
  <c r="M9" i="8"/>
  <c r="N9" i="8"/>
  <c r="O9" i="8"/>
  <c r="J10" i="8"/>
  <c r="K10" i="8"/>
  <c r="L10" i="8"/>
  <c r="M10" i="8"/>
  <c r="N10" i="8"/>
  <c r="O10" i="8"/>
  <c r="J11" i="8"/>
  <c r="K11" i="8"/>
  <c r="L11" i="8"/>
  <c r="M11" i="8"/>
  <c r="N11" i="8"/>
  <c r="O11" i="8"/>
  <c r="J12" i="8"/>
  <c r="K12" i="8"/>
  <c r="L12" i="8"/>
  <c r="M12" i="8"/>
  <c r="N12" i="8"/>
  <c r="O12" i="8"/>
  <c r="J13" i="8"/>
  <c r="K13" i="8"/>
  <c r="L13" i="8"/>
  <c r="M13" i="8"/>
  <c r="N13" i="8"/>
  <c r="O13" i="8"/>
  <c r="J14" i="8"/>
  <c r="K14" i="8"/>
  <c r="L14" i="8"/>
  <c r="M14" i="8"/>
  <c r="N14" i="8"/>
  <c r="O14" i="8"/>
  <c r="J15" i="8"/>
  <c r="K15" i="8"/>
  <c r="L15" i="8"/>
  <c r="M15" i="8"/>
  <c r="N15" i="8"/>
  <c r="O15" i="8"/>
  <c r="J16" i="8"/>
  <c r="K16" i="8"/>
  <c r="L16" i="8"/>
  <c r="M16" i="8"/>
  <c r="N16" i="8"/>
  <c r="O16" i="8"/>
  <c r="J17" i="8"/>
  <c r="K17" i="8"/>
  <c r="L17" i="8"/>
  <c r="M17" i="8"/>
  <c r="N17" i="8"/>
  <c r="O17" i="8"/>
  <c r="J18" i="8"/>
  <c r="K18" i="8"/>
  <c r="L18" i="8"/>
  <c r="M18" i="8"/>
  <c r="N18" i="8"/>
  <c r="O18" i="8"/>
  <c r="J19" i="8"/>
  <c r="K19" i="8"/>
  <c r="L19" i="8"/>
  <c r="M19" i="8"/>
  <c r="N19" i="8"/>
  <c r="O19" i="8"/>
  <c r="J20" i="8"/>
  <c r="K20" i="8"/>
  <c r="L20" i="8"/>
  <c r="M20" i="8"/>
  <c r="N20" i="8"/>
  <c r="O20" i="8"/>
  <c r="J21" i="8"/>
  <c r="K21" i="8"/>
  <c r="L21" i="8"/>
  <c r="M21" i="8"/>
  <c r="N21" i="8"/>
  <c r="O21" i="8"/>
  <c r="J22" i="8"/>
  <c r="K22" i="8"/>
  <c r="L22" i="8"/>
  <c r="M22" i="8"/>
  <c r="N22" i="8"/>
  <c r="O22" i="8"/>
  <c r="J23" i="8"/>
  <c r="K23" i="8"/>
  <c r="L23" i="8"/>
  <c r="M23" i="8"/>
  <c r="N23" i="8"/>
  <c r="O23" i="8"/>
  <c r="J24" i="8"/>
  <c r="K24" i="8"/>
  <c r="L24" i="8"/>
  <c r="M24" i="8"/>
  <c r="N24" i="8"/>
  <c r="O24" i="8"/>
  <c r="J25" i="8"/>
  <c r="K25" i="8"/>
  <c r="L25" i="8"/>
  <c r="M25" i="8"/>
  <c r="N25" i="8"/>
  <c r="O25" i="8"/>
  <c r="J26" i="8"/>
  <c r="K26" i="8"/>
  <c r="L26" i="8"/>
  <c r="M26" i="8"/>
  <c r="N26" i="8"/>
  <c r="O26" i="8"/>
  <c r="J27" i="8"/>
  <c r="K27" i="8"/>
  <c r="L27" i="8"/>
  <c r="M27" i="8"/>
  <c r="N27" i="8"/>
  <c r="K7" i="8"/>
  <c r="L7" i="8"/>
  <c r="M7" i="8"/>
  <c r="N7" i="8"/>
  <c r="O7" i="8"/>
  <c r="G6" i="3" l="1"/>
  <c r="L65" i="3" l="1"/>
  <c r="L64" i="3"/>
  <c r="L63" i="3"/>
  <c r="L62" i="3"/>
  <c r="L61" i="3"/>
  <c r="L60" i="3"/>
  <c r="L59" i="3"/>
  <c r="L58" i="3"/>
  <c r="L57" i="3"/>
  <c r="L56" i="3"/>
  <c r="L55" i="3"/>
  <c r="L54" i="3"/>
  <c r="L53" i="3"/>
  <c r="L52" i="3"/>
  <c r="L51" i="3"/>
  <c r="L50" i="3"/>
  <c r="L49" i="3"/>
  <c r="L48" i="3"/>
  <c r="L47" i="3"/>
  <c r="L46" i="3"/>
  <c r="L45" i="3"/>
  <c r="L22" i="3"/>
  <c r="L23" i="3"/>
  <c r="L24" i="3"/>
  <c r="L25" i="3"/>
  <c r="R25" i="3" s="1"/>
  <c r="L26" i="3"/>
  <c r="L27" i="3"/>
  <c r="L28" i="3"/>
  <c r="L29" i="3"/>
  <c r="L30" i="3"/>
  <c r="L31" i="3"/>
  <c r="L32" i="3"/>
  <c r="L33" i="3"/>
  <c r="L34" i="3"/>
  <c r="L35" i="3"/>
  <c r="L36" i="3"/>
  <c r="L37" i="3"/>
  <c r="L38" i="3"/>
  <c r="L39" i="3"/>
  <c r="L40" i="3"/>
  <c r="L41" i="3"/>
  <c r="R41" i="3" s="1"/>
  <c r="H48" i="3"/>
  <c r="H50" i="3"/>
  <c r="H53" i="3"/>
  <c r="H54" i="3"/>
  <c r="H55" i="3"/>
  <c r="H56" i="3"/>
  <c r="H57" i="3"/>
  <c r="H60" i="3"/>
  <c r="H62" i="3"/>
  <c r="H63" i="3"/>
  <c r="H64" i="3"/>
  <c r="H65" i="3"/>
  <c r="H45" i="3"/>
  <c r="F45" i="3"/>
  <c r="D53" i="3"/>
  <c r="D57" i="3"/>
  <c r="D60" i="3"/>
  <c r="D65" i="3"/>
  <c r="D50" i="3"/>
  <c r="D48" i="3"/>
  <c r="F48" i="3"/>
  <c r="F50" i="3"/>
  <c r="F53" i="3"/>
  <c r="F57" i="3"/>
  <c r="F60" i="3"/>
  <c r="F65" i="3"/>
  <c r="D45" i="3"/>
  <c r="C46" i="3"/>
  <c r="C47" i="3"/>
  <c r="C48" i="3"/>
  <c r="C49" i="3"/>
  <c r="C50" i="3"/>
  <c r="C51" i="3"/>
  <c r="C52" i="3"/>
  <c r="C53" i="3"/>
  <c r="C54" i="3"/>
  <c r="C55" i="3"/>
  <c r="C56" i="3"/>
  <c r="C57" i="3"/>
  <c r="C58" i="3"/>
  <c r="C59" i="3"/>
  <c r="C60" i="3"/>
  <c r="C61" i="3"/>
  <c r="C62" i="3"/>
  <c r="C63" i="3"/>
  <c r="C64" i="3"/>
  <c r="C65" i="3"/>
  <c r="C45" i="3"/>
  <c r="H24" i="3"/>
  <c r="H26" i="3"/>
  <c r="H29" i="3"/>
  <c r="H33" i="3"/>
  <c r="H36" i="3"/>
  <c r="H41" i="3"/>
  <c r="D29" i="3"/>
  <c r="D33" i="3"/>
  <c r="D36" i="3"/>
  <c r="D41" i="3"/>
  <c r="D26" i="3"/>
  <c r="D24" i="3"/>
  <c r="F24" i="3"/>
  <c r="F26" i="3"/>
  <c r="F29" i="3"/>
  <c r="F33" i="3"/>
  <c r="F36" i="3"/>
  <c r="F41" i="3"/>
  <c r="C22" i="3"/>
  <c r="C23" i="3"/>
  <c r="C24" i="3"/>
  <c r="C25" i="3"/>
  <c r="C26" i="3"/>
  <c r="C27" i="3"/>
  <c r="C28" i="3"/>
  <c r="C29" i="3"/>
  <c r="C30" i="3"/>
  <c r="C31" i="3"/>
  <c r="C32" i="3"/>
  <c r="C33" i="3"/>
  <c r="C34" i="3"/>
  <c r="C35" i="3"/>
  <c r="C36" i="3"/>
  <c r="C37" i="3"/>
  <c r="C38" i="3"/>
  <c r="C39" i="3"/>
  <c r="C40" i="3"/>
  <c r="C41" i="3"/>
  <c r="C21" i="3"/>
  <c r="H6" i="5"/>
  <c r="I6" i="5"/>
  <c r="D44" i="7"/>
  <c r="D45" i="7" s="1"/>
  <c r="D46" i="7" s="1"/>
  <c r="D47" i="7" s="1"/>
  <c r="E44" i="7"/>
  <c r="E45" i="7" s="1"/>
  <c r="E46" i="7" s="1"/>
  <c r="E47" i="7" s="1"/>
  <c r="F44" i="7"/>
  <c r="F45" i="7" s="1"/>
  <c r="F46" i="7" s="1"/>
  <c r="F47" i="7" s="1"/>
  <c r="G44" i="7"/>
  <c r="G45" i="7" s="1"/>
  <c r="G46" i="7" s="1"/>
  <c r="G47" i="7" s="1"/>
  <c r="H44" i="7"/>
  <c r="H45" i="7" s="1"/>
  <c r="H46" i="7" s="1"/>
  <c r="H47" i="7" s="1"/>
  <c r="I44" i="7"/>
  <c r="J44" i="7"/>
  <c r="K44" i="7"/>
  <c r="C44" i="7"/>
  <c r="C45" i="7" s="1"/>
  <c r="C46" i="7" s="1"/>
  <c r="C47" i="7" s="1"/>
  <c r="D40" i="3" s="1"/>
  <c r="C66" i="7"/>
  <c r="D61" i="3" s="1"/>
  <c r="D41" i="7"/>
  <c r="D42" i="7" s="1"/>
  <c r="E41" i="7"/>
  <c r="E42" i="7" s="1"/>
  <c r="F41" i="7"/>
  <c r="F42" i="7" s="1"/>
  <c r="G41" i="7"/>
  <c r="G42" i="7" s="1"/>
  <c r="H41" i="7"/>
  <c r="H42" i="7" s="1"/>
  <c r="I41" i="7"/>
  <c r="J41" i="7"/>
  <c r="J42" i="7" s="1"/>
  <c r="H35" i="3" s="1"/>
  <c r="K41" i="7"/>
  <c r="K42" i="7" s="1"/>
  <c r="C41" i="7"/>
  <c r="C42" i="7" s="1"/>
  <c r="D35" i="3" s="1"/>
  <c r="C63" i="7"/>
  <c r="C64" i="7" s="1"/>
  <c r="D59" i="3" s="1"/>
  <c r="D37" i="7"/>
  <c r="D38" i="7" s="1"/>
  <c r="D39" i="7" s="1"/>
  <c r="E37" i="7"/>
  <c r="E38" i="7" s="1"/>
  <c r="E39" i="7" s="1"/>
  <c r="F37" i="7"/>
  <c r="F38" i="7" s="1"/>
  <c r="F39" i="7" s="1"/>
  <c r="G37" i="7"/>
  <c r="G38" i="7" s="1"/>
  <c r="G39" i="7" s="1"/>
  <c r="H37" i="7"/>
  <c r="H38" i="7" s="1"/>
  <c r="H39" i="7" s="1"/>
  <c r="I37" i="7"/>
  <c r="J37" i="7"/>
  <c r="J38" i="7" s="1"/>
  <c r="J39" i="7" s="1"/>
  <c r="K37" i="7"/>
  <c r="K38" i="7" s="1"/>
  <c r="K39" i="7" s="1"/>
  <c r="C37" i="7"/>
  <c r="C38" i="7" s="1"/>
  <c r="C39" i="7" s="1"/>
  <c r="D32" i="3" s="1"/>
  <c r="C59" i="7"/>
  <c r="C60" i="7" s="1"/>
  <c r="C61" i="7" s="1"/>
  <c r="D56" i="3" s="1"/>
  <c r="D34" i="7"/>
  <c r="D35" i="7" s="1"/>
  <c r="E34" i="7"/>
  <c r="E35" i="7" s="1"/>
  <c r="F34" i="7"/>
  <c r="F35" i="7" s="1"/>
  <c r="G34" i="7"/>
  <c r="G35" i="7" s="1"/>
  <c r="H34" i="7"/>
  <c r="H35" i="7" s="1"/>
  <c r="I34" i="7"/>
  <c r="J34" i="7"/>
  <c r="J35" i="7" s="1"/>
  <c r="K34" i="7"/>
  <c r="K35" i="7" s="1"/>
  <c r="C34" i="7"/>
  <c r="C35" i="7" s="1"/>
  <c r="D28" i="3" s="1"/>
  <c r="C56" i="7"/>
  <c r="C57" i="7" s="1"/>
  <c r="D52" i="3" s="1"/>
  <c r="D32" i="7"/>
  <c r="E32" i="7"/>
  <c r="F32" i="7"/>
  <c r="G32" i="7"/>
  <c r="H32" i="7"/>
  <c r="I32" i="7"/>
  <c r="J32" i="7"/>
  <c r="K32" i="7"/>
  <c r="C32" i="7"/>
  <c r="D25" i="3" s="1"/>
  <c r="C54" i="7"/>
  <c r="D49" i="3" s="1"/>
  <c r="D29" i="7"/>
  <c r="D30" i="7" s="1"/>
  <c r="E29" i="7"/>
  <c r="E30" i="7" s="1"/>
  <c r="F29" i="7"/>
  <c r="F30" i="7" s="1"/>
  <c r="G29" i="7"/>
  <c r="G30" i="7" s="1"/>
  <c r="H29" i="7"/>
  <c r="H30" i="7" s="1"/>
  <c r="I29" i="7"/>
  <c r="J29" i="7"/>
  <c r="J30" i="7" s="1"/>
  <c r="H23" i="3" s="1"/>
  <c r="K29" i="7"/>
  <c r="K30" i="7" s="1"/>
  <c r="C29" i="7"/>
  <c r="C30" i="7" s="1"/>
  <c r="D23" i="3" s="1"/>
  <c r="C51" i="7"/>
  <c r="C52" i="7" s="1"/>
  <c r="D47" i="3" s="1"/>
  <c r="D66" i="7"/>
  <c r="D67" i="7" s="1"/>
  <c r="D68" i="7" s="1"/>
  <c r="D69" i="7" s="1"/>
  <c r="E66" i="7"/>
  <c r="E67" i="7" s="1"/>
  <c r="E68" i="7" s="1"/>
  <c r="E69" i="7" s="1"/>
  <c r="F66" i="7"/>
  <c r="F67" i="7" s="1"/>
  <c r="F68" i="7" s="1"/>
  <c r="F69" i="7" s="1"/>
  <c r="G66" i="7"/>
  <c r="G67" i="7" s="1"/>
  <c r="G68" i="7" s="1"/>
  <c r="G69" i="7" s="1"/>
  <c r="H66" i="7"/>
  <c r="H67" i="7" s="1"/>
  <c r="H68" i="7" s="1"/>
  <c r="H69" i="7" s="1"/>
  <c r="I66" i="7"/>
  <c r="J66" i="7"/>
  <c r="J67" i="7" s="1"/>
  <c r="J68" i="7" s="1"/>
  <c r="J69" i="7" s="1"/>
  <c r="K66" i="7"/>
  <c r="K67" i="7" s="1"/>
  <c r="K68" i="7" s="1"/>
  <c r="K69" i="7" s="1"/>
  <c r="D63" i="7"/>
  <c r="D64" i="7" s="1"/>
  <c r="E63" i="7"/>
  <c r="E64" i="7" s="1"/>
  <c r="F63" i="7"/>
  <c r="F64" i="7" s="1"/>
  <c r="G63" i="7"/>
  <c r="G64" i="7" s="1"/>
  <c r="H63" i="7"/>
  <c r="H64" i="7" s="1"/>
  <c r="I63" i="7"/>
  <c r="J63" i="7"/>
  <c r="J64" i="7" s="1"/>
  <c r="H59" i="3" s="1"/>
  <c r="K63" i="7"/>
  <c r="K64" i="7" s="1"/>
  <c r="I59" i="7"/>
  <c r="J59" i="7"/>
  <c r="J60" i="7" s="1"/>
  <c r="J61" i="7" s="1"/>
  <c r="K59" i="7"/>
  <c r="K60" i="7" s="1"/>
  <c r="K61" i="7" s="1"/>
  <c r="I56" i="7"/>
  <c r="J56" i="7"/>
  <c r="J57" i="7" s="1"/>
  <c r="H52" i="3" s="1"/>
  <c r="K56" i="7"/>
  <c r="K57" i="7" s="1"/>
  <c r="I54" i="7"/>
  <c r="J54" i="7"/>
  <c r="H49" i="3" s="1"/>
  <c r="K54" i="7"/>
  <c r="I51" i="7"/>
  <c r="J51" i="7"/>
  <c r="J52" i="7" s="1"/>
  <c r="H47" i="3" s="1"/>
  <c r="K51" i="7"/>
  <c r="K52" i="7" s="1"/>
  <c r="D59" i="7"/>
  <c r="D60" i="7" s="1"/>
  <c r="D61" i="7" s="1"/>
  <c r="E59" i="7"/>
  <c r="E60" i="7" s="1"/>
  <c r="E61" i="7" s="1"/>
  <c r="F59" i="7"/>
  <c r="F60" i="7" s="1"/>
  <c r="F61" i="7" s="1"/>
  <c r="G59" i="7"/>
  <c r="G60" i="7" s="1"/>
  <c r="G61" i="7" s="1"/>
  <c r="H59" i="7"/>
  <c r="H60" i="7" s="1"/>
  <c r="H61" i="7" s="1"/>
  <c r="D56" i="7"/>
  <c r="D57" i="7" s="1"/>
  <c r="E56" i="7"/>
  <c r="E57" i="7" s="1"/>
  <c r="F56" i="7"/>
  <c r="F57" i="7" s="1"/>
  <c r="G56" i="7"/>
  <c r="G57" i="7" s="1"/>
  <c r="H56" i="7"/>
  <c r="H57" i="7" s="1"/>
  <c r="D54" i="7"/>
  <c r="E54" i="7"/>
  <c r="F54" i="7"/>
  <c r="G54" i="7"/>
  <c r="H54" i="7"/>
  <c r="D51" i="7"/>
  <c r="D52" i="7" s="1"/>
  <c r="E51" i="7"/>
  <c r="E52" i="7" s="1"/>
  <c r="F51" i="7"/>
  <c r="F52" i="7" s="1"/>
  <c r="G51" i="7"/>
  <c r="G52" i="7" s="1"/>
  <c r="H51" i="7"/>
  <c r="H52" i="7" s="1"/>
  <c r="O12" i="7"/>
  <c r="O13" i="7" s="1"/>
  <c r="Q51" i="3" l="1"/>
  <c r="R51" i="3"/>
  <c r="P51" i="3"/>
  <c r="Q55" i="3"/>
  <c r="R55" i="3"/>
  <c r="P55" i="3"/>
  <c r="Q31" i="3"/>
  <c r="P31" i="3"/>
  <c r="R31" i="3"/>
  <c r="R56" i="3"/>
  <c r="Q56" i="3"/>
  <c r="P56" i="3"/>
  <c r="P32" i="3"/>
  <c r="R32" i="3"/>
  <c r="Q32" i="3"/>
  <c r="P57" i="3"/>
  <c r="Q57" i="3"/>
  <c r="R57" i="3"/>
  <c r="P58" i="3"/>
  <c r="Q58" i="3"/>
  <c r="R58" i="3"/>
  <c r="P29" i="3"/>
  <c r="R29" i="3"/>
  <c r="Q29" i="3"/>
  <c r="P21" i="3"/>
  <c r="Q21" i="3"/>
  <c r="R21" i="3"/>
  <c r="P39" i="3"/>
  <c r="Q39" i="3"/>
  <c r="R39" i="3"/>
  <c r="P23" i="3"/>
  <c r="Q23" i="3"/>
  <c r="R23" i="3"/>
  <c r="P59" i="3"/>
  <c r="R59" i="3"/>
  <c r="Q59" i="3"/>
  <c r="Q25" i="3"/>
  <c r="P25" i="3"/>
  <c r="Q38" i="3"/>
  <c r="R38" i="3"/>
  <c r="P38" i="3"/>
  <c r="Q22" i="3"/>
  <c r="P22" i="3"/>
  <c r="R22" i="3"/>
  <c r="R60" i="3"/>
  <c r="Q60" i="3"/>
  <c r="P60" i="3"/>
  <c r="P61" i="3"/>
  <c r="Q61" i="3"/>
  <c r="R61" i="3"/>
  <c r="Q53" i="3"/>
  <c r="P53" i="3"/>
  <c r="R53" i="3"/>
  <c r="R27" i="3"/>
  <c r="P27" i="3"/>
  <c r="Q27" i="3"/>
  <c r="P46" i="3"/>
  <c r="Q46" i="3"/>
  <c r="R46" i="3"/>
  <c r="P62" i="3"/>
  <c r="Q62" i="3"/>
  <c r="R62" i="3"/>
  <c r="P52" i="3"/>
  <c r="Q52" i="3"/>
  <c r="R52" i="3"/>
  <c r="P54" i="3"/>
  <c r="Q54" i="3"/>
  <c r="R54" i="3"/>
  <c r="Q26" i="3"/>
  <c r="R26" i="3"/>
  <c r="P26" i="3"/>
  <c r="Q24" i="3"/>
  <c r="R24" i="3"/>
  <c r="P24" i="3"/>
  <c r="Q45" i="3"/>
  <c r="P45" i="3"/>
  <c r="R45" i="3"/>
  <c r="R35" i="3"/>
  <c r="P35" i="3"/>
  <c r="Q35" i="3"/>
  <c r="P47" i="3"/>
  <c r="Q47" i="3"/>
  <c r="R47" i="3"/>
  <c r="P63" i="3"/>
  <c r="Q63" i="3"/>
  <c r="R63" i="3"/>
  <c r="Q40" i="3"/>
  <c r="P40" i="3"/>
  <c r="R40" i="3"/>
  <c r="R37" i="3"/>
  <c r="P37" i="3"/>
  <c r="Q37" i="3"/>
  <c r="P34" i="3"/>
  <c r="Q34" i="3"/>
  <c r="R34" i="3"/>
  <c r="P48" i="3"/>
  <c r="Q48" i="3"/>
  <c r="R48" i="3"/>
  <c r="P64" i="3"/>
  <c r="R64" i="3"/>
  <c r="Q64" i="3"/>
  <c r="R50" i="3"/>
  <c r="Q50" i="3"/>
  <c r="P50" i="3"/>
  <c r="Q30" i="3"/>
  <c r="P30" i="3"/>
  <c r="R30" i="3"/>
  <c r="P28" i="3"/>
  <c r="Q28" i="3"/>
  <c r="R28" i="3"/>
  <c r="P41" i="3"/>
  <c r="Q41" i="3"/>
  <c r="Q36" i="3"/>
  <c r="R36" i="3"/>
  <c r="P36" i="3"/>
  <c r="P33" i="3"/>
  <c r="Q33" i="3"/>
  <c r="R33" i="3"/>
  <c r="R49" i="3"/>
  <c r="P49" i="3"/>
  <c r="Q49" i="3"/>
  <c r="P65" i="3"/>
  <c r="R65" i="3"/>
  <c r="Q65" i="3"/>
  <c r="H46" i="3"/>
  <c r="I35" i="7"/>
  <c r="M34" i="7"/>
  <c r="I57" i="7"/>
  <c r="I42" i="7"/>
  <c r="M41" i="7"/>
  <c r="I52" i="7"/>
  <c r="H61" i="3"/>
  <c r="F49" i="3"/>
  <c r="M32" i="7"/>
  <c r="M33" i="7"/>
  <c r="H51" i="3"/>
  <c r="I45" i="7"/>
  <c r="M44" i="7"/>
  <c r="I67" i="7"/>
  <c r="I60" i="7"/>
  <c r="I30" i="7"/>
  <c r="H58" i="3"/>
  <c r="I64" i="7"/>
  <c r="I38" i="7"/>
  <c r="M37" i="7"/>
  <c r="F34" i="3"/>
  <c r="D37" i="3"/>
  <c r="F25" i="3"/>
  <c r="F54" i="3"/>
  <c r="H30" i="3"/>
  <c r="F23" i="3"/>
  <c r="F55" i="3"/>
  <c r="F46" i="3"/>
  <c r="H31" i="3"/>
  <c r="K45" i="7"/>
  <c r="K46" i="7" s="1"/>
  <c r="K47" i="7" s="1"/>
  <c r="H22" i="3"/>
  <c r="D27" i="3"/>
  <c r="F22" i="3"/>
  <c r="C67" i="7"/>
  <c r="C68" i="7" s="1"/>
  <c r="C69" i="7" s="1"/>
  <c r="D64" i="3" s="1"/>
  <c r="D39" i="3"/>
  <c r="F30" i="3"/>
  <c r="D38" i="3"/>
  <c r="H32" i="3"/>
  <c r="F61" i="3"/>
  <c r="F31" i="3"/>
  <c r="H25" i="3"/>
  <c r="F51" i="3"/>
  <c r="D34" i="3"/>
  <c r="J45" i="7"/>
  <c r="D30" i="3"/>
  <c r="D31" i="3"/>
  <c r="F37" i="3"/>
  <c r="H28" i="3"/>
  <c r="D22" i="3"/>
  <c r="F58" i="3"/>
  <c r="H27" i="3"/>
  <c r="F62" i="3"/>
  <c r="D58" i="3"/>
  <c r="F38" i="3"/>
  <c r="H37" i="3"/>
  <c r="F27" i="3"/>
  <c r="H34" i="3"/>
  <c r="D63" i="3"/>
  <c r="D55" i="3"/>
  <c r="D46" i="3"/>
  <c r="D54" i="3"/>
  <c r="D51" i="3"/>
  <c r="F47" i="3" l="1"/>
  <c r="M30" i="7"/>
  <c r="M31" i="7"/>
  <c r="F35" i="3"/>
  <c r="M42" i="7"/>
  <c r="M43" i="7"/>
  <c r="I61" i="7"/>
  <c r="I68" i="7"/>
  <c r="F52" i="3"/>
  <c r="M36" i="7"/>
  <c r="M35" i="7"/>
  <c r="I46" i="7"/>
  <c r="M45" i="7"/>
  <c r="F28" i="3"/>
  <c r="F59" i="3"/>
  <c r="I39" i="7"/>
  <c r="M38" i="7"/>
  <c r="D62" i="3"/>
  <c r="J46" i="7"/>
  <c r="H38" i="3"/>
  <c r="I47" i="7" l="1"/>
  <c r="M46" i="7"/>
  <c r="F63" i="3"/>
  <c r="F39" i="3"/>
  <c r="F56" i="3"/>
  <c r="M39" i="7"/>
  <c r="M40" i="7"/>
  <c r="F32" i="3"/>
  <c r="I69" i="7"/>
  <c r="J47" i="7"/>
  <c r="H39" i="3"/>
  <c r="D7" i="4"/>
  <c r="D8" i="4"/>
  <c r="D9" i="4"/>
  <c r="D10" i="4"/>
  <c r="D11" i="4"/>
  <c r="D12" i="4"/>
  <c r="D13" i="4"/>
  <c r="D14" i="4"/>
  <c r="D15" i="4"/>
  <c r="D16" i="4"/>
  <c r="D17" i="4"/>
  <c r="D18" i="4"/>
  <c r="D19" i="4"/>
  <c r="D20" i="4"/>
  <c r="D21" i="4" s="1"/>
  <c r="D22" i="4" s="1"/>
  <c r="D23" i="4" s="1"/>
  <c r="D24" i="4" s="1"/>
  <c r="D25" i="4" s="1"/>
  <c r="D26" i="4" s="1"/>
  <c r="D27" i="4" s="1"/>
  <c r="D28" i="4" s="1"/>
  <c r="D29" i="4" s="1"/>
  <c r="D30" i="4" s="1"/>
  <c r="D31" i="4" s="1"/>
  <c r="D32" i="4" s="1"/>
  <c r="C22" i="4"/>
  <c r="C23" i="4" s="1"/>
  <c r="C24" i="4" s="1"/>
  <c r="C25" i="4" s="1"/>
  <c r="C26" i="4" s="1"/>
  <c r="C27" i="4" s="1"/>
  <c r="C28" i="4" s="1"/>
  <c r="C29" i="4" s="1"/>
  <c r="C30" i="4" s="1"/>
  <c r="C31" i="4" s="1"/>
  <c r="C32" i="4" s="1"/>
  <c r="C21" i="4"/>
  <c r="B32" i="4"/>
  <c r="B22" i="4"/>
  <c r="B23" i="4" s="1"/>
  <c r="B24" i="4" s="1"/>
  <c r="B25" i="4" s="1"/>
  <c r="B26" i="4" s="1"/>
  <c r="B27" i="4" s="1"/>
  <c r="B28" i="4" s="1"/>
  <c r="B29" i="4" s="1"/>
  <c r="B30" i="4" s="1"/>
  <c r="B31" i="4" s="1"/>
  <c r="B21" i="4"/>
  <c r="Q66" i="3" l="1"/>
  <c r="R66" i="3"/>
  <c r="R42" i="3"/>
  <c r="P66" i="3"/>
  <c r="F40" i="3"/>
  <c r="M47" i="7"/>
  <c r="M48" i="7"/>
  <c r="Q42" i="3"/>
  <c r="F64" i="3"/>
  <c r="P42" i="3"/>
  <c r="H40" i="3"/>
  <c r="B14" i="3" l="1"/>
  <c r="B15" i="3"/>
  <c r="B11" i="3"/>
  <c r="B12" i="3"/>
  <c r="E6" i="5" l="1"/>
  <c r="F6" i="5"/>
  <c r="D6" i="5"/>
  <c r="G6" i="5"/>
  <c r="B6" i="5"/>
  <c r="C6" i="5"/>
  <c r="E21" i="3" l="1"/>
  <c r="J21" i="3" s="1"/>
  <c r="E50" i="3"/>
  <c r="J50" i="3" s="1"/>
  <c r="E53" i="3"/>
  <c r="J53" i="3" s="1"/>
  <c r="E36" i="3"/>
  <c r="J36" i="3" s="1"/>
  <c r="E65" i="3"/>
  <c r="J65" i="3" s="1"/>
  <c r="E29" i="3"/>
  <c r="J29" i="3" s="1"/>
  <c r="E45" i="3"/>
  <c r="J45" i="3" s="1"/>
  <c r="E24" i="3"/>
  <c r="J24" i="3" s="1"/>
  <c r="E48" i="3"/>
  <c r="J48" i="3" s="1"/>
  <c r="E26" i="3"/>
  <c r="J26" i="3" s="1"/>
  <c r="E33" i="3"/>
  <c r="J33" i="3" s="1"/>
  <c r="E57" i="3"/>
  <c r="J57" i="3" s="1"/>
  <c r="E60" i="3"/>
  <c r="J60" i="3" s="1"/>
  <c r="E41" i="3"/>
  <c r="J41" i="3" s="1"/>
  <c r="E28" i="3"/>
  <c r="J28" i="3" s="1"/>
  <c r="E31" i="3"/>
  <c r="J31" i="3" s="1"/>
  <c r="E46" i="3"/>
  <c r="J46" i="3" s="1"/>
  <c r="E64" i="3"/>
  <c r="J64" i="3" s="1"/>
  <c r="E62" i="3"/>
  <c r="J62" i="3" s="1"/>
  <c r="E25" i="3"/>
  <c r="J25" i="3" s="1"/>
  <c r="E32" i="3"/>
  <c r="J32" i="3" s="1"/>
  <c r="E30" i="3"/>
  <c r="J30" i="3" s="1"/>
  <c r="E27" i="3"/>
  <c r="J27" i="3" s="1"/>
  <c r="E56" i="3"/>
  <c r="J56" i="3" s="1"/>
  <c r="E51" i="3"/>
  <c r="J51" i="3" s="1"/>
  <c r="E63" i="3"/>
  <c r="J63" i="3" s="1"/>
  <c r="E39" i="3"/>
  <c r="J39" i="3" s="1"/>
  <c r="E34" i="3"/>
  <c r="J34" i="3" s="1"/>
  <c r="E47" i="3"/>
  <c r="J47" i="3" s="1"/>
  <c r="E35" i="3"/>
  <c r="J35" i="3" s="1"/>
  <c r="E59" i="3"/>
  <c r="J59" i="3" s="1"/>
  <c r="E52" i="3"/>
  <c r="J52" i="3" s="1"/>
  <c r="E55" i="3"/>
  <c r="J55" i="3" s="1"/>
  <c r="E54" i="3"/>
  <c r="J54" i="3" s="1"/>
  <c r="E49" i="3"/>
  <c r="J49" i="3" s="1"/>
  <c r="E40" i="3"/>
  <c r="J40" i="3" s="1"/>
  <c r="E37" i="3"/>
  <c r="J37" i="3" s="1"/>
  <c r="E38" i="3"/>
  <c r="J38" i="3" s="1"/>
  <c r="E58" i="3"/>
  <c r="J58" i="3" s="1"/>
  <c r="E61" i="3"/>
  <c r="J61" i="3" s="1"/>
  <c r="E23" i="3"/>
  <c r="J23" i="3" s="1"/>
  <c r="E22" i="3"/>
  <c r="J22" i="3" s="1"/>
  <c r="D6" i="4"/>
  <c r="O41" i="3" l="1"/>
  <c r="M41" i="3"/>
  <c r="K41" i="3"/>
  <c r="N41" i="3"/>
  <c r="K52" i="3"/>
  <c r="M52" i="3"/>
  <c r="N52" i="3"/>
  <c r="O52" i="3"/>
  <c r="N26" i="3"/>
  <c r="K26" i="3"/>
  <c r="O26" i="3"/>
  <c r="M26" i="3"/>
  <c r="M28" i="3"/>
  <c r="O28" i="3"/>
  <c r="K28" i="3"/>
  <c r="N28" i="3"/>
  <c r="O33" i="3"/>
  <c r="N33" i="3"/>
  <c r="K33" i="3"/>
  <c r="M33" i="3"/>
  <c r="M38" i="3"/>
  <c r="O38" i="3"/>
  <c r="N38" i="3"/>
  <c r="K38" i="3"/>
  <c r="K47" i="3"/>
  <c r="N47" i="3"/>
  <c r="O47" i="3"/>
  <c r="M47" i="3"/>
  <c r="O63" i="3"/>
  <c r="N63" i="3"/>
  <c r="M63" i="3"/>
  <c r="K63" i="3"/>
  <c r="O56" i="3"/>
  <c r="M56" i="3"/>
  <c r="K56" i="3"/>
  <c r="N56" i="3"/>
  <c r="K32" i="3"/>
  <c r="O32" i="3"/>
  <c r="M32" i="3"/>
  <c r="N32" i="3"/>
  <c r="M59" i="3"/>
  <c r="O59" i="3"/>
  <c r="N59" i="3"/>
  <c r="K59" i="3"/>
  <c r="K34" i="3"/>
  <c r="N34" i="3"/>
  <c r="M34" i="3"/>
  <c r="O34" i="3"/>
  <c r="M48" i="3"/>
  <c r="O48" i="3"/>
  <c r="N48" i="3"/>
  <c r="K48" i="3"/>
  <c r="K40" i="3"/>
  <c r="N40" i="3"/>
  <c r="M40" i="3"/>
  <c r="O40" i="3"/>
  <c r="K31" i="3"/>
  <c r="M31" i="3"/>
  <c r="O31" i="3"/>
  <c r="N31" i="3"/>
  <c r="K57" i="3"/>
  <c r="O57" i="3"/>
  <c r="N57" i="3"/>
  <c r="M57" i="3"/>
  <c r="O23" i="3"/>
  <c r="N23" i="3"/>
  <c r="M23" i="3"/>
  <c r="K23" i="3"/>
  <c r="K49" i="3"/>
  <c r="M49" i="3"/>
  <c r="N49" i="3"/>
  <c r="O49" i="3"/>
  <c r="N35" i="3"/>
  <c r="M35" i="3"/>
  <c r="O35" i="3"/>
  <c r="K35" i="3"/>
  <c r="K39" i="3"/>
  <c r="N39" i="3"/>
  <c r="O39" i="3"/>
  <c r="M39" i="3"/>
  <c r="O51" i="3"/>
  <c r="K51" i="3"/>
  <c r="M51" i="3"/>
  <c r="N51" i="3"/>
  <c r="O58" i="3"/>
  <c r="K58" i="3"/>
  <c r="N58" i="3"/>
  <c r="M58" i="3"/>
  <c r="N45" i="3"/>
  <c r="M45" i="3"/>
  <c r="O45" i="3"/>
  <c r="K45" i="3"/>
  <c r="J66" i="3"/>
  <c r="B3" i="3" s="1"/>
  <c r="K30" i="3"/>
  <c r="N30" i="3"/>
  <c r="M30" i="3"/>
  <c r="O30" i="3"/>
  <c r="K65" i="3"/>
  <c r="N65" i="3"/>
  <c r="M65" i="3"/>
  <c r="O65" i="3"/>
  <c r="O36" i="3"/>
  <c r="K36" i="3"/>
  <c r="M36" i="3"/>
  <c r="N36" i="3"/>
  <c r="N53" i="3"/>
  <c r="K53" i="3"/>
  <c r="O53" i="3"/>
  <c r="M53" i="3"/>
  <c r="M54" i="3"/>
  <c r="N54" i="3"/>
  <c r="O54" i="3"/>
  <c r="K54" i="3"/>
  <c r="O64" i="3"/>
  <c r="M64" i="3"/>
  <c r="N64" i="3"/>
  <c r="K64" i="3"/>
  <c r="K50" i="3"/>
  <c r="N50" i="3"/>
  <c r="O50" i="3"/>
  <c r="M50" i="3"/>
  <c r="O60" i="3"/>
  <c r="M60" i="3"/>
  <c r="K60" i="3"/>
  <c r="N60" i="3"/>
  <c r="M22" i="3"/>
  <c r="O22" i="3"/>
  <c r="K22" i="3"/>
  <c r="N22" i="3"/>
  <c r="O61" i="3"/>
  <c r="N61" i="3"/>
  <c r="M61" i="3"/>
  <c r="K61" i="3"/>
  <c r="N24" i="3"/>
  <c r="K24" i="3"/>
  <c r="O24" i="3"/>
  <c r="M24" i="3"/>
  <c r="K27" i="3"/>
  <c r="M27" i="3"/>
  <c r="O27" i="3"/>
  <c r="N27" i="3"/>
  <c r="N29" i="3"/>
  <c r="M29" i="3"/>
  <c r="O29" i="3"/>
  <c r="K29" i="3"/>
  <c r="K37" i="3"/>
  <c r="M37" i="3"/>
  <c r="N37" i="3"/>
  <c r="O37" i="3"/>
  <c r="O25" i="3"/>
  <c r="N25" i="3"/>
  <c r="K25" i="3"/>
  <c r="M25" i="3"/>
  <c r="N62" i="3"/>
  <c r="K62" i="3"/>
  <c r="M62" i="3"/>
  <c r="O62" i="3"/>
  <c r="K55" i="3"/>
  <c r="O55" i="3"/>
  <c r="M55" i="3"/>
  <c r="N55" i="3"/>
  <c r="K46" i="3"/>
  <c r="M46" i="3"/>
  <c r="N46" i="3"/>
  <c r="O46" i="3"/>
  <c r="M21" i="3"/>
  <c r="K21" i="3"/>
  <c r="N21" i="3"/>
  <c r="J42" i="3"/>
  <c r="O21" i="3"/>
  <c r="M42" i="3" l="1"/>
  <c r="N42" i="3"/>
  <c r="O42" i="3"/>
  <c r="N66" i="3"/>
  <c r="M66" i="3"/>
  <c r="O66" i="3"/>
  <c r="B2" i="3"/>
  <c r="B7" i="3" l="1"/>
  <c r="B6" i="3"/>
  <c r="B8"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Joseph F. DeCarolis</author>
  </authors>
  <commentList>
    <comment ref="D3" authorId="0" shapeId="0" xr:uid="{00000000-0006-0000-0000-000001000000}">
      <text>
        <r>
          <rPr>
            <b/>
            <sz val="10"/>
            <color rgb="FF000000"/>
            <rFont val="Tahoma"/>
            <family val="2"/>
          </rPr>
          <t>Joseph F. DeCarolis:</t>
        </r>
        <r>
          <rPr>
            <sz val="10"/>
            <color rgb="FF000000"/>
            <rFont val="Tahoma"/>
            <family val="2"/>
          </rPr>
          <t xml:space="preserve">
</t>
        </r>
        <r>
          <rPr>
            <sz val="10"/>
            <color rgb="FF000000"/>
            <rFont val="Tahoma"/>
            <family val="2"/>
          </rPr>
          <t>Docket No. E-100, Sub 190, May 28, 2024, Figure 1, p. 9</t>
        </r>
      </text>
    </comment>
    <comment ref="F3" authorId="0" shapeId="0" xr:uid="{00000000-0006-0000-0000-000002000000}">
      <text>
        <r>
          <rPr>
            <b/>
            <sz val="10"/>
            <color rgb="FF000000"/>
            <rFont val="Tahoma"/>
            <family val="2"/>
          </rPr>
          <t>Joseph F. DeCarolis:</t>
        </r>
        <r>
          <rPr>
            <sz val="10"/>
            <color rgb="FF000000"/>
            <rFont val="Tahoma"/>
            <family val="2"/>
          </rPr>
          <t xml:space="preserve">
</t>
        </r>
        <r>
          <rPr>
            <sz val="10"/>
            <color rgb="FF000000"/>
            <rFont val="Calibri"/>
            <family val="2"/>
          </rPr>
          <t xml:space="preserve">Appendix C, Table C-25
</t>
        </r>
      </text>
    </comment>
    <comment ref="F4" authorId="0" shapeId="0" xr:uid="{00000000-0006-0000-0000-000003000000}">
      <text>
        <r>
          <rPr>
            <b/>
            <sz val="10"/>
            <color rgb="FF000000"/>
            <rFont val="Tahoma"/>
            <family val="2"/>
          </rPr>
          <t>Joseph F. DeCarolis:</t>
        </r>
        <r>
          <rPr>
            <sz val="10"/>
            <color rgb="FF000000"/>
            <rFont val="Tahoma"/>
            <family val="2"/>
          </rPr>
          <t xml:space="preserve">
</t>
        </r>
        <r>
          <rPr>
            <sz val="10"/>
            <color rgb="FF000000"/>
            <rFont val="Tahoma"/>
            <family val="2"/>
          </rPr>
          <t>Appendix C, Table C-26</t>
        </r>
      </text>
    </comment>
    <comment ref="D12" authorId="0" shapeId="0" xr:uid="{00000000-0006-0000-0000-000004000000}">
      <text>
        <r>
          <rPr>
            <b/>
            <sz val="10"/>
            <color rgb="FF000000"/>
            <rFont val="Tahoma"/>
            <family val="2"/>
          </rPr>
          <t>Joseph F. DeCarolis:</t>
        </r>
        <r>
          <rPr>
            <sz val="10"/>
            <color rgb="FF000000"/>
            <rFont val="Tahoma"/>
            <family val="2"/>
          </rPr>
          <t xml:space="preserve">
</t>
        </r>
        <r>
          <rPr>
            <sz val="10"/>
            <color rgb="FF000000"/>
            <rFont val="Tahoma"/>
            <family val="2"/>
          </rPr>
          <t>Appendix C, Table C-22, p. 30.</t>
        </r>
      </text>
    </comment>
    <comment ref="D13" authorId="0" shapeId="0" xr:uid="{00000000-0006-0000-0000-000005000000}">
      <text>
        <r>
          <rPr>
            <b/>
            <sz val="10"/>
            <color rgb="FF000000"/>
            <rFont val="Tahoma"/>
            <family val="2"/>
          </rPr>
          <t>Joseph F. DeCarolis:</t>
        </r>
        <r>
          <rPr>
            <sz val="10"/>
            <color rgb="FF000000"/>
            <rFont val="Tahoma"/>
            <family val="2"/>
          </rPr>
          <t xml:space="preserve">
</t>
        </r>
        <r>
          <rPr>
            <sz val="10"/>
            <color rgb="FF000000"/>
            <rFont val="Tahoma"/>
            <family val="2"/>
          </rPr>
          <t>Chapter 2, Figure 2-5, p. 31</t>
        </r>
      </text>
    </comment>
    <comment ref="D14" authorId="0" shapeId="0" xr:uid="{00000000-0006-0000-0000-000006000000}">
      <text>
        <r>
          <rPr>
            <b/>
            <sz val="10"/>
            <color rgb="FF000000"/>
            <rFont val="Tahoma"/>
            <family val="2"/>
          </rPr>
          <t>Joseph F. DeCarolis:</t>
        </r>
        <r>
          <rPr>
            <sz val="10"/>
            <color rgb="FF000000"/>
            <rFont val="Tahoma"/>
            <family val="2"/>
          </rPr>
          <t xml:space="preserve">
</t>
        </r>
        <r>
          <rPr>
            <sz val="10"/>
            <color rgb="FF000000"/>
            <rFont val="Calibri"/>
            <family val="2"/>
          </rPr>
          <t xml:space="preserve">Chapter 2, Figure 2-5, p. 31
</t>
        </r>
      </text>
    </comment>
    <comment ref="K20" authorId="0" shapeId="0" xr:uid="{00000000-0006-0000-0000-000007000000}">
      <text>
        <r>
          <rPr>
            <b/>
            <sz val="10"/>
            <color rgb="FF000000"/>
            <rFont val="Tahoma"/>
            <family val="2"/>
          </rPr>
          <t>Joseph F. DeCarolis:</t>
        </r>
        <r>
          <rPr>
            <sz val="10"/>
            <color rgb="FF000000"/>
            <rFont val="Tahoma"/>
            <family val="2"/>
          </rPr>
          <t xml:space="preserve">
</t>
        </r>
        <r>
          <rPr>
            <sz val="10"/>
            <color rgb="FF000000"/>
            <rFont val="Tahoma"/>
            <family val="2"/>
          </rPr>
          <t>Only considers combined-cycle; sinple cycle assumed for backup</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Joseph F. DeCarolis</author>
  </authors>
  <commentList>
    <comment ref="F5" authorId="0" shapeId="0" xr:uid="{00000000-0006-0000-0100-000001000000}">
      <text>
        <r>
          <rPr>
            <b/>
            <sz val="10"/>
            <color rgb="FF000000"/>
            <rFont val="Tahoma"/>
            <family val="2"/>
          </rPr>
          <t>Joseph F. DeCarolis:</t>
        </r>
        <r>
          <rPr>
            <sz val="10"/>
            <color rgb="FF000000"/>
            <rFont val="Tahoma"/>
            <family val="2"/>
          </rPr>
          <t xml:space="preserve">
</t>
        </r>
        <r>
          <rPr>
            <sz val="10"/>
            <color rgb="FF000000"/>
            <rFont val="Tahoma"/>
            <family val="2"/>
          </rPr>
          <t>Based on CAGR for the "System Obligation at Gen"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Joseph F. DeCarolis</author>
  </authors>
  <commentList>
    <comment ref="B4" authorId="0" shapeId="0" xr:uid="{00000000-0006-0000-0200-000001000000}">
      <text>
        <r>
          <rPr>
            <b/>
            <sz val="10"/>
            <color rgb="FF000000"/>
            <rFont val="Tahoma"/>
            <family val="2"/>
          </rPr>
          <t>Joseph F. DeCarolis:</t>
        </r>
        <r>
          <rPr>
            <sz val="10"/>
            <color rgb="FF000000"/>
            <rFont val="Tahoma"/>
            <family val="2"/>
          </rPr>
          <t xml:space="preserve">
</t>
        </r>
        <r>
          <rPr>
            <sz val="10"/>
            <color rgb="FF000000"/>
            <rFont val="Tahoma"/>
            <family val="2"/>
          </rPr>
          <t>Appendix B, p. 4, Table B-1 (summer capacity)</t>
        </r>
      </text>
    </comment>
    <comment ref="C4" authorId="0" shapeId="0" xr:uid="{00000000-0006-0000-0200-000002000000}">
      <text>
        <r>
          <rPr>
            <b/>
            <sz val="10"/>
            <color rgb="FF000000"/>
            <rFont val="Tahoma"/>
            <family val="2"/>
          </rPr>
          <t>Joseph F. DeCarolis:</t>
        </r>
        <r>
          <rPr>
            <sz val="10"/>
            <color rgb="FF000000"/>
            <rFont val="Tahoma"/>
            <family val="2"/>
          </rPr>
          <t xml:space="preserve">
</t>
        </r>
        <r>
          <rPr>
            <sz val="10"/>
            <color rgb="FF000000"/>
            <rFont val="Tahoma"/>
            <family val="2"/>
          </rPr>
          <t>Taken from Appendix B, p. 15, Table B-7; p. 26, Tables B-19 and B-20.</t>
        </r>
      </text>
    </comment>
    <comment ref="D4" authorId="0" shapeId="0" xr:uid="{00000000-0006-0000-0200-000003000000}">
      <text>
        <r>
          <rPr>
            <b/>
            <sz val="10"/>
            <color rgb="FF000000"/>
            <rFont val="Tahoma"/>
            <family val="2"/>
          </rPr>
          <t>Joseph F. DeCarolis:</t>
        </r>
        <r>
          <rPr>
            <sz val="10"/>
            <color rgb="FF000000"/>
            <rFont val="Tahoma"/>
            <family val="2"/>
          </rPr>
          <t xml:space="preserve">
</t>
        </r>
        <r>
          <rPr>
            <sz val="10"/>
            <color rgb="FF000000"/>
            <rFont val="Calibri"/>
            <family val="2"/>
          </rPr>
          <t xml:space="preserve">Appendix B, p. 16, Table B-9 (summer capacity)
</t>
        </r>
      </text>
    </comment>
    <comment ref="E4" authorId="0" shapeId="0" xr:uid="{00000000-0006-0000-0200-000004000000}">
      <text>
        <r>
          <rPr>
            <b/>
            <sz val="10"/>
            <color rgb="FF000000"/>
            <rFont val="Tahoma"/>
            <family val="2"/>
          </rPr>
          <t>Joseph F. DeCarolis:</t>
        </r>
        <r>
          <rPr>
            <sz val="10"/>
            <color rgb="FF000000"/>
            <rFont val="Tahoma"/>
            <family val="2"/>
          </rPr>
          <t xml:space="preserve">
</t>
        </r>
        <r>
          <rPr>
            <sz val="10"/>
            <color rgb="FF000000"/>
            <rFont val="Calibri"/>
            <family val="2"/>
          </rPr>
          <t xml:space="preserve">Appendix B, p. 7, Table B-2 (summer capacity)
</t>
        </r>
      </text>
    </comment>
    <comment ref="F4" authorId="0" shapeId="0" xr:uid="{00000000-0006-0000-0200-000005000000}">
      <text>
        <r>
          <rPr>
            <b/>
            <sz val="10"/>
            <color rgb="FF000000"/>
            <rFont val="Tahoma"/>
            <family val="2"/>
          </rPr>
          <t>Joseph F. DeCarolis:</t>
        </r>
        <r>
          <rPr>
            <sz val="10"/>
            <color rgb="FF000000"/>
            <rFont val="Tahoma"/>
            <family val="2"/>
          </rPr>
          <t xml:space="preserve">
</t>
        </r>
        <r>
          <rPr>
            <sz val="10"/>
            <color rgb="FF000000"/>
            <rFont val="Calibri"/>
            <family val="2"/>
          </rPr>
          <t xml:space="preserve">Appendix B, p. 9, Table B-3 (summer capacity)
</t>
        </r>
      </text>
    </comment>
    <comment ref="G4" authorId="0" shapeId="0" xr:uid="{00000000-0006-0000-0200-000006000000}">
      <text>
        <r>
          <rPr>
            <b/>
            <sz val="10"/>
            <color rgb="FF000000"/>
            <rFont val="Tahoma"/>
            <family val="2"/>
          </rPr>
          <t>Joseph F. DeCarolis:</t>
        </r>
        <r>
          <rPr>
            <sz val="10"/>
            <color rgb="FF000000"/>
            <rFont val="Tahoma"/>
            <family val="2"/>
          </rPr>
          <t xml:space="preserve">
</t>
        </r>
        <r>
          <rPr>
            <sz val="10"/>
            <color rgb="FF000000"/>
            <rFont val="Calibri"/>
            <family val="2"/>
          </rPr>
          <t xml:space="preserve">Appendix B, p. 14, Table B-6 (summer capacity)
</t>
        </r>
      </text>
    </comment>
  </commentList>
</comments>
</file>

<file path=xl/sharedStrings.xml><?xml version="1.0" encoding="utf-8"?>
<sst xmlns="http://schemas.openxmlformats.org/spreadsheetml/2006/main" count="305" uniqueCount="123">
  <si>
    <t>Year</t>
  </si>
  <si>
    <t>NGCC</t>
  </si>
  <si>
    <t>Coal</t>
  </si>
  <si>
    <t>Duke P3 Fall Base</t>
  </si>
  <si>
    <t>PS 2034 Base</t>
  </si>
  <si>
    <t>NCGA - Base</t>
  </si>
  <si>
    <t>Scenario</t>
  </si>
  <si>
    <t>Coal Retirements</t>
  </si>
  <si>
    <t>Total Solar</t>
  </si>
  <si>
    <t>Total Battery</t>
  </si>
  <si>
    <t>NGCT</t>
  </si>
  <si>
    <t>Pumped Hydro</t>
  </si>
  <si>
    <t>Advanced Nuclear</t>
  </si>
  <si>
    <t>Onshore Wind</t>
  </si>
  <si>
    <t>OffShore Wind</t>
  </si>
  <si>
    <t>Installed Capacity (GW)</t>
  </si>
  <si>
    <t>Assumptions</t>
  </si>
  <si>
    <t>Solar</t>
  </si>
  <si>
    <t>Offshore Wind</t>
  </si>
  <si>
    <t>DEC</t>
  </si>
  <si>
    <t>DEP</t>
  </si>
  <si>
    <t>Total</t>
  </si>
  <si>
    <t>Generation from Natural Gas</t>
  </si>
  <si>
    <t>Nuclear</t>
  </si>
  <si>
    <t>Natural Gas (GWh)</t>
  </si>
  <si>
    <t>NG Capacity Factor</t>
  </si>
  <si>
    <t>MW</t>
  </si>
  <si>
    <t>Hydro</t>
  </si>
  <si>
    <t>Load</t>
  </si>
  <si>
    <t>GW</t>
  </si>
  <si>
    <t>Assumed growth rate after 2038</t>
  </si>
  <si>
    <t>CT Heat Rate (BTU/kWh)</t>
  </si>
  <si>
    <t>CC Heat Rate (BTU/kWh)</t>
  </si>
  <si>
    <t>Ratio of CT to CC generation</t>
  </si>
  <si>
    <t>Back of envelope</t>
  </si>
  <si>
    <t>NG cost</t>
  </si>
  <si>
    <t>Offshore wind</t>
  </si>
  <si>
    <t>Capacity Factor</t>
  </si>
  <si>
    <t>Low</t>
  </si>
  <si>
    <t>Base</t>
  </si>
  <si>
    <t>High</t>
  </si>
  <si>
    <t>Load Forecast (GWh)</t>
  </si>
  <si>
    <t>NCGA -Base</t>
  </si>
  <si>
    <t>Discount Factor</t>
  </si>
  <si>
    <t>Low NG Price</t>
  </si>
  <si>
    <t>High NG Price</t>
  </si>
  <si>
    <t>GWh</t>
  </si>
  <si>
    <t>1 GWh</t>
  </si>
  <si>
    <t>1 MMBTU</t>
  </si>
  <si>
    <t>1e6 kWh</t>
  </si>
  <si>
    <t>BTU</t>
  </si>
  <si>
    <t>kWh</t>
  </si>
  <si>
    <t>1e6 BTU</t>
  </si>
  <si>
    <t>$</t>
  </si>
  <si>
    <t>MMBTU</t>
  </si>
  <si>
    <t>Blended Heat Rate (BTU/kWh)</t>
  </si>
  <si>
    <t>Natural Gas-Related Assumptions</t>
  </si>
  <si>
    <t>High Gas Price ($B)</t>
  </si>
  <si>
    <t>Low Gas Price ($B)</t>
  </si>
  <si>
    <t>Cost (NCGA-Base - PS 2034 Base)</t>
  </si>
  <si>
    <t>Cost of Natural Gas</t>
  </si>
  <si>
    <t>Base NG Price</t>
  </si>
  <si>
    <t>Base Gas Price ($B)</t>
  </si>
  <si>
    <t>Nominal discount rate</t>
  </si>
  <si>
    <t>Nuclear - Large</t>
  </si>
  <si>
    <t>Nuclear - Small</t>
  </si>
  <si>
    <t>Advanced</t>
  </si>
  <si>
    <t>Moderate</t>
  </si>
  <si>
    <t>Conservative</t>
  </si>
  <si>
    <t>inflation rate (from 2022) =</t>
  </si>
  <si>
    <t>Real Dollars</t>
  </si>
  <si>
    <t>Nominal Dollars</t>
  </si>
  <si>
    <t>Present Cost ($B)</t>
  </si>
  <si>
    <t xml:space="preserve">Results: Gas Price Sensitivity	</t>
  </si>
  <si>
    <t>Results: Nuclear Capex</t>
  </si>
  <si>
    <t>Cost in NCGA Base</t>
  </si>
  <si>
    <t>Conservative - Advanced</t>
  </si>
  <si>
    <t>Conservative - Moderate</t>
  </si>
  <si>
    <t>Coal             Year</t>
  </si>
  <si>
    <t>Cost in PS 2034 Base</t>
  </si>
  <si>
    <t>Other Assumptions</t>
  </si>
  <si>
    <t>Key Calculations</t>
  </si>
  <si>
    <t>discount_factor</t>
  </si>
  <si>
    <t>New Nuclear [GW]</t>
  </si>
  <si>
    <t>1e6 kW</t>
  </si>
  <si>
    <t>kW</t>
  </si>
  <si>
    <t>Nuclear Capital Costs</t>
  </si>
  <si>
    <r>
      <t xml:space="preserve">Source: </t>
    </r>
    <r>
      <rPr>
        <sz val="11"/>
        <color theme="1"/>
        <rFont val="Calibri"/>
        <family val="2"/>
        <scheme val="minor"/>
      </rPr>
      <t>Docket F-E-20230817-090, Appendix C: Quantitative Analysis, p. 44</t>
    </r>
  </si>
  <si>
    <t xml:space="preserve">https://starw1.ncuc.gov/NCUC/ViewFile.aspx?Id=0ef8dbf4-5fd9-4441-9110-b5d778e7437e </t>
  </si>
  <si>
    <t xml:space="preserve">https://atb.nrel.gov/electricity/2024/data </t>
  </si>
  <si>
    <r>
      <rPr>
        <b/>
        <sz val="12"/>
        <color theme="1"/>
        <rFont val="Calibri"/>
        <family val="2"/>
        <scheme val="minor"/>
      </rPr>
      <t xml:space="preserve">Source: </t>
    </r>
    <r>
      <rPr>
        <sz val="12"/>
        <color theme="1"/>
        <rFont val="Calibri"/>
        <family val="2"/>
        <scheme val="minor"/>
      </rPr>
      <t>NREL Annual Technology Baseline 2024</t>
    </r>
  </si>
  <si>
    <r>
      <rPr>
        <b/>
        <sz val="12"/>
        <color theme="1"/>
        <rFont val="Calibri"/>
        <family val="2"/>
        <scheme val="minor"/>
      </rPr>
      <t>Note:</t>
    </r>
    <r>
      <rPr>
        <sz val="12"/>
        <color theme="1"/>
        <rFont val="Calibri"/>
        <family val="2"/>
        <scheme val="minor"/>
      </rPr>
      <t xml:space="preserve"> This sheet uses data from 'PS - Relative Buildout' but applies linear interpolation to get all years</t>
    </r>
  </si>
  <si>
    <r>
      <rPr>
        <b/>
        <sz val="12"/>
        <color theme="1"/>
        <rFont val="Calibri"/>
        <family val="2"/>
        <scheme val="minor"/>
      </rPr>
      <t xml:space="preserve">Source: </t>
    </r>
    <r>
      <rPr>
        <sz val="12"/>
        <color theme="1"/>
        <rFont val="Calibri"/>
        <family val="2"/>
        <scheme val="minor"/>
      </rPr>
      <t>Docket F-E-20230817-090, Appendix B: DEC and DEP System Overview</t>
    </r>
  </si>
  <si>
    <t xml:space="preserve">https://starw1.ncuc.gov/NCUC/ViewFile.aspx?Id=b05e0100-1874-4db0-89f3-958afd4617ce </t>
  </si>
  <si>
    <t xml:space="preserve">https://starw1.ncuc.gov/NCUC/ViewFile.aspx?Id=bfb12788-90ea-4352-97d6-3f3a7134b5ad </t>
  </si>
  <si>
    <t>Total Gas Generation (GWh) PS 2034 Base</t>
  </si>
  <si>
    <t>Total Gas Generation (GWh) NCGA Base</t>
  </si>
  <si>
    <t>Difference</t>
  </si>
  <si>
    <t>Advanced Nuclear Annual Build</t>
  </si>
  <si>
    <t>Ratio of large to small nuclear</t>
  </si>
  <si>
    <t>"NCGA - Base" removes the interim carbon target</t>
  </si>
  <si>
    <t>"PS 2034 Base" includes the interm carbon target</t>
  </si>
  <si>
    <t>NG Generation (GWh) = Load [GWh] - 8760 [hrs/yr] * (coal_cap [GW] * CF_c + solar_cap [GW] * CF_s + nuclear_cap [GW] * CF_n  + wind_ons_cap [GW] * CF_wos + s + wind_off_cap [GW] * CF_woff)</t>
  </si>
  <si>
    <r>
      <rPr>
        <b/>
        <i/>
        <sz val="12"/>
        <color theme="1"/>
        <rFont val="Calibri"/>
        <family val="2"/>
        <scheme val="minor"/>
      </rPr>
      <t xml:space="preserve">Existing Capacity: </t>
    </r>
    <r>
      <rPr>
        <sz val="12"/>
        <color theme="1"/>
        <rFont val="Calibri"/>
        <family val="2"/>
        <scheme val="minor"/>
      </rPr>
      <t xml:space="preserve">Existing generation capacity. Source: Docket F-E-20230817-090, Appendix B: DEC and DEP System Overview
https://starw1.ncuc.gov/NCUC/ViewFile.aspx?Id=b05e0100-1874-4db0-89f3-958afd4617ce </t>
    </r>
  </si>
  <si>
    <r>
      <rPr>
        <b/>
        <i/>
        <sz val="12"/>
        <color theme="1"/>
        <rFont val="Calibri"/>
        <family val="2"/>
        <scheme val="minor"/>
      </rPr>
      <t xml:space="preserve">PS - Relative Buildout: </t>
    </r>
    <r>
      <rPr>
        <sz val="12"/>
        <color theme="1"/>
        <rFont val="Calibri"/>
        <family val="2"/>
        <scheme val="minor"/>
      </rPr>
      <t>Capacity expansion plan provided by the Public Staff.</t>
    </r>
  </si>
  <si>
    <r>
      <rPr>
        <b/>
        <i/>
        <sz val="12"/>
        <color theme="1"/>
        <rFont val="Calibri"/>
        <family val="2"/>
        <scheme val="minor"/>
      </rPr>
      <t>PS - Relative Buildout -- All Years:</t>
    </r>
    <r>
      <rPr>
        <sz val="12"/>
        <color theme="1"/>
        <rFont val="Calibri"/>
        <family val="2"/>
        <scheme val="minor"/>
      </rPr>
      <t xml:space="preserve"> Capacity expansion plan provided only included select future years. In this sheet, changes in capacity are linearly interpreted to fill in the missing years.</t>
    </r>
  </si>
  <si>
    <r>
      <rPr>
        <b/>
        <i/>
        <sz val="12"/>
        <color theme="1"/>
        <rFont val="Calibri"/>
        <family val="2"/>
        <scheme val="minor"/>
      </rPr>
      <t xml:space="preserve">Projected NG Prices: </t>
    </r>
    <r>
      <rPr>
        <sz val="12"/>
        <color theme="1"/>
        <rFont val="Calibri"/>
        <family val="2"/>
        <scheme val="minor"/>
      </rPr>
      <t xml:space="preserve">Natural gas price projections included in the NCUC docket. Source: Docket F-E-20230817-090, Appendix C: Quantitative Analysis, p. 44, https://starw1.ncuc.gov/NCUC/ViewFile.aspx?Id=0ef8dbf4-5fd9-4441-9110-b5d778e7437e </t>
    </r>
  </si>
  <si>
    <t>Note 1: The calculations above were repeated for two scenarios run by the Public Staff:  "PS 2034 Base" (interim target included) and "NCGA - Base" (interm target removed).</t>
  </si>
  <si>
    <t>Note 2: The discount rate can be set in Cell G10.</t>
  </si>
  <si>
    <t>This spreadsheet estimates the cost impact of variations in natural gas prices and nuclear capital costs associated with capacity build plans developed by the NCUC Public Staff.</t>
  </si>
  <si>
    <t>Worksheet Descriptions</t>
  </si>
  <si>
    <t>Natural Gas Costs</t>
  </si>
  <si>
    <r>
      <rPr>
        <b/>
        <i/>
        <sz val="12"/>
        <color theme="1"/>
        <rFont val="Calibri"/>
        <family val="2"/>
        <scheme val="minor"/>
      </rPr>
      <t xml:space="preserve">Load: </t>
    </r>
    <r>
      <rPr>
        <sz val="12"/>
        <color theme="1"/>
        <rFont val="Calibri"/>
        <family val="2"/>
        <scheme val="minor"/>
      </rPr>
      <t xml:space="preserve">Projected DEP + DEC load. Source: Docket E-100 Sub 190, Supplemental Planning Analysis, pgs 21-22. https://starw1.ncuc.gov/NCUC/ViewFile.aspx?Id=bfb12788-90ea-4352-97d6-3f3a7134b5ad </t>
    </r>
  </si>
  <si>
    <r>
      <rPr>
        <b/>
        <sz val="12"/>
        <color theme="1"/>
        <rFont val="Calibri"/>
        <family val="2"/>
        <scheme val="minor"/>
      </rPr>
      <t>Source:</t>
    </r>
    <r>
      <rPr>
        <sz val="12"/>
        <color theme="1"/>
        <rFont val="Calibri"/>
        <family val="2"/>
        <scheme val="minor"/>
      </rPr>
      <t xml:space="preserve"> Docket E-100 Sub 190, Supplemental Planning Analysis, pgs 21-22, "System Obligation at Gen"</t>
    </r>
  </si>
  <si>
    <t>&lt;--- extrapolated</t>
  </si>
  <si>
    <t>&lt;--- from docket</t>
  </si>
  <si>
    <r>
      <rPr>
        <b/>
        <i/>
        <sz val="12"/>
        <color theme="1"/>
        <rFont val="Calibri"/>
        <family val="2"/>
        <scheme val="minor"/>
      </rPr>
      <t xml:space="preserve">Nuclear Capex: </t>
    </r>
    <r>
      <rPr>
        <sz val="12"/>
        <color theme="1"/>
        <rFont val="Calibri"/>
        <family val="2"/>
        <scheme val="minor"/>
      </rPr>
      <t>Projected nuclear capital costs under three different scenarios (Advanced, Moderate, Conservative) drawn from NREL's Annual Technology Baseline. We could not locate unredacted, publicly available nuclear capital cost numbers in the NCUC docket.</t>
    </r>
  </si>
  <si>
    <r>
      <rPr>
        <b/>
        <sz val="12"/>
        <color theme="1"/>
        <rFont val="Calibri"/>
        <family val="2"/>
        <scheme val="minor"/>
      </rPr>
      <t xml:space="preserve">Source: </t>
    </r>
    <r>
      <rPr>
        <sz val="12"/>
        <color theme="1"/>
        <rFont val="Calibri"/>
        <family val="2"/>
        <scheme val="minor"/>
      </rPr>
      <t>Results provided by the Public Staff upon request</t>
    </r>
  </si>
  <si>
    <t>Author: Joe DeCarolis, in his personal capacity as an analyst.</t>
  </si>
  <si>
    <t>2. Wherever possible, assumptions are drawn from the NCUC docket</t>
  </si>
  <si>
    <t>3. Non-proprietary sources of data are used where key modeling assumptions are unpublished or redacted</t>
  </si>
  <si>
    <t>1. Capacity buildout plans produced by the Public Staff of the NC Utilities Commission are utilized</t>
  </si>
  <si>
    <r>
      <rPr>
        <b/>
        <i/>
        <sz val="12"/>
        <color theme="1"/>
        <rFont val="Calibri"/>
        <family val="2"/>
        <scheme val="minor"/>
      </rPr>
      <t>Main:</t>
    </r>
    <r>
      <rPr>
        <sz val="12"/>
        <color theme="1"/>
        <rFont val="Calibri"/>
        <family val="2"/>
        <scheme val="minor"/>
      </rPr>
      <t xml:space="preserve"> Includes key assumptions and calculations. Near the top, green cells provide high-level results; tan cells provide key assumptions. Key calculations related to natural gas and nuclear capex begin on Row 21. Generation by technology type is estimated by multiplying installed capacity (based on existing capacity and the Public Staff build plans), technology-specific capacity factor, and hours in a year (8,760). Natural gas generation (Column J) is calculated as the difference between load and all other sources of generation (detailed formulation shown beginning in Cell J3). Estimated natural gas cost (Columns M-O) is calculated as the product of natural gas generation, heat rate, projected natural gas prices, and discount rate (detailed formulation shown beginning in Cell J6). Variation in nuclear capital costs (Columns P-R) are the product of new nuclear capacity (drawn from the Public Staff build plans), nuclear capital cost, and discount factor (detailed formulation shown beginning in Cell J10).</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</si>
</sst>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5" formatCode="&quot;$&quot;#,##0_);\(&quot;$&quot;#,##0\)"/>
    <numFmt numFmtId="44" formatCode="_(&quot;$&quot;* #,##0.00_);_(&quot;$&quot;* \(#,##0.00\);_(&quot;$&quot;* &quot;-&quot;??_);_(@_)"/>
    <numFmt numFmtId="43" formatCode="_(* #,##0.00_);_(* \(#,##0.00\);_(* &quot;-&quot;??_);_(@_)"/>
    <numFmt numFmtId="164" formatCode="0.0"/>
    <numFmt numFmtId="165" formatCode="0.000"/>
    <numFmt numFmtId="166" formatCode="_(* #,##0_);_(* \(#,##0\);_(* &quot;-&quot;??_);_(@_)"/>
    <numFmt numFmtId="167" formatCode="_(* #,##0.000_);_(* \(#,##0.000\);_(* &quot;-&quot;??_);_(@_)"/>
    <numFmt numFmtId="168" formatCode="_(&quot;$&quot;* #,##0.0_);_(&quot;$&quot;* \(#,##0.0\);_(&quot;$&quot;* &quot;-&quot;??_);_(@_)"/>
    <numFmt numFmtId="169" formatCode="_(&quot;$&quot;* #,##0_);_(&quot;$&quot;* \(#,##0\);_(&quot;$&quot;* &quot;-&quot;??_);_(@_)"/>
  </numFmts>
  <fonts count="15" x14ac:knownFonts="1">
    <font>
      <sz val="12"/>
      <color theme="1"/>
      <name val="Calibri"/>
      <family val="2"/>
      <scheme val="minor"/>
    </font>
    <font>
      <sz val="11"/>
      <color theme="1"/>
      <name val="Calibri"/>
      <family val="2"/>
      <scheme val="minor"/>
    </font>
    <font>
      <sz val="12"/>
      <color theme="1"/>
      <name val="Calibri"/>
      <family val="2"/>
      <scheme val="minor"/>
    </font>
    <font>
      <b/>
      <sz val="12"/>
      <color theme="1"/>
      <name val="Calibri"/>
      <family val="2"/>
      <scheme val="minor"/>
    </font>
    <font>
      <sz val="10"/>
      <color rgb="FF000000"/>
      <name val="Tahoma"/>
      <family val="2"/>
    </font>
    <font>
      <b/>
      <sz val="10"/>
      <color rgb="FF000000"/>
      <name val="Tahoma"/>
      <family val="2"/>
    </font>
    <font>
      <sz val="10"/>
      <color rgb="FF000000"/>
      <name val="Calibri"/>
      <family val="2"/>
    </font>
    <font>
      <b/>
      <sz val="14"/>
      <color theme="1"/>
      <name val="Calibri"/>
      <family val="2"/>
      <scheme val="minor"/>
    </font>
    <font>
      <sz val="11"/>
      <color theme="1"/>
      <name val="Calibri"/>
      <family val="2"/>
      <scheme val="minor"/>
    </font>
    <font>
      <sz val="10"/>
      <color theme="1"/>
      <name val="Arial"/>
      <family val="2"/>
    </font>
    <font>
      <b/>
      <sz val="10"/>
      <color theme="1"/>
      <name val="Arial"/>
      <family val="2"/>
    </font>
    <font>
      <b/>
      <sz val="11"/>
      <color theme="1"/>
      <name val="Calibri"/>
      <family val="2"/>
      <scheme val="minor"/>
    </font>
    <font>
      <u/>
      <sz val="12"/>
      <color theme="10"/>
      <name val="Calibri"/>
      <family val="2"/>
      <scheme val="minor"/>
    </font>
    <font>
      <b/>
      <i/>
      <sz val="12"/>
      <color theme="1"/>
      <name val="Calibri"/>
      <family val="2"/>
      <scheme val="minor"/>
    </font>
    <font>
      <sz val="14"/>
      <color theme="1"/>
      <name val="Calibri"/>
      <family val="2"/>
      <scheme val="minor"/>
    </font>
  </fonts>
  <fills count="17">
    <fill>
      <patternFill patternType="none"/>
    </fill>
    <fill>
      <patternFill patternType="gray125"/>
    </fill>
    <fill>
      <patternFill patternType="solid">
        <fgColor theme="7" tint="0.79998168889431442"/>
        <bgColor indexed="64"/>
      </patternFill>
    </fill>
    <fill>
      <patternFill patternType="solid">
        <fgColor theme="0" tint="-0.249977111117893"/>
        <bgColor indexed="64"/>
      </patternFill>
    </fill>
    <fill>
      <patternFill patternType="solid">
        <fgColor theme="7" tint="0.39997558519241921"/>
        <bgColor indexed="64"/>
      </patternFill>
    </fill>
    <fill>
      <patternFill patternType="solid">
        <fgColor theme="9" tint="0.39997558519241921"/>
        <bgColor indexed="64"/>
      </patternFill>
    </fill>
    <fill>
      <patternFill patternType="solid">
        <fgColor rgb="FFFF7E79"/>
        <bgColor indexed="64"/>
      </patternFill>
    </fill>
    <fill>
      <patternFill patternType="solid">
        <fgColor theme="3" tint="0.59999389629810485"/>
        <bgColor indexed="64"/>
      </patternFill>
    </fill>
    <fill>
      <patternFill patternType="solid">
        <fgColor theme="8" tint="0.79998168889431442"/>
        <bgColor indexed="64"/>
      </patternFill>
    </fill>
    <fill>
      <patternFill patternType="solid">
        <fgColor theme="8" tint="0.39997558519241921"/>
        <bgColor indexed="64"/>
      </patternFill>
    </fill>
    <fill>
      <patternFill patternType="solid">
        <fgColor theme="0" tint="-4.9989318521683403E-2"/>
        <bgColor indexed="64"/>
      </patternFill>
    </fill>
    <fill>
      <patternFill patternType="solid">
        <fgColor theme="7" tint="0.59999389629810485"/>
        <bgColor indexed="64"/>
      </patternFill>
    </fill>
    <fill>
      <patternFill patternType="solid">
        <fgColor theme="4" tint="0.79998168889431442"/>
        <bgColor indexed="64"/>
      </patternFill>
    </fill>
    <fill>
      <patternFill patternType="solid">
        <fgColor theme="9" tint="0.59999389629810485"/>
        <bgColor indexed="64"/>
      </patternFill>
    </fill>
    <fill>
      <patternFill patternType="solid">
        <fgColor rgb="FFFFFF00"/>
        <bgColor indexed="64"/>
      </patternFill>
    </fill>
    <fill>
      <patternFill patternType="solid">
        <fgColor theme="0" tint="-0.14999847407452621"/>
        <bgColor indexed="64"/>
      </patternFill>
    </fill>
    <fill>
      <patternFill patternType="solid">
        <fgColor theme="5" tint="0.79998168889431442"/>
        <bgColor indexed="64"/>
      </patternFill>
    </fill>
  </fills>
  <borders count="16">
    <border>
      <left/>
      <right/>
      <top/>
      <bottom/>
      <diagonal/>
    </border>
    <border>
      <left/>
      <right/>
      <top/>
      <bottom style="thin">
        <color indexed="64"/>
      </bottom>
      <diagonal/>
    </border>
    <border>
      <left style="thin">
        <color indexed="64"/>
      </left>
      <right/>
      <top/>
      <bottom/>
      <diagonal/>
    </border>
    <border>
      <left style="thin">
        <color indexed="64"/>
      </left>
      <right/>
      <top/>
      <bottom style="thin">
        <color indexed="64"/>
      </bottom>
      <diagonal/>
    </border>
    <border>
      <left/>
      <right/>
      <top style="thin">
        <color theme="0"/>
      </top>
      <bottom style="thin">
        <color theme="0"/>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6">
    <xf numFmtId="0" fontId="0" fillId="0" borderId="0"/>
    <xf numFmtId="43" fontId="2" fillId="0" borderId="0" applyFont="0" applyFill="0" applyBorder="0" applyAlignment="0" applyProtection="0"/>
    <xf numFmtId="0" fontId="8" fillId="0" borderId="0"/>
    <xf numFmtId="44" fontId="2" fillId="0" borderId="0" applyFont="0" applyFill="0" applyBorder="0" applyAlignment="0" applyProtection="0"/>
    <xf numFmtId="9" fontId="2" fillId="0" borderId="0" applyFont="0" applyFill="0" applyBorder="0" applyAlignment="0" applyProtection="0"/>
    <xf numFmtId="0" fontId="12" fillId="0" borderId="0" applyNumberFormat="0" applyFill="0" applyBorder="0" applyAlignment="0" applyProtection="0"/>
  </cellStyleXfs>
  <cellXfs count="116">
    <xf numFmtId="0" fontId="0" fillId="0" borderId="0" xfId="0"/>
    <xf numFmtId="0" fontId="3" fillId="0" borderId="0" xfId="0" applyFont="1"/>
    <xf numFmtId="0" fontId="0" fillId="2" borderId="0" xfId="0" applyFill="1"/>
    <xf numFmtId="0" fontId="3" fillId="2" borderId="0" xfId="0" applyFont="1" applyFill="1"/>
    <xf numFmtId="165" fontId="0" fillId="0" borderId="0" xfId="0" applyNumberFormat="1"/>
    <xf numFmtId="0" fontId="3" fillId="3" borderId="0" xfId="0" applyFont="1" applyFill="1"/>
    <xf numFmtId="0" fontId="0" fillId="3" borderId="0" xfId="0" applyFill="1"/>
    <xf numFmtId="0" fontId="3" fillId="4" borderId="0" xfId="0" applyFont="1" applyFill="1"/>
    <xf numFmtId="0" fontId="0" fillId="4" borderId="0" xfId="0" applyFill="1"/>
    <xf numFmtId="0" fontId="3" fillId="5" borderId="0" xfId="0" applyFont="1" applyFill="1"/>
    <xf numFmtId="0" fontId="0" fillId="5" borderId="0" xfId="0" applyFill="1"/>
    <xf numFmtId="164" fontId="0" fillId="5" borderId="0" xfId="0" applyNumberFormat="1" applyFill="1"/>
    <xf numFmtId="0" fontId="3" fillId="6" borderId="0" xfId="0" applyFont="1" applyFill="1"/>
    <xf numFmtId="0" fontId="0" fillId="6" borderId="0" xfId="0" applyFill="1"/>
    <xf numFmtId="0" fontId="3" fillId="7" borderId="0" xfId="0" applyFont="1" applyFill="1"/>
    <xf numFmtId="0" fontId="0" fillId="7" borderId="0" xfId="0" applyFill="1"/>
    <xf numFmtId="0" fontId="3" fillId="8" borderId="0" xfId="0" applyFont="1" applyFill="1"/>
    <xf numFmtId="0" fontId="0" fillId="8" borderId="0" xfId="0" applyFill="1"/>
    <xf numFmtId="0" fontId="3" fillId="9" borderId="0" xfId="0" applyFont="1" applyFill="1"/>
    <xf numFmtId="0" fontId="0" fillId="9" borderId="0" xfId="0" applyFill="1"/>
    <xf numFmtId="164" fontId="0" fillId="9" borderId="0" xfId="0" applyNumberFormat="1" applyFill="1"/>
    <xf numFmtId="0" fontId="3" fillId="0" borderId="0" xfId="0" applyFont="1" applyAlignment="1">
      <alignment horizontal="center"/>
    </xf>
    <xf numFmtId="1" fontId="0" fillId="0" borderId="0" xfId="0" applyNumberFormat="1"/>
    <xf numFmtId="1" fontId="0" fillId="2" borderId="0" xfId="0" applyNumberFormat="1" applyFill="1"/>
    <xf numFmtId="0" fontId="0" fillId="10" borderId="0" xfId="0" applyFill="1"/>
    <xf numFmtId="1" fontId="0" fillId="10" borderId="0" xfId="0" applyNumberFormat="1" applyFill="1"/>
    <xf numFmtId="166" fontId="0" fillId="10" borderId="0" xfId="1" applyNumberFormat="1" applyFont="1" applyFill="1"/>
    <xf numFmtId="0" fontId="3" fillId="11" borderId="0" xfId="0" applyFont="1" applyFill="1"/>
    <xf numFmtId="0" fontId="0" fillId="0" borderId="0" xfId="0" applyFill="1"/>
    <xf numFmtId="1" fontId="0" fillId="0" borderId="0" xfId="0" applyNumberFormat="1" applyFill="1"/>
    <xf numFmtId="166" fontId="0" fillId="0" borderId="0" xfId="1" applyNumberFormat="1" applyFont="1" applyFill="1"/>
    <xf numFmtId="0" fontId="8" fillId="0" borderId="0" xfId="2"/>
    <xf numFmtId="164" fontId="0" fillId="3" borderId="0" xfId="0" applyNumberFormat="1" applyFill="1"/>
    <xf numFmtId="164" fontId="0" fillId="4" borderId="0" xfId="0" applyNumberFormat="1" applyFill="1"/>
    <xf numFmtId="164" fontId="0" fillId="6" borderId="0" xfId="0" applyNumberFormat="1" applyFill="1"/>
    <xf numFmtId="164" fontId="0" fillId="7" borderId="0" xfId="0" applyNumberFormat="1" applyFill="1"/>
    <xf numFmtId="164" fontId="0" fillId="0" borderId="0" xfId="0" applyNumberFormat="1" applyFill="1"/>
    <xf numFmtId="0" fontId="0" fillId="12" borderId="0" xfId="0" applyFill="1"/>
    <xf numFmtId="164" fontId="0" fillId="12" borderId="0" xfId="0" applyNumberFormat="1" applyFill="1"/>
    <xf numFmtId="43" fontId="0" fillId="10" borderId="0" xfId="1" applyNumberFormat="1" applyFont="1" applyFill="1"/>
    <xf numFmtId="167" fontId="0" fillId="10" borderId="0" xfId="1" applyNumberFormat="1" applyFont="1" applyFill="1"/>
    <xf numFmtId="43" fontId="0" fillId="0" borderId="0" xfId="0" applyNumberFormat="1"/>
    <xf numFmtId="43" fontId="0" fillId="2" borderId="0" xfId="0" applyNumberFormat="1" applyFill="1"/>
    <xf numFmtId="167" fontId="0" fillId="0" borderId="0" xfId="1" applyNumberFormat="1" applyFont="1" applyFill="1"/>
    <xf numFmtId="0" fontId="3" fillId="0" borderId="0" xfId="0" applyFont="1" applyFill="1"/>
    <xf numFmtId="43" fontId="0" fillId="0" borderId="0" xfId="0" applyNumberFormat="1" applyFill="1"/>
    <xf numFmtId="0" fontId="0" fillId="0" borderId="0" xfId="0" applyAlignment="1"/>
    <xf numFmtId="166" fontId="0" fillId="2" borderId="0" xfId="1" applyNumberFormat="1" applyFont="1" applyFill="1"/>
    <xf numFmtId="0" fontId="9" fillId="0" borderId="0" xfId="0" applyFont="1" applyAlignment="1">
      <alignment vertical="center"/>
    </xf>
    <xf numFmtId="0" fontId="10" fillId="0" borderId="0" xfId="0" applyFont="1" applyAlignment="1">
      <alignment horizontal="right" vertical="center"/>
    </xf>
    <xf numFmtId="0" fontId="10" fillId="0" borderId="0" xfId="0" applyFont="1" applyAlignment="1">
      <alignment horizontal="center" vertical="top"/>
    </xf>
    <xf numFmtId="5" fontId="9" fillId="15" borderId="4" xfId="0" applyNumberFormat="1" applyFont="1" applyFill="1" applyBorder="1"/>
    <xf numFmtId="166" fontId="0" fillId="2" borderId="0" xfId="0" applyNumberFormat="1" applyFill="1"/>
    <xf numFmtId="43" fontId="0" fillId="11" borderId="0" xfId="0" applyNumberFormat="1" applyFill="1"/>
    <xf numFmtId="0" fontId="10" fillId="2" borderId="0" xfId="0" applyFont="1" applyFill="1" applyAlignment="1">
      <alignment horizontal="right" vertical="center"/>
    </xf>
    <xf numFmtId="169" fontId="0" fillId="0" borderId="0" xfId="3" applyNumberFormat="1" applyFont="1"/>
    <xf numFmtId="169" fontId="0" fillId="2" borderId="0" xfId="3" applyNumberFormat="1" applyFont="1" applyFill="1"/>
    <xf numFmtId="169" fontId="0" fillId="8" borderId="0" xfId="3" applyNumberFormat="1" applyFont="1" applyFill="1"/>
    <xf numFmtId="43" fontId="0" fillId="9" borderId="0" xfId="0" applyNumberFormat="1" applyFill="1"/>
    <xf numFmtId="0" fontId="0" fillId="11" borderId="6" xfId="0" applyFill="1" applyBorder="1"/>
    <xf numFmtId="0" fontId="0" fillId="2" borderId="7" xfId="0" applyFill="1" applyBorder="1" applyAlignment="1">
      <alignment horizontal="right"/>
    </xf>
    <xf numFmtId="0" fontId="0" fillId="2" borderId="7" xfId="0" applyFill="1" applyBorder="1"/>
    <xf numFmtId="0" fontId="0" fillId="2" borderId="8" xfId="0" applyFill="1" applyBorder="1"/>
    <xf numFmtId="0" fontId="0" fillId="2" borderId="9" xfId="0" applyFill="1" applyBorder="1"/>
    <xf numFmtId="0" fontId="0" fillId="2" borderId="10" xfId="0" applyFill="1" applyBorder="1"/>
    <xf numFmtId="0" fontId="7" fillId="13" borderId="5" xfId="0" applyFont="1" applyFill="1" applyBorder="1"/>
    <xf numFmtId="0" fontId="0" fillId="13" borderId="6" xfId="0" applyFill="1" applyBorder="1"/>
    <xf numFmtId="0" fontId="3" fillId="13" borderId="7" xfId="0" applyFont="1" applyFill="1" applyBorder="1"/>
    <xf numFmtId="0" fontId="0" fillId="13" borderId="8" xfId="0" applyFill="1" applyBorder="1"/>
    <xf numFmtId="0" fontId="0" fillId="13" borderId="7" xfId="0" applyFill="1" applyBorder="1"/>
    <xf numFmtId="168" fontId="0" fillId="13" borderId="8" xfId="3" applyNumberFormat="1" applyFont="1" applyFill="1" applyBorder="1" applyAlignment="1"/>
    <xf numFmtId="0" fontId="7" fillId="13" borderId="7" xfId="0" applyFont="1" applyFill="1" applyBorder="1"/>
    <xf numFmtId="0" fontId="0" fillId="13" borderId="9" xfId="0" applyFill="1" applyBorder="1"/>
    <xf numFmtId="0" fontId="7" fillId="11" borderId="5" xfId="0" applyFont="1" applyFill="1" applyBorder="1"/>
    <xf numFmtId="0" fontId="0" fillId="11" borderId="11" xfId="0" applyFill="1" applyBorder="1"/>
    <xf numFmtId="0" fontId="0" fillId="2" borderId="0" xfId="0" applyFill="1" applyBorder="1"/>
    <xf numFmtId="0" fontId="0" fillId="2" borderId="0" xfId="0" applyFill="1" applyBorder="1" applyAlignment="1">
      <alignment horizontal="right"/>
    </xf>
    <xf numFmtId="0" fontId="0" fillId="2" borderId="12" xfId="0" applyFill="1" applyBorder="1"/>
    <xf numFmtId="0" fontId="3" fillId="2" borderId="0" xfId="0" applyFont="1" applyFill="1" applyBorder="1"/>
    <xf numFmtId="0" fontId="0" fillId="2" borderId="1" xfId="0" applyFill="1" applyBorder="1"/>
    <xf numFmtId="0" fontId="0" fillId="2" borderId="3" xfId="0" applyFill="1" applyBorder="1"/>
    <xf numFmtId="0" fontId="0" fillId="2" borderId="2" xfId="0" applyFill="1" applyBorder="1"/>
    <xf numFmtId="0" fontId="0" fillId="8" borderId="3" xfId="0" applyFill="1" applyBorder="1"/>
    <xf numFmtId="0" fontId="0" fillId="8" borderId="1" xfId="0" applyFill="1" applyBorder="1"/>
    <xf numFmtId="0" fontId="0" fillId="8" borderId="2" xfId="0" applyFill="1" applyBorder="1"/>
    <xf numFmtId="0" fontId="11" fillId="0" borderId="0" xfId="2" applyFont="1"/>
    <xf numFmtId="0" fontId="12" fillId="0" borderId="0" xfId="5"/>
    <xf numFmtId="168" fontId="0" fillId="13" borderId="8" xfId="3" applyNumberFormat="1" applyFont="1" applyFill="1" applyBorder="1"/>
    <xf numFmtId="168" fontId="0" fillId="13" borderId="10" xfId="3" applyNumberFormat="1" applyFont="1" applyFill="1" applyBorder="1"/>
    <xf numFmtId="11" fontId="0" fillId="13" borderId="8" xfId="0" applyNumberFormat="1" applyFill="1" applyBorder="1"/>
    <xf numFmtId="9" fontId="0" fillId="13" borderId="8" xfId="4" applyFont="1" applyFill="1" applyBorder="1"/>
    <xf numFmtId="0" fontId="0" fillId="14" borderId="8" xfId="0" applyFill="1" applyBorder="1"/>
    <xf numFmtId="2" fontId="0" fillId="0" borderId="0" xfId="0" applyNumberFormat="1" applyFill="1"/>
    <xf numFmtId="164" fontId="0" fillId="0" borderId="0" xfId="0" applyNumberFormat="1"/>
    <xf numFmtId="164" fontId="0" fillId="0" borderId="13" xfId="0" applyNumberFormat="1" applyBorder="1"/>
    <xf numFmtId="164" fontId="0" fillId="0" borderId="14" xfId="0" applyNumberFormat="1" applyBorder="1"/>
    <xf numFmtId="164" fontId="0" fillId="0" borderId="15" xfId="0" applyNumberFormat="1" applyBorder="1"/>
    <xf numFmtId="0" fontId="3" fillId="0" borderId="13" xfId="0" applyFont="1" applyBorder="1"/>
    <xf numFmtId="0" fontId="0" fillId="0" borderId="14" xfId="0" applyBorder="1"/>
    <xf numFmtId="0" fontId="0" fillId="0" borderId="14" xfId="0" applyFill="1" applyBorder="1"/>
    <xf numFmtId="166" fontId="0" fillId="9" borderId="0" xfId="0" applyNumberFormat="1" applyFill="1"/>
    <xf numFmtId="0" fontId="0" fillId="0" borderId="0" xfId="0" applyFill="1" applyBorder="1"/>
    <xf numFmtId="168" fontId="0" fillId="0" borderId="0" xfId="3" applyNumberFormat="1" applyFont="1" applyFill="1" applyBorder="1"/>
    <xf numFmtId="0" fontId="0" fillId="16" borderId="0" xfId="0" applyFill="1" applyBorder="1"/>
    <xf numFmtId="168" fontId="0" fillId="16" borderId="0" xfId="3" applyNumberFormat="1" applyFont="1" applyFill="1" applyBorder="1"/>
    <xf numFmtId="44" fontId="0" fillId="0" borderId="0" xfId="0" applyNumberFormat="1"/>
    <xf numFmtId="0" fontId="3" fillId="0" borderId="0" xfId="0" applyFont="1" applyAlignment="1">
      <alignment horizontal="center"/>
    </xf>
    <xf numFmtId="0" fontId="0" fillId="0" borderId="0" xfId="0" applyAlignment="1">
      <alignment wrapText="1"/>
    </xf>
    <xf numFmtId="0" fontId="3" fillId="0" borderId="0" xfId="0" applyFont="1" applyAlignment="1">
      <alignment wrapText="1"/>
    </xf>
    <xf numFmtId="0" fontId="14" fillId="0" borderId="0" xfId="0" applyFont="1" applyAlignment="1">
      <alignment wrapText="1"/>
    </xf>
    <xf numFmtId="0" fontId="3" fillId="2" borderId="0" xfId="0" applyFont="1" applyFill="1" applyAlignment="1">
      <alignment horizontal="center"/>
    </xf>
    <xf numFmtId="0" fontId="3" fillId="8" borderId="0" xfId="0" applyFont="1" applyFill="1" applyAlignment="1">
      <alignment horizontal="center"/>
    </xf>
    <xf numFmtId="0" fontId="3" fillId="11" borderId="7" xfId="0" applyFont="1" applyFill="1" applyBorder="1"/>
    <xf numFmtId="0" fontId="3" fillId="11" borderId="0" xfId="0" applyFont="1" applyFill="1" applyBorder="1"/>
    <xf numFmtId="0" fontId="0" fillId="11" borderId="8" xfId="0" applyFill="1" applyBorder="1"/>
    <xf numFmtId="0" fontId="0" fillId="0" borderId="0" xfId="0" applyFont="1" applyAlignment="1">
      <alignment wrapText="1"/>
    </xf>
  </cellXfs>
  <cellStyles count="6">
    <cellStyle name="Comma" xfId="1" builtinId="3"/>
    <cellStyle name="Currency" xfId="3" builtinId="4"/>
    <cellStyle name="Hyperlink" xfId="5" builtinId="8"/>
    <cellStyle name="Normal" xfId="0" builtinId="0"/>
    <cellStyle name="Normal 2" xfId="2" xr:uid="{00000000-0005-0000-0000-000004000000}"/>
    <cellStyle name="Percent" xfId="4" builtinId="5"/>
  </cellStyles>
  <dxfs count="0"/>
  <tableStyles count="0" defaultTableStyle="TableStyleMedium2" defaultPivotStyle="PivotStyleLight16"/>
  <colors>
    <mruColors>
      <color rgb="FFFF7E7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hyperlink" Target="https://starw1.ncuc.gov/NCUC/ViewFile.aspx?Id=bfb12788-90ea-4352-97d6-3f3a7134b5ad" TargetMode="Externa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hyperlink" Target="https://starw1.ncuc.gov/NCUC/ViewFile.aspx?Id=b05e0100-1874-4db0-89f3-958afd4617ce"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s://atb.nrel.gov/electricity/2024/data"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s://starw1.ncuc.gov/NCUC/ViewFile.aspx?Id=0ef8dbf4-5fd9-4441-9110-b5d778e7437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6068FE-0083-9D41-B467-6006E21671CD}">
  <dimension ref="A1:A28"/>
  <sheetViews>
    <sheetView tabSelected="1" zoomScale="110" zoomScaleNormal="110" workbookViewId="0">
      <selection activeCell="C12" sqref="C12"/>
    </sheetView>
  </sheetViews>
  <sheetFormatPr baseColWidth="10" defaultRowHeight="16" x14ac:dyDescent="0.2"/>
  <cols>
    <col min="1" max="1" width="111" customWidth="1"/>
  </cols>
  <sheetData>
    <row r="1" spans="1:1" x14ac:dyDescent="0.2">
      <c r="A1" s="107"/>
    </row>
    <row r="2" spans="1:1" ht="40" x14ac:dyDescent="0.25">
      <c r="A2" s="109" t="s">
        <v>109</v>
      </c>
    </row>
    <row r="3" spans="1:1" ht="19" x14ac:dyDescent="0.25">
      <c r="A3" s="109"/>
    </row>
    <row r="4" spans="1:1" ht="17" x14ac:dyDescent="0.2">
      <c r="A4" s="115" t="s">
        <v>118</v>
      </c>
    </row>
    <row r="5" spans="1:1" x14ac:dyDescent="0.2">
      <c r="A5" s="107"/>
    </row>
    <row r="6" spans="1:1" ht="17" x14ac:dyDescent="0.2">
      <c r="A6" s="108" t="s">
        <v>16</v>
      </c>
    </row>
    <row r="7" spans="1:1" ht="17" x14ac:dyDescent="0.2">
      <c r="A7" s="107" t="s">
        <v>121</v>
      </c>
    </row>
    <row r="8" spans="1:1" ht="17" x14ac:dyDescent="0.2">
      <c r="A8" s="107" t="s">
        <v>119</v>
      </c>
    </row>
    <row r="9" spans="1:1" ht="17" x14ac:dyDescent="0.2">
      <c r="A9" s="107" t="s">
        <v>120</v>
      </c>
    </row>
    <row r="10" spans="1:1" x14ac:dyDescent="0.2">
      <c r="A10" s="107"/>
    </row>
    <row r="11" spans="1:1" ht="17" x14ac:dyDescent="0.2">
      <c r="A11" s="108" t="s">
        <v>110</v>
      </c>
    </row>
    <row r="12" spans="1:1" ht="153" x14ac:dyDescent="0.2">
      <c r="A12" s="107" t="s">
        <v>122</v>
      </c>
    </row>
    <row r="13" spans="1:1" ht="34" x14ac:dyDescent="0.2">
      <c r="A13" s="107" t="s">
        <v>107</v>
      </c>
    </row>
    <row r="14" spans="1:1" ht="17" x14ac:dyDescent="0.2">
      <c r="A14" s="107" t="s">
        <v>108</v>
      </c>
    </row>
    <row r="15" spans="1:1" ht="34" x14ac:dyDescent="0.2">
      <c r="A15" s="107" t="s">
        <v>112</v>
      </c>
    </row>
    <row r="16" spans="1:1" ht="34" x14ac:dyDescent="0.2">
      <c r="A16" s="107" t="s">
        <v>103</v>
      </c>
    </row>
    <row r="17" spans="1:1" ht="17" x14ac:dyDescent="0.2">
      <c r="A17" s="107" t="s">
        <v>104</v>
      </c>
    </row>
    <row r="18" spans="1:1" ht="34" x14ac:dyDescent="0.2">
      <c r="A18" s="107" t="s">
        <v>105</v>
      </c>
    </row>
    <row r="19" spans="1:1" ht="33" customHeight="1" x14ac:dyDescent="0.2">
      <c r="A19" s="107" t="s">
        <v>116</v>
      </c>
    </row>
    <row r="20" spans="1:1" ht="34" x14ac:dyDescent="0.2">
      <c r="A20" s="107" t="s">
        <v>106</v>
      </c>
    </row>
    <row r="21" spans="1:1" x14ac:dyDescent="0.2">
      <c r="A21" s="107"/>
    </row>
    <row r="22" spans="1:1" x14ac:dyDescent="0.2">
      <c r="A22" s="107"/>
    </row>
    <row r="23" spans="1:1" x14ac:dyDescent="0.2">
      <c r="A23" s="107"/>
    </row>
    <row r="24" spans="1:1" x14ac:dyDescent="0.2">
      <c r="A24" s="107"/>
    </row>
    <row r="25" spans="1:1" x14ac:dyDescent="0.2">
      <c r="A25" s="107"/>
    </row>
    <row r="26" spans="1:1" x14ac:dyDescent="0.2">
      <c r="A26" s="107"/>
    </row>
    <row r="27" spans="1:1" x14ac:dyDescent="0.2">
      <c r="A27" s="107"/>
    </row>
    <row r="28" spans="1:1" x14ac:dyDescent="0.2">
      <c r="A28" s="107"/>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70"/>
  <sheetViews>
    <sheetView zoomScale="110" zoomScaleNormal="110" workbookViewId="0"/>
  </sheetViews>
  <sheetFormatPr baseColWidth="10" defaultColWidth="10.6640625" defaultRowHeight="16" x14ac:dyDescent="0.2"/>
  <cols>
    <col min="1" max="1" width="36.5" customWidth="1"/>
    <col min="2" max="2" width="13.33203125" bestFit="1" customWidth="1"/>
    <col min="4" max="4" width="16" customWidth="1"/>
    <col min="5" max="5" width="7.83203125" customWidth="1"/>
    <col min="6" max="6" width="29.5" bestFit="1" customWidth="1"/>
    <col min="7" max="7" width="13.5" customWidth="1"/>
    <col min="8" max="8" width="10.6640625" customWidth="1"/>
    <col min="9" max="9" width="12.83203125" bestFit="1" customWidth="1"/>
    <col min="10" max="10" width="18.1640625" customWidth="1"/>
    <col min="11" max="11" width="19.1640625" bestFit="1" customWidth="1"/>
    <col min="12" max="12" width="21.5" customWidth="1"/>
    <col min="13" max="13" width="17.1640625" bestFit="1" customWidth="1"/>
    <col min="14" max="14" width="17" bestFit="1" customWidth="1"/>
    <col min="15" max="15" width="15.5" bestFit="1" customWidth="1"/>
    <col min="16" max="18" width="17.6640625" bestFit="1" customWidth="1"/>
    <col min="19" max="19" width="18.6640625" bestFit="1" customWidth="1"/>
    <col min="20" max="20" width="22.6640625" bestFit="1" customWidth="1"/>
    <col min="21" max="21" width="23.6640625" bestFit="1" customWidth="1"/>
  </cols>
  <sheetData>
    <row r="1" spans="1:19" ht="19" x14ac:dyDescent="0.25">
      <c r="A1" s="65" t="s">
        <v>73</v>
      </c>
      <c r="B1" s="66"/>
      <c r="D1" s="73" t="s">
        <v>16</v>
      </c>
      <c r="E1" s="74"/>
      <c r="F1" s="74"/>
      <c r="G1" s="59"/>
      <c r="I1" s="28"/>
      <c r="J1" s="27" t="s">
        <v>81</v>
      </c>
    </row>
    <row r="2" spans="1:19" x14ac:dyDescent="0.2">
      <c r="A2" s="69" t="s">
        <v>95</v>
      </c>
      <c r="B2" s="89">
        <f>J42</f>
        <v>833823.80063518498</v>
      </c>
      <c r="D2" s="112" t="s">
        <v>37</v>
      </c>
      <c r="E2" s="113"/>
      <c r="F2" s="113" t="s">
        <v>56</v>
      </c>
      <c r="G2" s="114"/>
      <c r="I2" s="28"/>
      <c r="M2" s="46"/>
    </row>
    <row r="3" spans="1:19" x14ac:dyDescent="0.2">
      <c r="A3" s="69" t="s">
        <v>96</v>
      </c>
      <c r="B3" s="89">
        <f>J66</f>
        <v>1161982.1606351854</v>
      </c>
      <c r="D3" s="60" t="s">
        <v>78</v>
      </c>
      <c r="E3" s="76"/>
      <c r="F3" s="75" t="s">
        <v>31</v>
      </c>
      <c r="G3" s="62">
        <v>9270</v>
      </c>
      <c r="I3" s="28"/>
      <c r="J3" s="3" t="s">
        <v>22</v>
      </c>
      <c r="K3" s="2"/>
      <c r="L3" s="2"/>
      <c r="M3" s="2"/>
      <c r="N3" s="2"/>
      <c r="O3" s="2"/>
      <c r="P3" s="2"/>
      <c r="Q3" s="2"/>
      <c r="R3" s="2"/>
      <c r="S3" s="2"/>
    </row>
    <row r="4" spans="1:19" x14ac:dyDescent="0.2">
      <c r="A4" s="69" t="s">
        <v>97</v>
      </c>
      <c r="B4" s="90">
        <f>(B3-B2)/B2</f>
        <v>0.39355839896872463</v>
      </c>
      <c r="D4" s="61">
        <v>2030</v>
      </c>
      <c r="E4" s="75">
        <v>0.23</v>
      </c>
      <c r="F4" s="75" t="s">
        <v>32</v>
      </c>
      <c r="G4" s="62">
        <v>6490</v>
      </c>
      <c r="I4" s="28"/>
      <c r="J4" s="2" t="s">
        <v>102</v>
      </c>
      <c r="K4" s="2"/>
      <c r="L4" s="2"/>
      <c r="M4" s="2"/>
      <c r="N4" s="2"/>
      <c r="O4" s="2"/>
      <c r="P4" s="2"/>
      <c r="Q4" s="2"/>
      <c r="R4" s="2"/>
      <c r="S4" s="2"/>
    </row>
    <row r="5" spans="1:19" x14ac:dyDescent="0.2">
      <c r="A5" s="67" t="s">
        <v>59</v>
      </c>
      <c r="B5" s="68"/>
      <c r="D5" s="61">
        <v>2033</v>
      </c>
      <c r="E5" s="75">
        <v>0.04</v>
      </c>
      <c r="F5" s="75" t="s">
        <v>33</v>
      </c>
      <c r="G5" s="62">
        <v>0.4</v>
      </c>
      <c r="I5" s="28"/>
    </row>
    <row r="6" spans="1:19" x14ac:dyDescent="0.2">
      <c r="A6" s="69" t="s">
        <v>57</v>
      </c>
      <c r="B6" s="70">
        <f>N66-N42</f>
        <v>23.02576967151802</v>
      </c>
      <c r="D6" s="61">
        <v>2035</v>
      </c>
      <c r="E6" s="75">
        <v>0</v>
      </c>
      <c r="F6" s="75" t="s">
        <v>55</v>
      </c>
      <c r="G6" s="62">
        <f>G5*G3+(1-G5)*G4</f>
        <v>7602</v>
      </c>
      <c r="I6" s="28"/>
      <c r="J6" s="3" t="s">
        <v>60</v>
      </c>
      <c r="K6" s="2"/>
      <c r="L6" s="2"/>
      <c r="M6" s="2"/>
      <c r="N6" s="2"/>
      <c r="O6" s="2"/>
    </row>
    <row r="7" spans="1:19" x14ac:dyDescent="0.2">
      <c r="A7" s="69" t="s">
        <v>58</v>
      </c>
      <c r="B7" s="70">
        <f>M66-M42</f>
        <v>11.077092315785173</v>
      </c>
      <c r="C7" s="105"/>
      <c r="D7" s="61">
        <v>2038</v>
      </c>
      <c r="E7" s="75">
        <v>0</v>
      </c>
      <c r="F7" s="75"/>
      <c r="G7" s="62"/>
      <c r="I7" s="28"/>
      <c r="J7" s="79" t="s">
        <v>46</v>
      </c>
      <c r="K7" s="80" t="s">
        <v>49</v>
      </c>
      <c r="L7" s="80" t="s">
        <v>50</v>
      </c>
      <c r="M7" s="80" t="s">
        <v>48</v>
      </c>
      <c r="N7" s="80" t="s">
        <v>53</v>
      </c>
      <c r="O7" s="80" t="s">
        <v>82</v>
      </c>
    </row>
    <row r="8" spans="1:19" x14ac:dyDescent="0.2">
      <c r="A8" s="69" t="s">
        <v>62</v>
      </c>
      <c r="B8" s="87">
        <f>O66-O42</f>
        <v>14.085590684478433</v>
      </c>
      <c r="D8" s="61">
        <v>2042</v>
      </c>
      <c r="E8" s="75">
        <v>0</v>
      </c>
      <c r="F8" s="78" t="s">
        <v>80</v>
      </c>
      <c r="G8" s="62"/>
      <c r="I8" s="28"/>
      <c r="J8" s="2"/>
      <c r="K8" s="81" t="s">
        <v>47</v>
      </c>
      <c r="L8" s="81" t="s">
        <v>51</v>
      </c>
      <c r="M8" s="81" t="s">
        <v>52</v>
      </c>
      <c r="N8" s="81" t="s">
        <v>54</v>
      </c>
      <c r="O8" s="81"/>
    </row>
    <row r="9" spans="1:19" ht="19" x14ac:dyDescent="0.25">
      <c r="A9" s="71" t="s">
        <v>74</v>
      </c>
      <c r="B9" s="68"/>
      <c r="D9" s="61">
        <v>2045</v>
      </c>
      <c r="E9" s="75">
        <v>0</v>
      </c>
      <c r="F9" s="75" t="s">
        <v>99</v>
      </c>
      <c r="G9" s="62">
        <v>0.5</v>
      </c>
      <c r="I9" s="28"/>
    </row>
    <row r="10" spans="1:19" x14ac:dyDescent="0.2">
      <c r="A10" s="67" t="s">
        <v>79</v>
      </c>
      <c r="B10" s="68"/>
      <c r="D10" s="61">
        <v>2050</v>
      </c>
      <c r="E10" s="75">
        <v>0</v>
      </c>
      <c r="F10" s="75" t="s">
        <v>63</v>
      </c>
      <c r="G10" s="91">
        <v>0</v>
      </c>
      <c r="I10" s="28"/>
      <c r="J10" s="16" t="s">
        <v>86</v>
      </c>
      <c r="K10" s="17"/>
      <c r="L10" s="17"/>
      <c r="M10" s="17"/>
      <c r="N10" s="28"/>
      <c r="O10" s="28"/>
    </row>
    <row r="11" spans="1:19" x14ac:dyDescent="0.2">
      <c r="A11" s="69" t="s">
        <v>77</v>
      </c>
      <c r="B11" s="87">
        <f>R42-Q42</f>
        <v>74.258784906902505</v>
      </c>
      <c r="D11" s="61" t="s">
        <v>12</v>
      </c>
      <c r="E11" s="75">
        <v>0.85</v>
      </c>
      <c r="F11" s="75"/>
      <c r="G11" s="62"/>
      <c r="J11" s="83" t="s">
        <v>83</v>
      </c>
      <c r="K11" s="82" t="s">
        <v>84</v>
      </c>
      <c r="L11" s="83" t="s">
        <v>53</v>
      </c>
      <c r="M11" s="82" t="s">
        <v>82</v>
      </c>
      <c r="N11" s="28"/>
      <c r="O11" s="28"/>
    </row>
    <row r="12" spans="1:19" x14ac:dyDescent="0.2">
      <c r="A12" s="69" t="s">
        <v>76</v>
      </c>
      <c r="B12" s="87">
        <f>R42-P42</f>
        <v>123.60224981980217</v>
      </c>
      <c r="D12" s="61" t="s">
        <v>17</v>
      </c>
      <c r="E12" s="75">
        <v>0.27</v>
      </c>
      <c r="F12" s="75"/>
      <c r="G12" s="62"/>
      <c r="J12" s="17"/>
      <c r="K12" s="84" t="s">
        <v>29</v>
      </c>
      <c r="L12" s="17" t="s">
        <v>85</v>
      </c>
      <c r="M12" s="17"/>
      <c r="N12" s="28"/>
      <c r="O12" s="28"/>
    </row>
    <row r="13" spans="1:19" x14ac:dyDescent="0.2">
      <c r="A13" s="67" t="s">
        <v>75</v>
      </c>
      <c r="B13" s="87"/>
      <c r="D13" s="61" t="s">
        <v>13</v>
      </c>
      <c r="E13" s="75">
        <v>0.23</v>
      </c>
      <c r="F13" s="75"/>
      <c r="G13" s="62"/>
    </row>
    <row r="14" spans="1:19" x14ac:dyDescent="0.2">
      <c r="A14" s="69" t="s">
        <v>77</v>
      </c>
      <c r="B14" s="87">
        <f>R66-Q66</f>
        <v>74.431151414150705</v>
      </c>
      <c r="D14" s="61" t="s">
        <v>18</v>
      </c>
      <c r="E14" s="75">
        <v>0.4</v>
      </c>
      <c r="F14" s="75"/>
      <c r="G14" s="62"/>
      <c r="K14" s="41"/>
    </row>
    <row r="15" spans="1:19" ht="17" thickBot="1" x14ac:dyDescent="0.25">
      <c r="A15" s="72" t="s">
        <v>76</v>
      </c>
      <c r="B15" s="88">
        <f>R66-P66</f>
        <v>123.86101933874642</v>
      </c>
      <c r="D15" s="63" t="s">
        <v>27</v>
      </c>
      <c r="E15" s="77">
        <v>0.8</v>
      </c>
      <c r="F15" s="77"/>
      <c r="G15" s="64"/>
    </row>
    <row r="16" spans="1:19" x14ac:dyDescent="0.2">
      <c r="A16" s="101"/>
      <c r="B16" s="102"/>
    </row>
    <row r="17" spans="1:18" x14ac:dyDescent="0.2">
      <c r="A17" s="103" t="s">
        <v>101</v>
      </c>
      <c r="B17" s="104"/>
    </row>
    <row r="18" spans="1:18" x14ac:dyDescent="0.2">
      <c r="A18" s="103" t="s">
        <v>100</v>
      </c>
      <c r="B18" s="104"/>
    </row>
    <row r="19" spans="1:18" x14ac:dyDescent="0.2">
      <c r="A19" s="28"/>
      <c r="B19" s="28"/>
      <c r="M19" s="110" t="s">
        <v>111</v>
      </c>
      <c r="N19" s="110"/>
      <c r="O19" s="110"/>
      <c r="P19" s="111" t="s">
        <v>86</v>
      </c>
      <c r="Q19" s="111"/>
      <c r="R19" s="111"/>
    </row>
    <row r="20" spans="1:18" x14ac:dyDescent="0.2">
      <c r="A20" s="1" t="s">
        <v>6</v>
      </c>
      <c r="B20" s="1" t="s">
        <v>0</v>
      </c>
      <c r="C20" s="1" t="s">
        <v>28</v>
      </c>
      <c r="D20" s="1" t="s">
        <v>2</v>
      </c>
      <c r="E20" s="1" t="s">
        <v>17</v>
      </c>
      <c r="F20" s="1" t="s">
        <v>23</v>
      </c>
      <c r="G20" s="1" t="s">
        <v>27</v>
      </c>
      <c r="H20" s="1" t="s">
        <v>13</v>
      </c>
      <c r="I20" s="1" t="s">
        <v>18</v>
      </c>
      <c r="J20" s="1" t="s">
        <v>24</v>
      </c>
      <c r="K20" s="1" t="s">
        <v>25</v>
      </c>
      <c r="L20" s="1" t="s">
        <v>43</v>
      </c>
      <c r="M20" s="3" t="s">
        <v>44</v>
      </c>
      <c r="N20" s="3" t="s">
        <v>45</v>
      </c>
      <c r="O20" s="3" t="s">
        <v>61</v>
      </c>
      <c r="P20" s="16" t="s">
        <v>66</v>
      </c>
      <c r="Q20" s="16" t="s">
        <v>67</v>
      </c>
      <c r="R20" s="16" t="s">
        <v>68</v>
      </c>
    </row>
    <row r="21" spans="1:18" x14ac:dyDescent="0.2">
      <c r="A21" s="24" t="s">
        <v>4</v>
      </c>
      <c r="B21" s="24">
        <v>2030</v>
      </c>
      <c r="C21" s="25">
        <f>Load!D12</f>
        <v>195567</v>
      </c>
      <c r="D21" s="26">
        <f>8760*('Existing Capacity'!B$6+'PS Relative Buildout- All Yrs'!C28)*E$4</f>
        <v>13962.564000000002</v>
      </c>
      <c r="E21" s="26">
        <f>8760*('Existing Capacity'!C$6+'PS Relative Buildout- All Yrs'!D28)*E$12</f>
        <v>23618.887200000001</v>
      </c>
      <c r="F21" s="26">
        <f>8760*('Existing Capacity'!D$6+'PS Relative Buildout- All Yrs'!I28)*Main!E$11</f>
        <v>80215.758000000002</v>
      </c>
      <c r="G21" s="26">
        <f>8760*'Existing Capacity'!G$6*Main!E$15</f>
        <v>9005.2799999999988</v>
      </c>
      <c r="H21" s="26">
        <f>8760*('Existing Capacity'!H$6+'PS Relative Buildout- All Yrs'!J28)*E$13</f>
        <v>0</v>
      </c>
      <c r="I21" s="26">
        <f>8760*('Existing Capacity'!$I$6+'PS Relative Buildout- All Yrs'!K28)*E$14</f>
        <v>0</v>
      </c>
      <c r="J21" s="26">
        <f>C21-SUM(D21:I21)</f>
        <v>68764.510799999989</v>
      </c>
      <c r="K21" s="40">
        <f>J21/((SUM('Existing Capacity'!E$6:F$6)+SUM('PS Relative Buildout- All Yrs'!F28:G28))*8760)</f>
        <v>0.63172621921776917</v>
      </c>
      <c r="L21" s="4">
        <f>1/(1+$G$10)^(B21-2025)</f>
        <v>1</v>
      </c>
      <c r="M21" s="56">
        <f>J21*$G$6*'Projected NG Prices'!B11*L21</f>
        <v>1479440390.0878863</v>
      </c>
      <c r="N21" s="56">
        <f>J21*$G$6*'Projected NG Prices'!D11*L21</f>
        <v>3325078896.5341697</v>
      </c>
      <c r="O21" s="56">
        <f>J21*$G$6*'Projected NG Prices'!C11*L21</f>
        <v>2226484547.4589996</v>
      </c>
      <c r="P21" s="57">
        <f>'PS Relative Buildout- All Yrs'!$M28*(Main!$G$9*'Nuclear Capex'!J7+(1-Main!$G$9)*'Nuclear Capex'!M7)*Main!$L21*1000000</f>
        <v>0</v>
      </c>
      <c r="Q21" s="57">
        <f>'PS Relative Buildout- All Yrs'!$M28*(Main!$G$9*'Nuclear Capex'!K7+(1-Main!$G$9)*'Nuclear Capex'!N7)*Main!$L21*1000000</f>
        <v>0</v>
      </c>
      <c r="R21" s="57">
        <f>'PS Relative Buildout- All Yrs'!$M28*(Main!$G$9*'Nuclear Capex'!L7+(1-Main!$G$9)*'Nuclear Capex'!O7)*Main!$L21*1000000</f>
        <v>0</v>
      </c>
    </row>
    <row r="22" spans="1:18" x14ac:dyDescent="0.2">
      <c r="A22" s="24" t="s">
        <v>4</v>
      </c>
      <c r="B22" s="24">
        <v>2031</v>
      </c>
      <c r="C22" s="25">
        <f>Load!D13</f>
        <v>199666</v>
      </c>
      <c r="D22" s="26">
        <f>8760*('Existing Capacity'!B$6+'PS Relative Buildout- All Yrs'!C29)*E$4</f>
        <v>12283.564000000002</v>
      </c>
      <c r="E22" s="26">
        <f>8760*('Existing Capacity'!C$6+'PS Relative Buildout- All Yrs'!D29)*E$12</f>
        <v>29295.367199999997</v>
      </c>
      <c r="F22" s="26">
        <f>8760*('Existing Capacity'!D$6+'PS Relative Buildout- All Yrs'!I29)*Main!E$11</f>
        <v>80215.758000000002</v>
      </c>
      <c r="G22" s="26">
        <f>8760*'Existing Capacity'!G$6*Main!E$15</f>
        <v>9005.2799999999988</v>
      </c>
      <c r="H22" s="26">
        <f>8760*('Existing Capacity'!H$6+'PS Relative Buildout- All Yrs'!J29)*E$13</f>
        <v>1208.8800000000001</v>
      </c>
      <c r="I22" s="26">
        <f>8760*('Existing Capacity'!$I$6+'PS Relative Buildout- All Yrs'!K29)*E$14</f>
        <v>3854.3999999999996</v>
      </c>
      <c r="J22" s="26">
        <f t="shared" ref="J22:J41" si="0">C22-SUM(D22:I22)</f>
        <v>63802.750800000009</v>
      </c>
      <c r="K22" s="40">
        <f>J22/((SUM('Existing Capacity'!E$6:F$6)+SUM('PS Relative Buildout- All Yrs'!F29:G29))*8760)</f>
        <v>0.53980574937713521</v>
      </c>
      <c r="L22" s="4">
        <f t="shared" ref="L22:L41" si="1">1/(1+$G$10)^(B22-2025)</f>
        <v>1</v>
      </c>
      <c r="M22" s="56">
        <f>J22*$G$6*'Projected NG Prices'!B12*L22</f>
        <v>1671691962.8591712</v>
      </c>
      <c r="N22" s="56">
        <f>J22*$G$6*'Projected NG Prices'!D12*L22</f>
        <v>3356974917.2863073</v>
      </c>
      <c r="O22" s="56">
        <f>J22*$G$6*'Projected NG Prices'!C12*L22</f>
        <v>2065830718.3300335</v>
      </c>
      <c r="P22" s="57">
        <f>'PS Relative Buildout- All Yrs'!$M29*(Main!$G$9*'Nuclear Capex'!J8+(1-Main!$G$9)*'Nuclear Capex'!M8)*Main!$L22*1000000</f>
        <v>0</v>
      </c>
      <c r="Q22" s="57">
        <f>'PS Relative Buildout- All Yrs'!$M29*(Main!$G$9*'Nuclear Capex'!K8+(1-Main!$G$9)*'Nuclear Capex'!N8)*Main!$L22*1000000</f>
        <v>0</v>
      </c>
      <c r="R22" s="57">
        <f>'PS Relative Buildout- All Yrs'!$M29*(Main!$G$9*'Nuclear Capex'!L8+(1-Main!$G$9)*'Nuclear Capex'!O8)*Main!$L22*1000000</f>
        <v>0</v>
      </c>
    </row>
    <row r="23" spans="1:18" x14ac:dyDescent="0.2">
      <c r="A23" s="24" t="s">
        <v>4</v>
      </c>
      <c r="B23" s="24">
        <v>2032</v>
      </c>
      <c r="C23" s="25">
        <f>Load!D14</f>
        <v>202186</v>
      </c>
      <c r="D23" s="26">
        <f>8760*('Existing Capacity'!B$6+'PS Relative Buildout- All Yrs'!C30)*E$4</f>
        <v>10604.564</v>
      </c>
      <c r="E23" s="26">
        <f>8760*('Existing Capacity'!C$6+'PS Relative Buildout- All Yrs'!D30)*E$12</f>
        <v>34971.847200000004</v>
      </c>
      <c r="F23" s="26">
        <f>8760*('Existing Capacity'!D$6+'PS Relative Buildout- All Yrs'!I30)*Main!E$11</f>
        <v>80215.758000000002</v>
      </c>
      <c r="G23" s="26">
        <f>8760*'Existing Capacity'!G$6*Main!E$15</f>
        <v>9005.2799999999988</v>
      </c>
      <c r="H23" s="26">
        <f>8760*('Existing Capacity'!H$6+'PS Relative Buildout- All Yrs'!J30)*E$13</f>
        <v>2417.7600000000002</v>
      </c>
      <c r="I23" s="26">
        <f>8760*('Existing Capacity'!$I$6+'PS Relative Buildout- All Yrs'!K30)*E$14</f>
        <v>7708.7999999999993</v>
      </c>
      <c r="J23" s="26">
        <f t="shared" si="0"/>
        <v>57261.9908</v>
      </c>
      <c r="K23" s="40">
        <f>J23/((SUM('Existing Capacity'!E$6:F$6)+SUM('PS Relative Buildout- All Yrs'!F30:G30))*8760)</f>
        <v>0.44897364398364875</v>
      </c>
      <c r="L23" s="4">
        <f t="shared" si="1"/>
        <v>1</v>
      </c>
      <c r="M23" s="56">
        <f>J23*$G$6*'Projected NG Prices'!B13*L23</f>
        <v>1683283509.9264634</v>
      </c>
      <c r="N23" s="56">
        <f>J23*$G$6*'Projected NG Prices'!D13*L23</f>
        <v>3268985367.1035714</v>
      </c>
      <c r="O23" s="56">
        <f>J23*$G$6*'Projected NG Prices'!C13*L23</f>
        <v>1915039935.2061963</v>
      </c>
      <c r="P23" s="57">
        <f>'PS Relative Buildout- All Yrs'!$M30*(Main!$G$9*'Nuclear Capex'!J9+(1-Main!$G$9)*'Nuclear Capex'!M9)*Main!$L23*1000000</f>
        <v>0</v>
      </c>
      <c r="Q23" s="57">
        <f>'PS Relative Buildout- All Yrs'!$M30*(Main!$G$9*'Nuclear Capex'!K9+(1-Main!$G$9)*'Nuclear Capex'!N9)*Main!$L23*1000000</f>
        <v>0</v>
      </c>
      <c r="R23" s="57">
        <f>'PS Relative Buildout- All Yrs'!$M30*(Main!$G$9*'Nuclear Capex'!L9+(1-Main!$G$9)*'Nuclear Capex'!O9)*Main!$L23*1000000</f>
        <v>0</v>
      </c>
    </row>
    <row r="24" spans="1:18" x14ac:dyDescent="0.2">
      <c r="A24" s="24" t="s">
        <v>4</v>
      </c>
      <c r="B24" s="24">
        <v>2033</v>
      </c>
      <c r="C24" s="25">
        <f>Load!D15</f>
        <v>205776</v>
      </c>
      <c r="D24" s="26">
        <f>8760*('Existing Capacity'!B$6+'PS Relative Buildout- All Yrs'!C31)*E$5</f>
        <v>1552.2720000000002</v>
      </c>
      <c r="E24" s="26">
        <f>8760*('Existing Capacity'!C$6+'PS Relative Buildout- All Yrs'!D31)*E$12</f>
        <v>40648.3272</v>
      </c>
      <c r="F24" s="26">
        <f>8760*('Existing Capacity'!D$6+'PS Relative Buildout- All Yrs'!I31)*Main!E$11</f>
        <v>80215.758000000002</v>
      </c>
      <c r="G24" s="26">
        <f>8760*'Existing Capacity'!G$6*Main!E$15</f>
        <v>9005.2799999999988</v>
      </c>
      <c r="H24" s="26">
        <f>8760*('Existing Capacity'!H$6+'PS Relative Buildout- All Yrs'!J31)*E$13</f>
        <v>3626.6400000000003</v>
      </c>
      <c r="I24" s="26">
        <f>8760*('Existing Capacity'!$I$6+'PS Relative Buildout- All Yrs'!K31)*E$14</f>
        <v>11563.2</v>
      </c>
      <c r="J24" s="26">
        <f t="shared" si="0"/>
        <v>59164.522799999977</v>
      </c>
      <c r="K24" s="40">
        <f>J24/((SUM('Existing Capacity'!E$6:F$6)+SUM('PS Relative Buildout- All Yrs'!F31:G31))*8760)</f>
        <v>0.43222455899808704</v>
      </c>
      <c r="L24" s="4">
        <f t="shared" si="1"/>
        <v>1</v>
      </c>
      <c r="M24" s="56">
        <f>J24*$G$6*'Projected NG Prices'!B14*L24</f>
        <v>1827431505.0707347</v>
      </c>
      <c r="N24" s="56">
        <f>J24*$G$6*'Projected NG Prices'!D14*L24</f>
        <v>3528833251.1710801</v>
      </c>
      <c r="O24" s="56">
        <f>J24*$G$6*'Projected NG Prices'!C14*L24</f>
        <v>2079491023.0115275</v>
      </c>
      <c r="P24" s="57">
        <f>'PS Relative Buildout- All Yrs'!$M31*(Main!$G$9*'Nuclear Capex'!J10+(1-Main!$G$9)*'Nuclear Capex'!M10)*Main!$L24*1000000</f>
        <v>0</v>
      </c>
      <c r="Q24" s="57">
        <f>'PS Relative Buildout- All Yrs'!$M31*(Main!$G$9*'Nuclear Capex'!K10+(1-Main!$G$9)*'Nuclear Capex'!N10)*Main!$L24*1000000</f>
        <v>0</v>
      </c>
      <c r="R24" s="57">
        <f>'PS Relative Buildout- All Yrs'!$M31*(Main!$G$9*'Nuclear Capex'!L10+(1-Main!$G$9)*'Nuclear Capex'!O10)*Main!$L24*1000000</f>
        <v>0</v>
      </c>
    </row>
    <row r="25" spans="1:18" x14ac:dyDescent="0.2">
      <c r="A25" s="24" t="s">
        <v>4</v>
      </c>
      <c r="B25" s="24">
        <v>2034</v>
      </c>
      <c r="C25" s="25">
        <f>Load!D16</f>
        <v>208139</v>
      </c>
      <c r="D25" s="26">
        <f>8760*('Existing Capacity'!B$6+'PS Relative Buildout- All Yrs'!C32)*E$5</f>
        <v>1306.9920000000002</v>
      </c>
      <c r="E25" s="26">
        <f>8760*('Existing Capacity'!C$6+'PS Relative Buildout- All Yrs'!D32)*E$12</f>
        <v>43723.087200000009</v>
      </c>
      <c r="F25" s="26">
        <f>8760*('Existing Capacity'!D$6+'PS Relative Buildout- All Yrs'!I32)*Main!E$11</f>
        <v>82449.558000000005</v>
      </c>
      <c r="G25" s="26">
        <f>8760*'Existing Capacity'!G$6*Main!E$15</f>
        <v>9005.2799999999988</v>
      </c>
      <c r="H25" s="26">
        <f>8760*('Existing Capacity'!H$6+'PS Relative Buildout- All Yrs'!J32)*E$13</f>
        <v>4130.34</v>
      </c>
      <c r="I25" s="26">
        <f>8760*('Existing Capacity'!$I$6+'PS Relative Buildout- All Yrs'!K32)*E$14</f>
        <v>13490.400000000001</v>
      </c>
      <c r="J25" s="26">
        <f t="shared" si="0"/>
        <v>54033.342799999984</v>
      </c>
      <c r="K25" s="40">
        <f>J25/((SUM('Existing Capacity'!E$6:F$6)+SUM('PS Relative Buildout- All Yrs'!F32:G32))*8760)</f>
        <v>0.36334765653579154</v>
      </c>
      <c r="L25" s="4">
        <f t="shared" si="1"/>
        <v>1</v>
      </c>
      <c r="M25" s="56">
        <f>J25*$G$6*'Projected NG Prices'!B15*L25</f>
        <v>1703473144.6839581</v>
      </c>
      <c r="N25" s="56">
        <f>J25*$G$6*'Projected NG Prices'!D15*L25</f>
        <v>3418456243.0482121</v>
      </c>
      <c r="O25" s="56">
        <f>J25*$G$6*'Projected NG Prices'!C15*L25</f>
        <v>2060281708.7731647</v>
      </c>
      <c r="P25" s="57">
        <f>'PS Relative Buildout- All Yrs'!$M32*(Main!$G$9*'Nuclear Capex'!J11+(1-Main!$G$9)*'Nuclear Capex'!M11)*Main!$L25*1000000</f>
        <v>1939859195.2631681</v>
      </c>
      <c r="Q25" s="57">
        <f>'PS Relative Buildout- All Yrs'!$M32*(Main!$G$9*'Nuclear Capex'!K11+(1-Main!$G$9)*'Nuclear Capex'!N11)*Main!$L25*1000000</f>
        <v>3142267156.2748947</v>
      </c>
      <c r="R25" s="57">
        <f>'PS Relative Buildout- All Yrs'!$M32*(Main!$G$9*'Nuclear Capex'!L11+(1-Main!$G$9)*'Nuclear Capex'!O11)*Main!$L25*1000000</f>
        <v>4844630143.2629385</v>
      </c>
    </row>
    <row r="26" spans="1:18" x14ac:dyDescent="0.2">
      <c r="A26" s="24" t="s">
        <v>4</v>
      </c>
      <c r="B26" s="24">
        <v>2035</v>
      </c>
      <c r="C26" s="25">
        <f>Load!D17</f>
        <v>210985</v>
      </c>
      <c r="D26" s="26">
        <f>8760*('Existing Capacity'!B$6+'PS Relative Buildout- All Yrs'!C33)*E$6</f>
        <v>0</v>
      </c>
      <c r="E26" s="26">
        <f>8760*('Existing Capacity'!C$6+'PS Relative Buildout- All Yrs'!D33)*E$12</f>
        <v>46797.847200000004</v>
      </c>
      <c r="F26" s="26">
        <f>8760*('Existing Capacity'!D$6+'PS Relative Buildout- All Yrs'!I33)*Main!E$11</f>
        <v>84683.357999999993</v>
      </c>
      <c r="G26" s="26">
        <f>8760*'Existing Capacity'!G$6*Main!E$15</f>
        <v>9005.2799999999988</v>
      </c>
      <c r="H26" s="26">
        <f>8760*('Existing Capacity'!H$6+'PS Relative Buildout- All Yrs'!J33)*E$13</f>
        <v>4634.04</v>
      </c>
      <c r="I26" s="26">
        <f>8760*('Existing Capacity'!$I$6+'PS Relative Buildout- All Yrs'!K33)*E$14</f>
        <v>15417.6</v>
      </c>
      <c r="J26" s="26">
        <f>C26-SUM(D26:I26)</f>
        <v>50446.874799999991</v>
      </c>
      <c r="K26" s="40">
        <f>J26/((SUM('Existing Capacity'!E$6:F$6)+SUM('PS Relative Buildout- All Yrs'!F33:G33))*8760)</f>
        <v>0.31424073240753331</v>
      </c>
      <c r="L26" s="4">
        <f t="shared" si="1"/>
        <v>1</v>
      </c>
      <c r="M26" s="56">
        <f>J26*$G$6*'Projected NG Prices'!B16*L26</f>
        <v>1633388878.9884157</v>
      </c>
      <c r="N26" s="56">
        <f>J26*$G$6*'Projected NG Prices'!D16*L26</f>
        <v>3309761675.8449531</v>
      </c>
      <c r="O26" s="56">
        <f>J26*$G$6*'Projected NG Prices'!C16*L26</f>
        <v>2020244139.8014627</v>
      </c>
      <c r="P26" s="57">
        <f>'PS Relative Buildout- All Yrs'!$M33*(Main!$G$9*'Nuclear Capex'!J12+(1-Main!$G$9)*'Nuclear Capex'!M12)*Main!$L26*1000000</f>
        <v>1819206197.0673831</v>
      </c>
      <c r="Q26" s="57">
        <f>'PS Relative Buildout- All Yrs'!$M33*(Main!$G$9*'Nuclear Capex'!K12+(1-Main!$G$9)*'Nuclear Capex'!N12)*Main!$L26*1000000</f>
        <v>3133459763.5600319</v>
      </c>
      <c r="R26" s="57">
        <f>'PS Relative Buildout- All Yrs'!$M33*(Main!$G$9*'Nuclear Capex'!L12+(1-Main!$G$9)*'Nuclear Capex'!O12)*Main!$L26*1000000</f>
        <v>4939783906.6150312</v>
      </c>
    </row>
    <row r="27" spans="1:18" x14ac:dyDescent="0.2">
      <c r="A27" s="24" t="s">
        <v>4</v>
      </c>
      <c r="B27" s="24">
        <v>2036</v>
      </c>
      <c r="C27" s="25">
        <f>Load!D18</f>
        <v>213960</v>
      </c>
      <c r="D27" s="26">
        <f>8760*('Existing Capacity'!B$6+'PS Relative Buildout- All Yrs'!C34)*E$6</f>
        <v>0</v>
      </c>
      <c r="E27" s="26">
        <f>8760*('Existing Capacity'!C$6+'PS Relative Buildout- All Yrs'!D34)*E$12</f>
        <v>49320.727200000008</v>
      </c>
      <c r="F27" s="26">
        <f>8760*('Existing Capacity'!D$6+'PS Relative Buildout- All Yrs'!I34)*Main!E$11</f>
        <v>88406.357999999993</v>
      </c>
      <c r="G27" s="26">
        <f>8760*'Existing Capacity'!G$6*Main!E$15</f>
        <v>9005.2799999999988</v>
      </c>
      <c r="H27" s="26">
        <f>8760*('Existing Capacity'!H$6+'PS Relative Buildout- All Yrs'!J34)*E$13</f>
        <v>4634.04</v>
      </c>
      <c r="I27" s="26">
        <f>8760*('Existing Capacity'!$I$6+'PS Relative Buildout- All Yrs'!K34)*E$14</f>
        <v>15417.6</v>
      </c>
      <c r="J27" s="26">
        <f t="shared" si="0"/>
        <v>47175.994799999986</v>
      </c>
      <c r="K27" s="40">
        <f>J27/((SUM('Existing Capacity'!E$6:F$6)+SUM('PS Relative Buildout- All Yrs'!F34:G34))*8760)</f>
        <v>0.29386595734184073</v>
      </c>
      <c r="L27" s="4">
        <f t="shared" si="1"/>
        <v>1</v>
      </c>
      <c r="M27" s="56">
        <f>J27*$G$6*'Projected NG Prices'!B17*L27</f>
        <v>1537532262.2164285</v>
      </c>
      <c r="N27" s="56">
        <f>J27*$G$6*'Projected NG Prices'!D17*L27</f>
        <v>3235852211.984901</v>
      </c>
      <c r="O27" s="56">
        <f>J27*$G$6*'Projected NG Prices'!C17*L27</f>
        <v>1959599942.0405436</v>
      </c>
      <c r="P27" s="57">
        <f>'PS Relative Buildout- All Yrs'!$M34*(Main!$G$9*'Nuclear Capex'!J13+(1-Main!$G$9)*'Nuclear Capex'!M13)*Main!$L27*1000000</f>
        <v>2961639814.691391</v>
      </c>
      <c r="Q27" s="57">
        <f>'PS Relative Buildout- All Yrs'!$M34*(Main!$G$9*'Nuclear Capex'!K13+(1-Main!$G$9)*'Nuclear Capex'!N13)*Main!$L27*1000000</f>
        <v>5178798541.1772413</v>
      </c>
      <c r="R27" s="57">
        <f>'PS Relative Buildout- All Yrs'!$M34*(Main!$G$9*'Nuclear Capex'!L13+(1-Main!$G$9)*'Nuclear Capex'!O13)*Main!$L27*1000000</f>
        <v>8279111535.8098364</v>
      </c>
    </row>
    <row r="28" spans="1:18" x14ac:dyDescent="0.2">
      <c r="A28" s="24" t="s">
        <v>4</v>
      </c>
      <c r="B28" s="24">
        <v>2037</v>
      </c>
      <c r="C28" s="25">
        <f>Load!D19</f>
        <v>216729</v>
      </c>
      <c r="D28" s="26">
        <f>8760*('Existing Capacity'!B$6+'PS Relative Buildout- All Yrs'!C35)*E$6</f>
        <v>0</v>
      </c>
      <c r="E28" s="26">
        <f>8760*('Existing Capacity'!C$6+'PS Relative Buildout- All Yrs'!D35)*E$12</f>
        <v>51843.607200000006</v>
      </c>
      <c r="F28" s="26">
        <f>8760*('Existing Capacity'!D$6+'PS Relative Buildout- All Yrs'!I35)*Main!E$11</f>
        <v>92129.357999999993</v>
      </c>
      <c r="G28" s="26">
        <f>8760*'Existing Capacity'!G$6*Main!E$15</f>
        <v>9005.2799999999988</v>
      </c>
      <c r="H28" s="26">
        <f>8760*('Existing Capacity'!H$6+'PS Relative Buildout- All Yrs'!J35)*E$13</f>
        <v>4634.04</v>
      </c>
      <c r="I28" s="26">
        <f>8760*('Existing Capacity'!$I$6+'PS Relative Buildout- All Yrs'!K35)*E$14</f>
        <v>15417.6</v>
      </c>
      <c r="J28" s="26">
        <f t="shared" si="0"/>
        <v>43699.114799999981</v>
      </c>
      <c r="K28" s="40">
        <f>J28/((SUM('Existing Capacity'!E$6:F$6)+SUM('PS Relative Buildout- All Yrs'!F35:G35))*8760)</f>
        <v>0.27220797908204364</v>
      </c>
      <c r="L28" s="4">
        <f t="shared" si="1"/>
        <v>1</v>
      </c>
      <c r="M28" s="56">
        <f>J28*$G$6*'Projected NG Prices'!B18*L28</f>
        <v>1461450236.1164868</v>
      </c>
      <c r="N28" s="56">
        <f>J28*$G$6*'Projected NG Prices'!D18*L28</f>
        <v>3081146676.1436787</v>
      </c>
      <c r="O28" s="56">
        <f>J28*$G$6*'Projected NG Prices'!C18*L28</f>
        <v>1871028646.2383051</v>
      </c>
      <c r="P28" s="57">
        <f>'PS Relative Buildout- All Yrs'!$M35*(Main!$G$9*'Nuclear Capex'!J14+(1-Main!$G$9)*'Nuclear Capex'!M14)*Main!$L28*1000000</f>
        <v>2885855768.7941527</v>
      </c>
      <c r="Q28" s="57">
        <f>'PS Relative Buildout- All Yrs'!$M35*(Main!$G$9*'Nuclear Capex'!K14+(1-Main!$G$9)*'Nuclear Capex'!N14)*Main!$L28*1000000</f>
        <v>5129718402.5962486</v>
      </c>
      <c r="R28" s="57">
        <f>'PS Relative Buildout- All Yrs'!$M35*(Main!$G$9*'Nuclear Capex'!L14+(1-Main!$G$9)*'Nuclear Capex'!O14)*Main!$L28*1000000</f>
        <v>8322411203.5977993</v>
      </c>
    </row>
    <row r="29" spans="1:18" x14ac:dyDescent="0.2">
      <c r="A29" s="24" t="s">
        <v>4</v>
      </c>
      <c r="B29" s="24">
        <v>2038</v>
      </c>
      <c r="C29" s="25">
        <f>Load!D20</f>
        <v>219625</v>
      </c>
      <c r="D29" s="26">
        <f>8760*('Existing Capacity'!B$6+'PS Relative Buildout- All Yrs'!C36)*E$6</f>
        <v>0</v>
      </c>
      <c r="E29" s="26">
        <f>8760*('Existing Capacity'!C$6+'PS Relative Buildout- All Yrs'!D36)*E$12</f>
        <v>54366.48720000001</v>
      </c>
      <c r="F29" s="26">
        <f>8760*('Existing Capacity'!D$6+'PS Relative Buildout- All Yrs'!I36)*Main!E$11</f>
        <v>95852.357999999993</v>
      </c>
      <c r="G29" s="26">
        <f>8760*'Existing Capacity'!G$6*Main!E$15</f>
        <v>9005.2799999999988</v>
      </c>
      <c r="H29" s="26">
        <f>8760*('Existing Capacity'!H$6+'PS Relative Buildout- All Yrs'!J36)*E$13</f>
        <v>4634.04</v>
      </c>
      <c r="I29" s="26">
        <f>8760*('Existing Capacity'!$I$6+'PS Relative Buildout- All Yrs'!K36)*E$14</f>
        <v>15417.6</v>
      </c>
      <c r="J29" s="26">
        <f t="shared" si="0"/>
        <v>40349.234799999977</v>
      </c>
      <c r="K29" s="40">
        <f>J29/((SUM('Existing Capacity'!E$6:F$6)+SUM('PS Relative Buildout- All Yrs'!F36:G36))*8760)</f>
        <v>0.25134110182055369</v>
      </c>
      <c r="L29" s="4">
        <f t="shared" si="1"/>
        <v>1</v>
      </c>
      <c r="M29" s="56">
        <f>J29*$G$6*'Projected NG Prices'!B19*L29</f>
        <v>1375203678.3729842</v>
      </c>
      <c r="N29" s="56">
        <f>J29*$G$6*'Projected NG Prices'!D19*L29</f>
        <v>2930902839.5324268</v>
      </c>
      <c r="O29" s="56">
        <f>J29*$G$6*'Projected NG Prices'!C19*L29</f>
        <v>1822144873.8442078</v>
      </c>
      <c r="P29" s="57">
        <f>'PS Relative Buildout- All Yrs'!$M36*(Main!$G$9*'Nuclear Capex'!J15+(1-Main!$G$9)*'Nuclear Capex'!M15)*Main!$L29*1000000</f>
        <v>2804431495.7178712</v>
      </c>
      <c r="Q29" s="57">
        <f>'PS Relative Buildout- All Yrs'!$M36*(Main!$G$9*'Nuclear Capex'!K15+(1-Main!$G$9)*'Nuclear Capex'!N15)*Main!$L29*1000000</f>
        <v>5074947507.9979696</v>
      </c>
      <c r="R29" s="57">
        <f>'PS Relative Buildout- All Yrs'!$M36*(Main!$G$9*'Nuclear Capex'!L15+(1-Main!$G$9)*'Nuclear Capex'!O15)*Main!$L29*1000000</f>
        <v>8362701410.0652809</v>
      </c>
    </row>
    <row r="30" spans="1:18" x14ac:dyDescent="0.2">
      <c r="A30" s="24" t="s">
        <v>4</v>
      </c>
      <c r="B30" s="24">
        <v>2039</v>
      </c>
      <c r="C30" s="25">
        <f>Load!D21</f>
        <v>224896</v>
      </c>
      <c r="D30" s="26">
        <f>8760*('Existing Capacity'!B$6+'PS Relative Buildout- All Yrs'!C37)*E$6</f>
        <v>0</v>
      </c>
      <c r="E30" s="26">
        <f>8760*('Existing Capacity'!C$6+'PS Relative Buildout- All Yrs'!D37)*E$12</f>
        <v>55430.8272</v>
      </c>
      <c r="F30" s="26">
        <f>8760*('Existing Capacity'!D$6+'PS Relative Buildout- All Yrs'!I37)*Main!E$11</f>
        <v>100319.958</v>
      </c>
      <c r="G30" s="26">
        <f>8760*'Existing Capacity'!G$6*Main!E$15</f>
        <v>9005.2799999999988</v>
      </c>
      <c r="H30" s="26">
        <f>8760*('Existing Capacity'!H$6+'PS Relative Buildout- All Yrs'!J37)*E$13</f>
        <v>4634.04</v>
      </c>
      <c r="I30" s="26">
        <f>8760*('Existing Capacity'!$I$6+'PS Relative Buildout- All Yrs'!K37)*E$14</f>
        <v>15417.6</v>
      </c>
      <c r="J30" s="26">
        <f t="shared" si="0"/>
        <v>40088.294800000003</v>
      </c>
      <c r="K30" s="40">
        <f>J30/((SUM('Existing Capacity'!E$6:F$6)+SUM('PS Relative Buildout- All Yrs'!F37:G37))*8760)</f>
        <v>0.24971566958041</v>
      </c>
      <c r="L30" s="4">
        <f t="shared" si="1"/>
        <v>1</v>
      </c>
      <c r="M30" s="56">
        <f>J30*$G$6*'Projected NG Prices'!B20*L30</f>
        <v>1409007378.3953471</v>
      </c>
      <c r="N30" s="56">
        <f>J30*$G$6*'Projected NG Prices'!D20*L30</f>
        <v>3040040161.8711748</v>
      </c>
      <c r="O30" s="56">
        <f>J30*$G$6*'Projected NG Prices'!C20*L30</f>
        <v>1844518749.899364</v>
      </c>
      <c r="P30" s="57">
        <f>'PS Relative Buildout- All Yrs'!$M37*(Main!$G$9*'Nuclear Capex'!J16+(1-Main!$G$9)*'Nuclear Capex'!M16)*Main!$L30*1000000</f>
        <v>3260558818.958734</v>
      </c>
      <c r="Q30" s="57">
        <f>'PS Relative Buildout- All Yrs'!$M37*(Main!$G$9*'Nuclear Capex'!K16+(1-Main!$G$9)*'Nuclear Capex'!N16)*Main!$L30*1000000</f>
        <v>6017078393.6017847</v>
      </c>
      <c r="R30" s="57">
        <f>'PS Relative Buildout- All Yrs'!$M37*(Main!$G$9*'Nuclear Capex'!L16+(1-Main!$G$9)*'Nuclear Capex'!O16)*Main!$L30*1000000</f>
        <v>10079765543.824669</v>
      </c>
    </row>
    <row r="31" spans="1:18" x14ac:dyDescent="0.2">
      <c r="A31" s="24" t="s">
        <v>4</v>
      </c>
      <c r="B31" s="24">
        <v>2040</v>
      </c>
      <c r="C31" s="25">
        <f>Load!D22</f>
        <v>230293.50400000002</v>
      </c>
      <c r="D31" s="26">
        <f>8760*('Existing Capacity'!B$6+'PS Relative Buildout- All Yrs'!C38)*E$6</f>
        <v>0</v>
      </c>
      <c r="E31" s="26">
        <f>8760*('Existing Capacity'!C$6+'PS Relative Buildout- All Yrs'!D38)*E$12</f>
        <v>56495.167200000004</v>
      </c>
      <c r="F31" s="26">
        <f>8760*('Existing Capacity'!D$6+'PS Relative Buildout- All Yrs'!I38)*Main!E$11</f>
        <v>104787.558</v>
      </c>
      <c r="G31" s="26">
        <f>8760*'Existing Capacity'!G$6*Main!E$15</f>
        <v>9005.2799999999988</v>
      </c>
      <c r="H31" s="26">
        <f>8760*('Existing Capacity'!H$6+'PS Relative Buildout- All Yrs'!J38)*E$13</f>
        <v>4634.04</v>
      </c>
      <c r="I31" s="26">
        <f>8760*('Existing Capacity'!$I$6+'PS Relative Buildout- All Yrs'!K38)*E$14</f>
        <v>15417.6</v>
      </c>
      <c r="J31" s="26">
        <f t="shared" si="0"/>
        <v>39953.858799999987</v>
      </c>
      <c r="K31" s="40">
        <f>J31/((SUM('Existing Capacity'!E$6:F$6)+SUM('PS Relative Buildout- All Yrs'!F38:G38))*8760)</f>
        <v>0.2488782486842806</v>
      </c>
      <c r="L31" s="4">
        <f t="shared" si="1"/>
        <v>1</v>
      </c>
      <c r="M31" s="56">
        <f>J31*$G$6*'Projected NG Prices'!B21*L31</f>
        <v>1472368688.9074528</v>
      </c>
      <c r="N31" s="56">
        <f>J31*$G$6*'Projected NG Prices'!D21*L31</f>
        <v>3131975014.5545669</v>
      </c>
      <c r="O31" s="56">
        <f>J31*$G$6*'Projected NG Prices'!C21*L31</f>
        <v>1957484384.0966146</v>
      </c>
      <c r="P31" s="57">
        <f>'PS Relative Buildout- All Yrs'!$M38*(Main!$G$9*'Nuclear Capex'!J17+(1-Main!$G$9)*'Nuclear Capex'!M17)*Main!$L31*1000000</f>
        <v>3148458570.6390996</v>
      </c>
      <c r="Q31" s="57">
        <f>'PS Relative Buildout- All Yrs'!$M38*(Main!$G$9*'Nuclear Capex'!K17+(1-Main!$G$9)*'Nuclear Capex'!N17)*Main!$L31*1000000</f>
        <v>5936770636.1752195</v>
      </c>
      <c r="R31" s="57">
        <f>'PS Relative Buildout- All Yrs'!$M38*(Main!$G$9*'Nuclear Capex'!L17+(1-Main!$G$9)*'Nuclear Capex'!O17)*Main!$L31*1000000</f>
        <v>10120243562.100767</v>
      </c>
    </row>
    <row r="32" spans="1:18" x14ac:dyDescent="0.2">
      <c r="A32" s="24" t="s">
        <v>4</v>
      </c>
      <c r="B32" s="24">
        <v>2041</v>
      </c>
      <c r="C32" s="25">
        <f>Load!D23</f>
        <v>235820.54809600001</v>
      </c>
      <c r="D32" s="26">
        <f>8760*('Existing Capacity'!B$6+'PS Relative Buildout- All Yrs'!C39)*E$6</f>
        <v>0</v>
      </c>
      <c r="E32" s="26">
        <f>8760*('Existing Capacity'!C$6+'PS Relative Buildout- All Yrs'!D39)*E$12</f>
        <v>57559.5072</v>
      </c>
      <c r="F32" s="26">
        <f>8760*('Existing Capacity'!D$6+'PS Relative Buildout- All Yrs'!I39)*Main!E$11</f>
        <v>109255.158</v>
      </c>
      <c r="G32" s="26">
        <f>8760*'Existing Capacity'!G$6*Main!E$15</f>
        <v>9005.2799999999988</v>
      </c>
      <c r="H32" s="26">
        <f>8760*('Existing Capacity'!H$6+'PS Relative Buildout- All Yrs'!J39)*E$13</f>
        <v>4634.04</v>
      </c>
      <c r="I32" s="26">
        <f>8760*('Existing Capacity'!$I$6+'PS Relative Buildout- All Yrs'!K39)*E$14</f>
        <v>15417.6</v>
      </c>
      <c r="J32" s="26">
        <f t="shared" si="0"/>
        <v>39948.962896000012</v>
      </c>
      <c r="K32" s="40">
        <f>J32/((SUM('Existing Capacity'!E$6:F$6)+SUM('PS Relative Buildout- All Yrs'!F39:G39))*8760)</f>
        <v>0.24884775140442236</v>
      </c>
      <c r="L32" s="4">
        <f t="shared" si="1"/>
        <v>1</v>
      </c>
      <c r="M32" s="56">
        <f>J32*$G$6*'Projected NG Prices'!B22*L32</f>
        <v>1523246818.9824204</v>
      </c>
      <c r="N32" s="56">
        <f>J32*$G$6*'Projected NG Prices'!D22*L32</f>
        <v>3225198572.0353775</v>
      </c>
      <c r="O32" s="56">
        <f>J32*$G$6*'Projected NG Prices'!C22*L32</f>
        <v>2050851862.4288447</v>
      </c>
      <c r="P32" s="57">
        <f>'PS Relative Buildout- All Yrs'!$M39*(Main!$G$9*'Nuclear Capex'!J18+(1-Main!$G$9)*'Nuclear Capex'!M18)*Main!$L32*1000000</f>
        <v>3141681305.3935099</v>
      </c>
      <c r="Q32" s="57">
        <f>'PS Relative Buildout- All Yrs'!$M39*(Main!$G$9*'Nuclear Capex'!K18+(1-Main!$G$9)*'Nuclear Capex'!N18)*Main!$L32*1000000</f>
        <v>5937044002.9189482</v>
      </c>
      <c r="R32" s="57">
        <f>'PS Relative Buildout- All Yrs'!$M39*(Main!$G$9*'Nuclear Capex'!L18+(1-Main!$G$9)*'Nuclear Capex'!O18)*Main!$L32*1000000</f>
        <v>10144348869.870485</v>
      </c>
    </row>
    <row r="33" spans="1:18" x14ac:dyDescent="0.2">
      <c r="A33" s="24" t="s">
        <v>4</v>
      </c>
      <c r="B33" s="24">
        <v>2042</v>
      </c>
      <c r="C33" s="25">
        <f>Load!D24</f>
        <v>241480.24125030401</v>
      </c>
      <c r="D33" s="26">
        <f>8760*('Existing Capacity'!B$6+'PS Relative Buildout- All Yrs'!C40)*E$6</f>
        <v>0</v>
      </c>
      <c r="E33" s="26">
        <f>8760*('Existing Capacity'!C$6+'PS Relative Buildout- All Yrs'!D40)*E$12</f>
        <v>58623.847199999997</v>
      </c>
      <c r="F33" s="26">
        <f>8760*('Existing Capacity'!D$6+'PS Relative Buildout- All Yrs'!I40)*Main!E$11</f>
        <v>113722.758</v>
      </c>
      <c r="G33" s="26">
        <f>8760*'Existing Capacity'!G$6*Main!E$15</f>
        <v>9005.2799999999988</v>
      </c>
      <c r="H33" s="26">
        <f>8760*('Existing Capacity'!H$6+'PS Relative Buildout- All Yrs'!J40)*E$13</f>
        <v>4634.04</v>
      </c>
      <c r="I33" s="26">
        <f>8760*('Existing Capacity'!$I$6+'PS Relative Buildout- All Yrs'!K40)*E$14</f>
        <v>15417.6</v>
      </c>
      <c r="J33" s="26">
        <f t="shared" si="0"/>
        <v>40076.716050304007</v>
      </c>
      <c r="K33" s="40">
        <f>J33/((SUM('Existing Capacity'!E$6:F$6)+SUM('PS Relative Buildout- All Yrs'!F40:G40))*8760)</f>
        <v>0.24964354390762533</v>
      </c>
      <c r="L33" s="4">
        <f t="shared" si="1"/>
        <v>1</v>
      </c>
      <c r="M33" s="56">
        <f>J33*$G$6*'Projected NG Prices'!B23*L33</f>
        <v>1545191968.3364856</v>
      </c>
      <c r="N33" s="56">
        <f>J33*$G$6*'Projected NG Prices'!D23*L33</f>
        <v>3303808241.6918063</v>
      </c>
      <c r="O33" s="56">
        <f>J33*$G$6*'Projected NG Prices'!C23*L33</f>
        <v>2108632133.5862544</v>
      </c>
      <c r="P33" s="57">
        <f>'PS Relative Buildout- All Yrs'!$M40*(Main!$G$9*'Nuclear Capex'!J19+(1-Main!$G$9)*'Nuclear Capex'!M19)*Main!$L33*1000000</f>
        <v>3132597390.2789888</v>
      </c>
      <c r="Q33" s="57">
        <f>'PS Relative Buildout- All Yrs'!$M40*(Main!$G$9*'Nuclear Capex'!K19+(1-Main!$G$9)*'Nuclear Capex'!N19)*Main!$L33*1000000</f>
        <v>5933620556.3522501</v>
      </c>
      <c r="R33" s="57">
        <f>'PS Relative Buildout- All Yrs'!$M40*(Main!$G$9*'Nuclear Capex'!L19+(1-Main!$G$9)*'Nuclear Capex'!O19)*Main!$L33*1000000</f>
        <v>10163334290.802364</v>
      </c>
    </row>
    <row r="34" spans="1:18" x14ac:dyDescent="0.2">
      <c r="A34" s="24" t="s">
        <v>4</v>
      </c>
      <c r="B34" s="24">
        <v>2043</v>
      </c>
      <c r="C34" s="25">
        <f>Load!D25</f>
        <v>247275.7670403113</v>
      </c>
      <c r="D34" s="26">
        <f>8760*('Existing Capacity'!B$6+'PS Relative Buildout- All Yrs'!C41)*E$6</f>
        <v>0</v>
      </c>
      <c r="E34" s="26">
        <f>8760*('Existing Capacity'!C$6+'PS Relative Buildout- All Yrs'!D41)*E$12</f>
        <v>61935.127200000003</v>
      </c>
      <c r="F34" s="26">
        <f>8760*('Existing Capacity'!D$6+'PS Relative Buildout- All Yrs'!I41)*Main!E$11</f>
        <v>120424.15800000001</v>
      </c>
      <c r="G34" s="26">
        <f>8760*'Existing Capacity'!G$6*Main!E$15</f>
        <v>9005.2799999999988</v>
      </c>
      <c r="H34" s="26">
        <f>8760*('Existing Capacity'!H$6+'PS Relative Buildout- All Yrs'!J41)*E$13</f>
        <v>4634.04</v>
      </c>
      <c r="I34" s="26">
        <f>8760*('Existing Capacity'!$I$6+'PS Relative Buildout- All Yrs'!K41)*E$14</f>
        <v>15417.6</v>
      </c>
      <c r="J34" s="26">
        <f t="shared" si="0"/>
        <v>35859.561840311275</v>
      </c>
      <c r="K34" s="40">
        <f>J34/((SUM('Existing Capacity'!E$6:F$6)+SUM('PS Relative Buildout- All Yrs'!F41:G41))*8760)</f>
        <v>0.22337429268289677</v>
      </c>
      <c r="L34" s="4">
        <f t="shared" si="1"/>
        <v>1</v>
      </c>
      <c r="M34" s="56">
        <f>J34*$G$6*'Projected NG Prices'!B24*L34</f>
        <v>1420789250.4229374</v>
      </c>
      <c r="N34" s="56">
        <f>J34*$G$6*'Projected NG Prices'!D24*L34</f>
        <v>3032544797.9457116</v>
      </c>
      <c r="O34" s="56">
        <f>J34*$G$6*'Projected NG Prices'!C24*L34</f>
        <v>1932578926.6505547</v>
      </c>
      <c r="P34" s="57">
        <f>'PS Relative Buildout- All Yrs'!$M41*(Main!$G$9*'Nuclear Capex'!J20+(1-Main!$G$9)*'Nuclear Capex'!M20)*Main!$L34*1000000</f>
        <v>4681643592.8893147</v>
      </c>
      <c r="Q34" s="57">
        <f>'PS Relative Buildout- All Yrs'!$M41*(Main!$G$9*'Nuclear Capex'!K20+(1-Main!$G$9)*'Nuclear Capex'!N20)*Main!$L34*1000000</f>
        <v>8889472927.4331017</v>
      </c>
      <c r="R34" s="57">
        <f>'PS Relative Buildout- All Yrs'!$M41*(Main!$G$9*'Nuclear Capex'!L20+(1-Main!$G$9)*'Nuclear Capex'!O20)*Main!$L34*1000000</f>
        <v>15265393147.105782</v>
      </c>
    </row>
    <row r="35" spans="1:18" x14ac:dyDescent="0.2">
      <c r="A35" s="24" t="s">
        <v>4</v>
      </c>
      <c r="B35" s="24">
        <v>2044</v>
      </c>
      <c r="C35" s="25">
        <f>Load!D26</f>
        <v>253210.38544927878</v>
      </c>
      <c r="D35" s="26">
        <f>8760*('Existing Capacity'!B$6+'PS Relative Buildout- All Yrs'!C42)*E$6</f>
        <v>0</v>
      </c>
      <c r="E35" s="26">
        <f>8760*('Existing Capacity'!C$6+'PS Relative Buildout- All Yrs'!D42)*E$12</f>
        <v>65246.407200000009</v>
      </c>
      <c r="F35" s="26">
        <f>8760*('Existing Capacity'!D$6+'PS Relative Buildout- All Yrs'!I42)*Main!E$11</f>
        <v>127125.558</v>
      </c>
      <c r="G35" s="26">
        <f>8760*'Existing Capacity'!G$6*Main!E$15</f>
        <v>9005.2799999999988</v>
      </c>
      <c r="H35" s="26">
        <f>8760*('Existing Capacity'!H$6+'PS Relative Buildout- All Yrs'!J42)*E$13</f>
        <v>4634.04</v>
      </c>
      <c r="I35" s="26">
        <f>8760*('Existing Capacity'!$I$6+'PS Relative Buildout- All Yrs'!K42)*E$14</f>
        <v>15417.6</v>
      </c>
      <c r="J35" s="26">
        <f t="shared" si="0"/>
        <v>31781.500249278761</v>
      </c>
      <c r="K35" s="40">
        <f>J35/((SUM('Existing Capacity'!E$6:F$6)+SUM('PS Relative Buildout- All Yrs'!F42:G42))*8760)</f>
        <v>0.19797146909373189</v>
      </c>
      <c r="L35" s="4">
        <f t="shared" si="1"/>
        <v>1</v>
      </c>
      <c r="M35" s="56">
        <f>J35*$G$6*'Projected NG Prices'!B25*L35</f>
        <v>1333682216.0229297</v>
      </c>
      <c r="N35" s="56">
        <f>J35*$G$6*'Projected NG Prices'!D25*L35</f>
        <v>2863693286.18121</v>
      </c>
      <c r="O35" s="56">
        <f>J35*$G$6*'Projected NG Prices'!C25*L35</f>
        <v>1794039529.1679027</v>
      </c>
      <c r="P35" s="57">
        <f>'PS Relative Buildout- All Yrs'!$M42*(Main!$G$9*'Nuclear Capex'!J21+(1-Main!$G$9)*'Nuclear Capex'!M21)*Main!$L35*1000000</f>
        <v>4660591665.6802969</v>
      </c>
      <c r="Q35" s="57">
        <f>'PS Relative Buildout- All Yrs'!$M42*(Main!$G$9*'Nuclear Capex'!K21+(1-Main!$G$9)*'Nuclear Capex'!N21)*Main!$L35*1000000</f>
        <v>8872404355.7114792</v>
      </c>
      <c r="R35" s="57">
        <f>'PS Relative Buildout- All Yrs'!$M42*(Main!$G$9*'Nuclear Capex'!L21+(1-Main!$G$9)*'Nuclear Capex'!O21)*Main!$L35*1000000</f>
        <v>15277276317.655487</v>
      </c>
    </row>
    <row r="36" spans="1:18" x14ac:dyDescent="0.2">
      <c r="A36" s="24" t="s">
        <v>4</v>
      </c>
      <c r="B36" s="24">
        <v>2045</v>
      </c>
      <c r="C36" s="25">
        <f>Load!D27</f>
        <v>259287.43470006148</v>
      </c>
      <c r="D36" s="26">
        <f>8760*('Existing Capacity'!B$6+'PS Relative Buildout- All Yrs'!C43)*E$6</f>
        <v>0</v>
      </c>
      <c r="E36" s="26">
        <f>8760*('Existing Capacity'!C$6+'PS Relative Buildout- All Yrs'!D43)*E$12</f>
        <v>68557.687200000015</v>
      </c>
      <c r="F36" s="26">
        <f>8760*('Existing Capacity'!D$6+'PS Relative Buildout- All Yrs'!I43)*Main!E$11</f>
        <v>133826.95799999998</v>
      </c>
      <c r="G36" s="26">
        <f>8760*'Existing Capacity'!G$6*Main!E$15</f>
        <v>9005.2799999999988</v>
      </c>
      <c r="H36" s="26">
        <f>8760*('Existing Capacity'!H$6+'PS Relative Buildout- All Yrs'!J43)*E$13</f>
        <v>4634.04</v>
      </c>
      <c r="I36" s="26">
        <f>8760*('Existing Capacity'!$I$6+'PS Relative Buildout- All Yrs'!K43)*E$14</f>
        <v>15417.6</v>
      </c>
      <c r="J36" s="26">
        <f t="shared" si="0"/>
        <v>27845.869500061468</v>
      </c>
      <c r="K36" s="40">
        <f>J36/((SUM('Existing Capacity'!E$6:F$6)+SUM('PS Relative Buildout- All Yrs'!F43:G43))*8760)</f>
        <v>0.17345586740338392</v>
      </c>
      <c r="L36" s="4">
        <f t="shared" si="1"/>
        <v>1</v>
      </c>
      <c r="M36" s="56">
        <f>J36*$G$6*'Projected NG Prices'!B26*L36</f>
        <v>1204116648.3421872</v>
      </c>
      <c r="N36" s="56">
        <f>J36*$G$6*'Projected NG Prices'!D26*L36</f>
        <v>2598044788.0486507</v>
      </c>
      <c r="O36" s="56">
        <f>J36*$G$6*'Projected NG Prices'!C26*L36</f>
        <v>1637124113.0169644</v>
      </c>
      <c r="P36" s="57">
        <f>'PS Relative Buildout- All Yrs'!$M43*(Main!$G$9*'Nuclear Capex'!J22+(1-Main!$G$9)*'Nuclear Capex'!M22)*Main!$L36*1000000</f>
        <v>4635561114.8652668</v>
      </c>
      <c r="Q36" s="57">
        <f>'PS Relative Buildout- All Yrs'!$M43*(Main!$G$9*'Nuclear Capex'!K22+(1-Main!$G$9)*'Nuclear Capex'!N22)*Main!$L36*1000000</f>
        <v>8848926434.8241196</v>
      </c>
      <c r="R36" s="57">
        <f>'PS Relative Buildout- All Yrs'!$M43*(Main!$G$9*'Nuclear Capex'!L22+(1-Main!$G$9)*'Nuclear Capex'!O22)*Main!$L36*1000000</f>
        <v>15280212776.015724</v>
      </c>
    </row>
    <row r="37" spans="1:18" x14ac:dyDescent="0.2">
      <c r="A37" s="24" t="s">
        <v>4</v>
      </c>
      <c r="B37" s="24">
        <v>2046</v>
      </c>
      <c r="C37" s="25">
        <f>Load!D28</f>
        <v>265510.33313286299</v>
      </c>
      <c r="D37" s="26">
        <f>8760*('Existing Capacity'!B$6+'PS Relative Buildout- All Yrs'!C44)*E$6</f>
        <v>0</v>
      </c>
      <c r="E37" s="26">
        <f>8760*('Existing Capacity'!C$6+'PS Relative Buildout- All Yrs'!D44)*E$12</f>
        <v>72815.047200000001</v>
      </c>
      <c r="F37" s="26">
        <f>8760*('Existing Capacity'!D$6+'PS Relative Buildout- All Yrs'!I44)*Main!E$11</f>
        <v>139039.158</v>
      </c>
      <c r="G37" s="26">
        <f>8760*'Existing Capacity'!G$6*Main!E$15</f>
        <v>9005.2799999999988</v>
      </c>
      <c r="H37" s="26">
        <f>8760*('Existing Capacity'!H$6+'PS Relative Buildout- All Yrs'!J44)*E$13</f>
        <v>4634.04</v>
      </c>
      <c r="I37" s="26">
        <f>8760*('Existing Capacity'!$I$6+'PS Relative Buildout- All Yrs'!K44)*E$14</f>
        <v>15417.6</v>
      </c>
      <c r="J37" s="26">
        <f t="shared" si="0"/>
        <v>24599.207932862977</v>
      </c>
      <c r="K37" s="40">
        <f>J37/((SUM('Existing Capacity'!E$6:F$6)+SUM('PS Relative Buildout- All Yrs'!F44:G44))*8760)</f>
        <v>0.15323195238782297</v>
      </c>
      <c r="L37" s="4">
        <f t="shared" si="1"/>
        <v>1</v>
      </c>
      <c r="M37" s="56">
        <f>J37*$G$6*'Projected NG Prices'!B27*L37</f>
        <v>1079443917.7123253</v>
      </c>
      <c r="N37" s="56">
        <f>J37*$G$6*'Projected NG Prices'!D27*L37</f>
        <v>2363248577.1274629</v>
      </c>
      <c r="O37" s="56">
        <f>J37*$G$6*'Projected NG Prices'!C27*L37</f>
        <v>1482925382.099941</v>
      </c>
      <c r="P37" s="57">
        <f>'PS Relative Buildout- All Yrs'!$M44*(Main!$G$9*'Nuclear Capex'!J23+(1-Main!$G$9)*'Nuclear Capex'!M23)*Main!$L37*1000000</f>
        <v>3621016217.2649126</v>
      </c>
      <c r="Q37" s="57">
        <f>'PS Relative Buildout- All Yrs'!$M44*(Main!$G$9*'Nuclear Capex'!K23+(1-Main!$G$9)*'Nuclear Capex'!N23)*Main!$L37*1000000</f>
        <v>6896721434.165163</v>
      </c>
      <c r="R37" s="57">
        <f>'PS Relative Buildout- All Yrs'!$M44*(Main!$G$9*'Nuclear Capex'!L23+(1-Main!$G$9)*'Nuclear Capex'!O23)*Main!$L37*1000000</f>
        <v>11919323368.618217</v>
      </c>
    </row>
    <row r="38" spans="1:18" x14ac:dyDescent="0.2">
      <c r="A38" s="24" t="s">
        <v>4</v>
      </c>
      <c r="B38" s="24">
        <v>2047</v>
      </c>
      <c r="C38" s="25">
        <f>Load!D29</f>
        <v>271882.58112805168</v>
      </c>
      <c r="D38" s="26">
        <f>8760*('Existing Capacity'!B$6+'PS Relative Buildout- All Yrs'!C45)*E$6</f>
        <v>0</v>
      </c>
      <c r="E38" s="26">
        <f>8760*('Existing Capacity'!C$6+'PS Relative Buildout- All Yrs'!D45)*E$12</f>
        <v>77072.407200000016</v>
      </c>
      <c r="F38" s="26">
        <f>8760*('Existing Capacity'!D$6+'PS Relative Buildout- All Yrs'!I45)*Main!E$11</f>
        <v>144251.35799999998</v>
      </c>
      <c r="G38" s="26">
        <f>8760*'Existing Capacity'!G$6*Main!E$15</f>
        <v>9005.2799999999988</v>
      </c>
      <c r="H38" s="26">
        <f>8760*('Existing Capacity'!H$6+'PS Relative Buildout- All Yrs'!J45)*E$13</f>
        <v>4634.04</v>
      </c>
      <c r="I38" s="26">
        <f>8760*('Existing Capacity'!$I$6+'PS Relative Buildout- All Yrs'!K45)*E$14</f>
        <v>15417.6</v>
      </c>
      <c r="J38" s="26">
        <f t="shared" si="0"/>
        <v>21501.895928051672</v>
      </c>
      <c r="K38" s="40">
        <f>J38/((SUM('Existing Capacity'!E$6:F$6)+SUM('PS Relative Buildout- All Yrs'!F45:G45))*8760)</f>
        <v>0.13393835696203557</v>
      </c>
      <c r="L38" s="4">
        <f t="shared" si="1"/>
        <v>1</v>
      </c>
      <c r="M38" s="56">
        <f>J38*$G$6*'Projected NG Prices'!B28*L38</f>
        <v>989332432.2110126</v>
      </c>
      <c r="N38" s="56">
        <f>J38*$G$6*'Projected NG Prices'!D28*L38</f>
        <v>2157294331.3490052</v>
      </c>
      <c r="O38" s="56">
        <f>J38*$G$6*'Projected NG Prices'!C28*L38</f>
        <v>1337430880.5815539</v>
      </c>
      <c r="P38" s="57">
        <f>'PS Relative Buildout- All Yrs'!$M45*(Main!$G$9*'Nuclear Capex'!J24+(1-Main!$G$9)*'Nuclear Capex'!M24)*Main!$L38*1000000</f>
        <v>3635121603.822258</v>
      </c>
      <c r="Q38" s="57">
        <f>'PS Relative Buildout- All Yrs'!$M45*(Main!$G$9*'Nuclear Capex'!K24+(1-Main!$G$9)*'Nuclear Capex'!N24)*Main!$L38*1000000</f>
        <v>6907354123.4708309</v>
      </c>
      <c r="R38" s="57">
        <f>'PS Relative Buildout- All Yrs'!$M45*(Main!$G$9*'Nuclear Capex'!L24+(1-Main!$G$9)*'Nuclear Capex'!O24)*Main!$L38*1000000</f>
        <v>11948344590.710588</v>
      </c>
    </row>
    <row r="39" spans="1:18" x14ac:dyDescent="0.2">
      <c r="A39" s="24" t="s">
        <v>4</v>
      </c>
      <c r="B39" s="24">
        <v>2048</v>
      </c>
      <c r="C39" s="25">
        <f>Load!D30</f>
        <v>278407.76307512494</v>
      </c>
      <c r="D39" s="26">
        <f>8760*('Existing Capacity'!B$6+'PS Relative Buildout- All Yrs'!C46)*E$6</f>
        <v>0</v>
      </c>
      <c r="E39" s="26">
        <f>8760*('Existing Capacity'!C$6+'PS Relative Buildout- All Yrs'!D46)*E$12</f>
        <v>81329.767200000017</v>
      </c>
      <c r="F39" s="26">
        <f>8760*('Existing Capacity'!D$6+'PS Relative Buildout- All Yrs'!I46)*Main!E$11</f>
        <v>149463.55800000002</v>
      </c>
      <c r="G39" s="26">
        <f>8760*'Existing Capacity'!G$6*Main!E$15</f>
        <v>9005.2799999999988</v>
      </c>
      <c r="H39" s="26">
        <f>8760*('Existing Capacity'!H$6+'PS Relative Buildout- All Yrs'!J46)*E$13</f>
        <v>4634.04</v>
      </c>
      <c r="I39" s="26">
        <f>8760*('Existing Capacity'!$I$6+'PS Relative Buildout- All Yrs'!K46)*E$14</f>
        <v>15417.6</v>
      </c>
      <c r="J39" s="26">
        <f t="shared" si="0"/>
        <v>18557.517875124904</v>
      </c>
      <c r="K39" s="40">
        <f>J39/((SUM('Existing Capacity'!E$6:F$6)+SUM('PS Relative Buildout- All Yrs'!F46:G46))*8760)</f>
        <v>0.11559740879617665</v>
      </c>
      <c r="L39" s="4">
        <f t="shared" si="1"/>
        <v>1</v>
      </c>
      <c r="M39" s="56">
        <f>J39*$G$6*'Projected NG Prices'!B29*L39</f>
        <v>893387900.53643572</v>
      </c>
      <c r="N39" s="56">
        <f>J39*$G$6*'Projected NG Prices'!D29*L39</f>
        <v>1956756684.8032472</v>
      </c>
      <c r="O39" s="56">
        <f>J39*$G$6*'Projected NG Prices'!C29*L39</f>
        <v>1197772273.7280543</v>
      </c>
      <c r="P39" s="57">
        <f>'PS Relative Buildout- All Yrs'!$M46*(Main!$G$9*'Nuclear Capex'!J25+(1-Main!$G$9)*'Nuclear Capex'!M25)*Main!$L39*1000000</f>
        <v>3647669124.5716844</v>
      </c>
      <c r="Q39" s="57">
        <f>'PS Relative Buildout- All Yrs'!$M46*(Main!$G$9*'Nuclear Capex'!K25+(1-Main!$G$9)*'Nuclear Capex'!N25)*Main!$L39*1000000</f>
        <v>6914207996.3454409</v>
      </c>
      <c r="R39" s="57">
        <f>'PS Relative Buildout- All Yrs'!$M46*(Main!$G$9*'Nuclear Capex'!L25+(1-Main!$G$9)*'Nuclear Capex'!O25)*Main!$L39*1000000</f>
        <v>11971367296.802204</v>
      </c>
    </row>
    <row r="40" spans="1:18" x14ac:dyDescent="0.2">
      <c r="A40" s="24" t="s">
        <v>4</v>
      </c>
      <c r="B40" s="24">
        <v>2049</v>
      </c>
      <c r="C40" s="25">
        <f>Load!D31</f>
        <v>285089.54938892793</v>
      </c>
      <c r="D40" s="26">
        <f>8760*('Existing Capacity'!B$6+'PS Relative Buildout- All Yrs'!C47)*E$6</f>
        <v>0</v>
      </c>
      <c r="E40" s="26">
        <f>8760*('Existing Capacity'!C$6+'PS Relative Buildout- All Yrs'!D47)*E$12</f>
        <v>85587.127200000017</v>
      </c>
      <c r="F40" s="26">
        <f>8760*('Existing Capacity'!D$6+'PS Relative Buildout- All Yrs'!I47)*Main!E$11</f>
        <v>154675.75799999994</v>
      </c>
      <c r="G40" s="26">
        <f>8760*'Existing Capacity'!G$6*Main!E$15</f>
        <v>9005.2799999999988</v>
      </c>
      <c r="H40" s="26">
        <f>8760*('Existing Capacity'!H$6+'PS Relative Buildout- All Yrs'!J47)*E$13</f>
        <v>4634.04</v>
      </c>
      <c r="I40" s="26">
        <f>8760*('Existing Capacity'!$I$6+'PS Relative Buildout- All Yrs'!K47)*E$14</f>
        <v>15417.6</v>
      </c>
      <c r="J40" s="26">
        <f t="shared" si="0"/>
        <v>15769.744188927987</v>
      </c>
      <c r="K40" s="40">
        <f>J40/((SUM('Existing Capacity'!E$6:F$6)+SUM('PS Relative Buildout- All Yrs'!F47:G47))*8760)</f>
        <v>9.8231971424485032E-2</v>
      </c>
      <c r="L40" s="4">
        <f t="shared" si="1"/>
        <v>1</v>
      </c>
      <c r="M40" s="56">
        <f>J40*$G$6*'Projected NG Prices'!B30*L40</f>
        <v>789412956.9511503</v>
      </c>
      <c r="N40" s="56">
        <f>J40*$G$6*'Projected NG Prices'!D30*L40</f>
        <v>1773659750.0859792</v>
      </c>
      <c r="O40" s="56">
        <f>J40*$G$6*'Projected NG Prices'!C30*L40</f>
        <v>1058149282.7217548</v>
      </c>
      <c r="P40" s="57">
        <f>'PS Relative Buildout- All Yrs'!$M47*(Main!$G$9*'Nuclear Capex'!J26+(1-Main!$G$9)*'Nuclear Capex'!M26)*Main!$L40*1000000</f>
        <v>3658572070.356194</v>
      </c>
      <c r="Q40" s="57">
        <f>'PS Relative Buildout- All Yrs'!$M47*(Main!$G$9*'Nuclear Capex'!K26+(1-Main!$G$9)*'Nuclear Capex'!N26)*Main!$L40*1000000</f>
        <v>6917087466.5366087</v>
      </c>
      <c r="R40" s="57">
        <f>'PS Relative Buildout- All Yrs'!$M47*(Main!$G$9*'Nuclear Capex'!L26+(1-Main!$G$9)*'Nuclear Capex'!O26)*Main!$L40*1000000</f>
        <v>11988073422.829206</v>
      </c>
    </row>
    <row r="41" spans="1:18" x14ac:dyDescent="0.2">
      <c r="A41" s="24" t="s">
        <v>4</v>
      </c>
      <c r="B41" s="24">
        <v>2050</v>
      </c>
      <c r="C41" s="25">
        <f>Load!D32</f>
        <v>291931.69857426221</v>
      </c>
      <c r="D41" s="26">
        <f>8760*('Existing Capacity'!B$6+'PS Relative Buildout- All Yrs'!C48)*E$6</f>
        <v>0</v>
      </c>
      <c r="E41" s="26">
        <f>8760*('Existing Capacity'!C$6+'PS Relative Buildout- All Yrs'!D48)*E$12</f>
        <v>89844.487200000018</v>
      </c>
      <c r="F41" s="26">
        <f>8760*('Existing Capacity'!D$6+'PS Relative Buildout- All Yrs'!I48)*Main!E$11</f>
        <v>159887.95799999998</v>
      </c>
      <c r="G41" s="26">
        <f>8760*'Existing Capacity'!G$6*Main!E$15</f>
        <v>9005.2799999999988</v>
      </c>
      <c r="H41" s="26">
        <f>8760*('Existing Capacity'!H$6+'PS Relative Buildout- All Yrs'!J48)*E$13</f>
        <v>4634.04</v>
      </c>
      <c r="I41" s="26">
        <f>8760*('Existing Capacity'!$I$6+'PS Relative Buildout- All Yrs'!K48)*E$14</f>
        <v>15417.6</v>
      </c>
      <c r="J41" s="26">
        <f t="shared" si="0"/>
        <v>13142.333374262205</v>
      </c>
      <c r="K41" s="40">
        <f>J41/((SUM('Existing Capacity'!E$6:F$6)+SUM('PS Relative Buildout- All Yrs'!F48:G48))*8760)</f>
        <v>8.1865457106019279E-2</v>
      </c>
      <c r="L41" s="4">
        <f t="shared" si="1"/>
        <v>1</v>
      </c>
      <c r="M41" s="56">
        <f>J41*$G$6*'Projected NG Prices'!B31*L41</f>
        <v>688682942.33389091</v>
      </c>
      <c r="N41" s="56">
        <f>J41*$G$6*'Projected NG Prices'!D31*L41</f>
        <v>1581731148.0432804</v>
      </c>
      <c r="O41" s="56">
        <f>J41*$G$6*'Projected NG Prices'!C31*L41</f>
        <v>932241543.8909992</v>
      </c>
      <c r="P41" s="57">
        <f>'PS Relative Buildout- All Yrs'!$M48*(Main!$G$9*'Nuclear Capex'!J27+(1-Main!$G$9)*'Nuclear Capex'!M27)*Main!$L41*1000000</f>
        <v>3667740370.2270803</v>
      </c>
      <c r="Q41" s="57">
        <f>'PS Relative Buildout- All Yrs'!$M48*(Main!$G$9*'Nuclear Capex'!K27+(1-Main!$G$9)*'Nuclear Capex'!N27)*Main!$L41*1000000</f>
        <v>6915789530.2396412</v>
      </c>
      <c r="R41" s="57">
        <f>'PS Relative Buildout- All Yrs'!$M48*(Main!$G$9*'Nuclear Capex'!L27+(1-Main!$G$9)*'Nuclear Capex'!O27)*Main!$L41*1000000</f>
        <v>11998132750.597084</v>
      </c>
    </row>
    <row r="42" spans="1:18" x14ac:dyDescent="0.2">
      <c r="A42" s="28"/>
      <c r="B42" s="28"/>
      <c r="C42" s="29"/>
      <c r="D42" s="30"/>
      <c r="E42" s="30"/>
      <c r="F42" s="30"/>
      <c r="G42" s="30"/>
      <c r="H42" s="30"/>
      <c r="I42" s="30"/>
      <c r="J42" s="47">
        <f>SUM(J21:J41)</f>
        <v>833823.80063518498</v>
      </c>
      <c r="K42" s="43"/>
      <c r="L42" s="27" t="s">
        <v>72</v>
      </c>
      <c r="M42" s="53">
        <f t="shared" ref="M42:R42" si="2">SUM(M21:M41)/1000000000</f>
        <v>28.721558687477113</v>
      </c>
      <c r="N42" s="53">
        <f t="shared" si="2"/>
        <v>60.483987432386769</v>
      </c>
      <c r="O42" s="53">
        <f t="shared" si="2"/>
        <v>37.353894596573248</v>
      </c>
      <c r="P42" s="100">
        <f t="shared" si="2"/>
        <v>57.302204316481308</v>
      </c>
      <c r="Q42" s="100">
        <f t="shared" si="2"/>
        <v>106.64566922938097</v>
      </c>
      <c r="R42" s="100">
        <f t="shared" si="2"/>
        <v>180.90445413628348</v>
      </c>
    </row>
    <row r="43" spans="1:18" s="28" customFormat="1" x14ac:dyDescent="0.2">
      <c r="C43" s="29"/>
      <c r="D43" s="30"/>
      <c r="E43" s="30"/>
      <c r="F43" s="30"/>
      <c r="G43" s="30"/>
      <c r="H43" s="30"/>
      <c r="I43" s="30"/>
      <c r="J43" s="30"/>
      <c r="K43" s="43"/>
      <c r="L43" s="44"/>
      <c r="M43" s="45"/>
      <c r="N43" s="45"/>
      <c r="P43" s="92"/>
      <c r="Q43" s="92"/>
      <c r="R43" s="92"/>
    </row>
    <row r="44" spans="1:18" x14ac:dyDescent="0.2">
      <c r="G44" s="30"/>
    </row>
    <row r="45" spans="1:18" x14ac:dyDescent="0.2">
      <c r="A45" s="24" t="s">
        <v>42</v>
      </c>
      <c r="B45" s="24">
        <v>2030</v>
      </c>
      <c r="C45" s="25">
        <f>Load!D12</f>
        <v>195567</v>
      </c>
      <c r="D45" s="26">
        <f>8760*('Existing Capacity'!B$6+'PS Relative Buildout- All Yrs'!C50)*E$4</f>
        <v>13962.564000000002</v>
      </c>
      <c r="E45" s="26">
        <f>8760*('Existing Capacity'!C$6+'PS Relative Buildout- All Yrs'!D50)*E$12</f>
        <v>19361.5272</v>
      </c>
      <c r="F45" s="26">
        <f>8760*('Existing Capacity'!D$6+'PS Relative Buildout- All Yrs'!I50)*Main!E$11</f>
        <v>80215.758000000002</v>
      </c>
      <c r="G45" s="26">
        <f>8760*'Existing Capacity'!G$6*Main!E$15</f>
        <v>9005.2799999999988</v>
      </c>
      <c r="H45" s="26">
        <f>8760*('Existing Capacity'!H$6+'PS Relative Buildout- All Yrs'!J50)*E$13</f>
        <v>0</v>
      </c>
      <c r="I45" s="26">
        <f>8760*('Existing Capacity'!$I$6+'PS Relative Buildout- All Yrs'!K50)*E$14</f>
        <v>0</v>
      </c>
      <c r="J45" s="39">
        <f>C45-SUM(D45:I45)</f>
        <v>73021.870800000004</v>
      </c>
      <c r="K45" s="40">
        <f>J45/((SUM('Existing Capacity'!E$6:F$6)+SUM('PS Relative Buildout- All Yrs'!F50:G50))*8760)</f>
        <v>0.55476041528018105</v>
      </c>
      <c r="L45" s="4">
        <f t="shared" ref="L45:L65" si="3">1/(1+$G$10)^(B45-2025)</f>
        <v>1</v>
      </c>
      <c r="M45" s="52">
        <f>J45*$G$6*'Projected NG Prices'!B11*L45</f>
        <v>1571035753.2464154</v>
      </c>
      <c r="N45" s="52">
        <f>J45*$G$6*'Projected NG Prices'!D11*L45</f>
        <v>3530941742.4449239</v>
      </c>
      <c r="O45" s="52">
        <f>J45*$G$6*'Projected NG Prices'!C11*L45</f>
        <v>2364331034.5886669</v>
      </c>
      <c r="P45" s="57">
        <f>'PS Relative Buildout- All Yrs'!$M50*(Main!$G$9*'Nuclear Capex'!J7+(1-Main!$G$9)*'Nuclear Capex'!M7)*Main!$L45*1000000</f>
        <v>0</v>
      </c>
      <c r="Q45" s="57">
        <f>'PS Relative Buildout- All Yrs'!$M50*(Main!$G$9*'Nuclear Capex'!K7+(1-Main!$G$9)*'Nuclear Capex'!N7)*Main!$L45*1000000</f>
        <v>0</v>
      </c>
      <c r="R45" s="57">
        <f>'PS Relative Buildout- All Yrs'!$M50*(Main!$G$9*'Nuclear Capex'!L7+(1-Main!$G$9)*'Nuclear Capex'!O7)*Main!$L45*1000000</f>
        <v>0</v>
      </c>
    </row>
    <row r="46" spans="1:18" x14ac:dyDescent="0.2">
      <c r="A46" s="24" t="s">
        <v>42</v>
      </c>
      <c r="B46" s="24">
        <v>2031</v>
      </c>
      <c r="C46" s="25">
        <f>Load!D13</f>
        <v>199666</v>
      </c>
      <c r="D46" s="26">
        <f>8760*('Existing Capacity'!B$6+'PS Relative Buildout- All Yrs'!C51)*E$4</f>
        <v>12283.564000000002</v>
      </c>
      <c r="E46" s="26">
        <f>8760*('Existing Capacity'!C$6+'PS Relative Buildout- All Yrs'!D51)*E$12</f>
        <v>20859.487200000003</v>
      </c>
      <c r="F46" s="26">
        <f>8760*('Existing Capacity'!D$6+'PS Relative Buildout- All Yrs'!I29)*Main!E$11</f>
        <v>80215.758000000002</v>
      </c>
      <c r="G46" s="26">
        <f>8760*'Existing Capacity'!G$6*Main!E$15</f>
        <v>9005.2799999999988</v>
      </c>
      <c r="H46" s="26">
        <f>8760*('Existing Capacity'!H$6+'PS Relative Buildout- All Yrs'!J51)*E$13</f>
        <v>0</v>
      </c>
      <c r="I46" s="26">
        <f>8760*('Existing Capacity'!$I$6+'PS Relative Buildout- All Yrs'!K51)*E$14</f>
        <v>0</v>
      </c>
      <c r="J46" s="39">
        <f t="shared" ref="J46:J65" si="4">C46-SUM(D46:I46)</f>
        <v>77301.910799999998</v>
      </c>
      <c r="K46" s="40">
        <f>J46/((SUM('Existing Capacity'!E$6:F$6)+SUM('PS Relative Buildout- All Yrs'!F51:G51))*8760)</f>
        <v>0.54948850353455259</v>
      </c>
      <c r="L46" s="4">
        <f t="shared" si="3"/>
        <v>1</v>
      </c>
      <c r="M46" s="52">
        <f>J46*$G$6*'Projected NG Prices'!B12*L46</f>
        <v>2025382626.575037</v>
      </c>
      <c r="N46" s="52">
        <f>J46*$G$6*'Projected NG Prices'!D12*L46</f>
        <v>4067231778.5693884</v>
      </c>
      <c r="O46" s="52">
        <f>J46*$G$6*'Projected NG Prices'!C12*L46</f>
        <v>2502911863.7350063</v>
      </c>
      <c r="P46" s="57">
        <f>'PS Relative Buildout- All Yrs'!$M51*(Main!$G$9*'Nuclear Capex'!J8+(1-Main!$G$9)*'Nuclear Capex'!M8)*Main!$L46*1000000</f>
        <v>0</v>
      </c>
      <c r="Q46" s="57">
        <f>'PS Relative Buildout- All Yrs'!$M51*(Main!$G$9*'Nuclear Capex'!K8+(1-Main!$G$9)*'Nuclear Capex'!N8)*Main!$L46*1000000</f>
        <v>0</v>
      </c>
      <c r="R46" s="57">
        <f>'PS Relative Buildout- All Yrs'!$M51*(Main!$G$9*'Nuclear Capex'!L8+(1-Main!$G$9)*'Nuclear Capex'!O8)*Main!$L46*1000000</f>
        <v>0</v>
      </c>
    </row>
    <row r="47" spans="1:18" x14ac:dyDescent="0.2">
      <c r="A47" s="24" t="s">
        <v>42</v>
      </c>
      <c r="B47" s="24">
        <v>2032</v>
      </c>
      <c r="C47" s="25">
        <f>Load!D14</f>
        <v>202186</v>
      </c>
      <c r="D47" s="26">
        <f>8760*('Existing Capacity'!B$6+'PS Relative Buildout- All Yrs'!C52)*E$4</f>
        <v>10604.564</v>
      </c>
      <c r="E47" s="26">
        <f>8760*('Existing Capacity'!C$6+'PS Relative Buildout- All Yrs'!D52)*E$12</f>
        <v>22357.447199999999</v>
      </c>
      <c r="F47" s="26">
        <f>8760*('Existing Capacity'!D$6+'PS Relative Buildout- All Yrs'!I30)*Main!E$11</f>
        <v>80215.758000000002</v>
      </c>
      <c r="G47" s="26">
        <f>8760*'Existing Capacity'!G$6*Main!E$15</f>
        <v>9005.2799999999988</v>
      </c>
      <c r="H47" s="26">
        <f>8760*('Existing Capacity'!H$6+'PS Relative Buildout- All Yrs'!J52)*E$13</f>
        <v>0</v>
      </c>
      <c r="I47" s="26">
        <f>8760*('Existing Capacity'!$I$6+'PS Relative Buildout- All Yrs'!K52)*E$14</f>
        <v>0</v>
      </c>
      <c r="J47" s="39">
        <f t="shared" si="4"/>
        <v>80002.950799999991</v>
      </c>
      <c r="K47" s="40">
        <f>J47/((SUM('Existing Capacity'!E$6:F$6)+SUM('PS Relative Buildout- All Yrs'!F52:G52))*8760)</f>
        <v>0.53430849139821768</v>
      </c>
      <c r="L47" s="4">
        <f t="shared" si="3"/>
        <v>1</v>
      </c>
      <c r="M47" s="52">
        <f>J47*$G$6*'Projected NG Prices'!B13*L47</f>
        <v>2351780752.7414532</v>
      </c>
      <c r="N47" s="52">
        <f>J47*$G$6*'Projected NG Prices'!D13*L47</f>
        <v>4567226389.381959</v>
      </c>
      <c r="O47" s="52">
        <f>J47*$G$6*'Projected NG Prices'!C13*L47</f>
        <v>2675576653.4812217</v>
      </c>
      <c r="P47" s="57">
        <f>'PS Relative Buildout- All Yrs'!$M52*(Main!$G$9*'Nuclear Capex'!J9+(1-Main!$G$9)*'Nuclear Capex'!M9)*Main!$L47*1000000</f>
        <v>0</v>
      </c>
      <c r="Q47" s="57">
        <f>'PS Relative Buildout- All Yrs'!$M52*(Main!$G$9*'Nuclear Capex'!K9+(1-Main!$G$9)*'Nuclear Capex'!N9)*Main!$L47*1000000</f>
        <v>0</v>
      </c>
      <c r="R47" s="57">
        <f>'PS Relative Buildout- All Yrs'!$M52*(Main!$G$9*'Nuclear Capex'!L9+(1-Main!$G$9)*'Nuclear Capex'!O9)*Main!$L47*1000000</f>
        <v>0</v>
      </c>
    </row>
    <row r="48" spans="1:18" x14ac:dyDescent="0.2">
      <c r="A48" s="24" t="s">
        <v>42</v>
      </c>
      <c r="B48" s="24">
        <v>2033</v>
      </c>
      <c r="C48" s="25">
        <f>Load!D15</f>
        <v>205776</v>
      </c>
      <c r="D48" s="26">
        <f>8760*('Existing Capacity'!B$6+'PS Relative Buildout- All Yrs'!C53)*E$5</f>
        <v>1552.2720000000002</v>
      </c>
      <c r="E48" s="26">
        <f>8760*('Existing Capacity'!C$6+'PS Relative Buildout- All Yrs'!D53)*E$12</f>
        <v>23855.407200000001</v>
      </c>
      <c r="F48" s="26">
        <f>8760*('Existing Capacity'!D$6+'PS Relative Buildout- All Yrs'!I31)*Main!E$11</f>
        <v>80215.758000000002</v>
      </c>
      <c r="G48" s="26">
        <f>8760*'Existing Capacity'!G$6*Main!E$15</f>
        <v>9005.2799999999988</v>
      </c>
      <c r="H48" s="26">
        <f>8760*('Existing Capacity'!H$6+'PS Relative Buildout- All Yrs'!J53)*E$13</f>
        <v>0</v>
      </c>
      <c r="I48" s="26">
        <f>8760*('Existing Capacity'!$I$6+'PS Relative Buildout- All Yrs'!K53)*E$14</f>
        <v>0</v>
      </c>
      <c r="J48" s="39">
        <f t="shared" si="4"/>
        <v>91147.282800000001</v>
      </c>
      <c r="K48" s="40">
        <f>J48/((SUM('Existing Capacity'!E$6:F$6)+SUM('PS Relative Buildout- All Yrs'!F53:G53))*8760)</f>
        <v>0.57403403723403457</v>
      </c>
      <c r="L48" s="4">
        <f t="shared" si="3"/>
        <v>1</v>
      </c>
      <c r="M48" s="52">
        <f>J48*$G$6*'Projected NG Prices'!B14*L48</f>
        <v>2815292143.1204705</v>
      </c>
      <c r="N48" s="52">
        <f>J48*$G$6*'Projected NG Prices'!D14*L48</f>
        <v>5436426207.405056</v>
      </c>
      <c r="O48" s="52">
        <f>J48*$G$6*'Projected NG Prices'!C14*L48</f>
        <v>3203608300.7922626</v>
      </c>
      <c r="P48" s="57">
        <f>'PS Relative Buildout- All Yrs'!$M53*(Main!$G$9*'Nuclear Capex'!J10+(1-Main!$G$9)*'Nuclear Capex'!M10)*Main!$L48*1000000</f>
        <v>0</v>
      </c>
      <c r="Q48" s="57">
        <f>'PS Relative Buildout- All Yrs'!$M53*(Main!$G$9*'Nuclear Capex'!K10+(1-Main!$G$9)*'Nuclear Capex'!N10)*Main!$L48*1000000</f>
        <v>0</v>
      </c>
      <c r="R48" s="57">
        <f>'PS Relative Buildout- All Yrs'!$M53*(Main!$G$9*'Nuclear Capex'!L10+(1-Main!$G$9)*'Nuclear Capex'!O10)*Main!$L48*1000000</f>
        <v>0</v>
      </c>
    </row>
    <row r="49" spans="1:18" x14ac:dyDescent="0.2">
      <c r="A49" s="24" t="s">
        <v>42</v>
      </c>
      <c r="B49" s="24">
        <v>2034</v>
      </c>
      <c r="C49" s="25">
        <f>Load!D16</f>
        <v>208139</v>
      </c>
      <c r="D49" s="26">
        <f>8760*('Existing Capacity'!B$6+'PS Relative Buildout- All Yrs'!C54)*E$5</f>
        <v>1306.9920000000002</v>
      </c>
      <c r="E49" s="26">
        <f>8760*('Existing Capacity'!C$6+'PS Relative Buildout- All Yrs'!D54)*E$12</f>
        <v>28112.767199999998</v>
      </c>
      <c r="F49" s="26">
        <f>8760*('Existing Capacity'!D$6+'PS Relative Buildout- All Yrs'!I32)*Main!E$11</f>
        <v>82449.558000000005</v>
      </c>
      <c r="G49" s="26">
        <f>8760*'Existing Capacity'!G$6*Main!E$15</f>
        <v>9005.2799999999988</v>
      </c>
      <c r="H49" s="26">
        <f>8760*('Existing Capacity'!H$6+'PS Relative Buildout- All Yrs'!J54)*E$13</f>
        <v>0</v>
      </c>
      <c r="I49" s="26">
        <f>8760*('Existing Capacity'!$I$6+'PS Relative Buildout- All Yrs'!K54)*E$14</f>
        <v>0</v>
      </c>
      <c r="J49" s="39">
        <f t="shared" si="4"/>
        <v>87264.402799999996</v>
      </c>
      <c r="K49" s="40">
        <f>J49/((SUM('Existing Capacity'!E$6:F$6)+SUM('PS Relative Buildout- All Yrs'!F54:G54))*8760)</f>
        <v>0.53055442146099263</v>
      </c>
      <c r="L49" s="4">
        <f t="shared" si="3"/>
        <v>1</v>
      </c>
      <c r="M49" s="52">
        <f>J49*$G$6*'Projected NG Prices'!B15*L49</f>
        <v>2751126599.8646235</v>
      </c>
      <c r="N49" s="52">
        <f>J49*$G$6*'Projected NG Prices'!D15*L49</f>
        <v>5520841892.9715738</v>
      </c>
      <c r="O49" s="52">
        <f>J49*$G$6*'Projected NG Prices'!C15*L49</f>
        <v>3327376090.3768067</v>
      </c>
      <c r="P49" s="57">
        <f>'PS Relative Buildout- All Yrs'!$M54*(Main!$G$9*'Nuclear Capex'!J11+(1-Main!$G$9)*'Nuclear Capex'!M11)*Main!$L49*1000000</f>
        <v>969929597.63158405</v>
      </c>
      <c r="Q49" s="57">
        <f>'PS Relative Buildout- All Yrs'!$M54*(Main!$G$9*'Nuclear Capex'!K11+(1-Main!$G$9)*'Nuclear Capex'!N11)*Main!$L49*1000000</f>
        <v>1571133578.1374474</v>
      </c>
      <c r="R49" s="57">
        <f>'PS Relative Buildout- All Yrs'!$M54*(Main!$G$9*'Nuclear Capex'!L11+(1-Main!$G$9)*'Nuclear Capex'!O11)*Main!$L49*1000000</f>
        <v>2422315071.6314692</v>
      </c>
    </row>
    <row r="50" spans="1:18" x14ac:dyDescent="0.2">
      <c r="A50" s="24" t="s">
        <v>42</v>
      </c>
      <c r="B50" s="24">
        <v>2035</v>
      </c>
      <c r="C50" s="25">
        <f>Load!D17</f>
        <v>210985</v>
      </c>
      <c r="D50" s="26">
        <f>8760*('Existing Capacity'!B$6+'PS Relative Buildout- All Yrs'!C55)*E$6</f>
        <v>0</v>
      </c>
      <c r="E50" s="26">
        <f>8760*('Existing Capacity'!C$6+'PS Relative Buildout- All Yrs'!D55)*E$12</f>
        <v>32370.127200000003</v>
      </c>
      <c r="F50" s="26">
        <f>8760*('Existing Capacity'!D$6+'PS Relative Buildout- All Yrs'!I33)*Main!E$11</f>
        <v>84683.357999999993</v>
      </c>
      <c r="G50" s="26">
        <f>8760*'Existing Capacity'!G$6*Main!E$15</f>
        <v>9005.2799999999988</v>
      </c>
      <c r="H50" s="26">
        <f>8760*('Existing Capacity'!H$6+'PS Relative Buildout- All Yrs'!J55)*E$13</f>
        <v>0</v>
      </c>
      <c r="I50" s="26">
        <f>8760*('Existing Capacity'!$I$6+'PS Relative Buildout- All Yrs'!K55)*E$14</f>
        <v>0</v>
      </c>
      <c r="J50" s="39">
        <f t="shared" si="4"/>
        <v>84926.234800000006</v>
      </c>
      <c r="K50" s="40">
        <f>J50/((SUM('Existing Capacity'!E$6:F$6)+SUM('PS Relative Buildout- All Yrs'!F55:G55))*8760)</f>
        <v>0.49906185844231743</v>
      </c>
      <c r="L50" s="4">
        <f t="shared" si="3"/>
        <v>1</v>
      </c>
      <c r="M50" s="52">
        <f>J50*$G$6*'Projected NG Prices'!B16*L50</f>
        <v>2749775243.8904109</v>
      </c>
      <c r="N50" s="52">
        <f>J50*$G$6*'Projected NG Prices'!D16*L50</f>
        <v>5571912994.1989994</v>
      </c>
      <c r="O50" s="52">
        <f>J50*$G$6*'Projected NG Prices'!C16*L50</f>
        <v>3401037801.6539311</v>
      </c>
      <c r="P50" s="57">
        <f>'PS Relative Buildout- All Yrs'!$M55*(Main!$G$9*'Nuclear Capex'!J12+(1-Main!$G$9)*'Nuclear Capex'!M12)*Main!$L50*1000000</f>
        <v>909603098.53369153</v>
      </c>
      <c r="Q50" s="57">
        <f>'PS Relative Buildout- All Yrs'!$M55*(Main!$G$9*'Nuclear Capex'!K12+(1-Main!$G$9)*'Nuclear Capex'!N12)*Main!$L50*1000000</f>
        <v>1566729881.7800159</v>
      </c>
      <c r="R50" s="57">
        <f>'PS Relative Buildout- All Yrs'!$M55*(Main!$G$9*'Nuclear Capex'!L12+(1-Main!$G$9)*'Nuclear Capex'!O12)*Main!$L50*1000000</f>
        <v>2469891953.3075156</v>
      </c>
    </row>
    <row r="51" spans="1:18" x14ac:dyDescent="0.2">
      <c r="A51" s="24" t="s">
        <v>42</v>
      </c>
      <c r="B51" s="24">
        <v>2036</v>
      </c>
      <c r="C51" s="25">
        <f>Load!D18</f>
        <v>213960</v>
      </c>
      <c r="D51" s="26">
        <f>8760*('Existing Capacity'!B$6+'PS Relative Buildout- All Yrs'!C56)*E$6</f>
        <v>0</v>
      </c>
      <c r="E51" s="26">
        <f>8760*('Existing Capacity'!C$6+'PS Relative Buildout- All Yrs'!D56)*E$12</f>
        <v>36627.487200000003</v>
      </c>
      <c r="F51" s="26">
        <f>8760*('Existing Capacity'!D$6+'PS Relative Buildout- All Yrs'!I34)*Main!E$11</f>
        <v>88406.357999999993</v>
      </c>
      <c r="G51" s="26">
        <f>8760*'Existing Capacity'!G$6*Main!E$15</f>
        <v>9005.2799999999988</v>
      </c>
      <c r="H51" s="26">
        <f>8760*('Existing Capacity'!H$6+'PS Relative Buildout- All Yrs'!J56)*E$13</f>
        <v>0</v>
      </c>
      <c r="I51" s="26">
        <f>8760*('Existing Capacity'!$I$6+'PS Relative Buildout- All Yrs'!K56)*E$14</f>
        <v>0</v>
      </c>
      <c r="J51" s="39">
        <f t="shared" si="4"/>
        <v>79920.874799999991</v>
      </c>
      <c r="K51" s="40">
        <f>J51/((SUM('Existing Capacity'!E$6:F$6)+SUM('PS Relative Buildout- All Yrs'!F56:G56))*8760)</f>
        <v>0.46964828241771728</v>
      </c>
      <c r="L51" s="4">
        <f t="shared" si="3"/>
        <v>1</v>
      </c>
      <c r="M51" s="52">
        <f>J51*$G$6*'Projected NG Prices'!B17*L51</f>
        <v>2604734122.7356582</v>
      </c>
      <c r="N51" s="52">
        <f>J51*$G$6*'Projected NG Prices'!D17*L51</f>
        <v>5481858741.966548</v>
      </c>
      <c r="O51" s="52">
        <f>J51*$G$6*'Projected NG Prices'!C17*L51</f>
        <v>3319759176.0356388</v>
      </c>
      <c r="P51" s="57">
        <f>'PS Relative Buildout- All Yrs'!$M56*(Main!$G$9*'Nuclear Capex'!J13+(1-Main!$G$9)*'Nuclear Capex'!M13)*Main!$L51*1000000</f>
        <v>3553967777.6296682</v>
      </c>
      <c r="Q51" s="57">
        <f>'PS Relative Buildout- All Yrs'!$M56*(Main!$G$9*'Nuclear Capex'!K13+(1-Main!$G$9)*'Nuclear Capex'!N13)*Main!$L51*1000000</f>
        <v>6214558249.4126873</v>
      </c>
      <c r="R51" s="57">
        <f>'PS Relative Buildout- All Yrs'!$M56*(Main!$G$9*'Nuclear Capex'!L13+(1-Main!$G$9)*'Nuclear Capex'!O13)*Main!$L51*1000000</f>
        <v>9934933842.9717999</v>
      </c>
    </row>
    <row r="52" spans="1:18" x14ac:dyDescent="0.2">
      <c r="A52" s="24" t="s">
        <v>42</v>
      </c>
      <c r="B52" s="24">
        <v>2037</v>
      </c>
      <c r="C52" s="25">
        <f>Load!D19</f>
        <v>216729</v>
      </c>
      <c r="D52" s="26">
        <f>8760*('Existing Capacity'!B$6+'PS Relative Buildout- All Yrs'!C57)*E$6</f>
        <v>0</v>
      </c>
      <c r="E52" s="26">
        <f>8760*('Existing Capacity'!C$6+'PS Relative Buildout- All Yrs'!D57)*E$12</f>
        <v>40884.847199999997</v>
      </c>
      <c r="F52" s="26">
        <f>8760*('Existing Capacity'!D$6+'PS Relative Buildout- All Yrs'!I35)*Main!E$11</f>
        <v>92129.357999999993</v>
      </c>
      <c r="G52" s="26">
        <f>8760*'Existing Capacity'!G$6*Main!E$15</f>
        <v>9005.2799999999988</v>
      </c>
      <c r="H52" s="26">
        <f>8760*('Existing Capacity'!H$6+'PS Relative Buildout- All Yrs'!J57)*E$13</f>
        <v>0</v>
      </c>
      <c r="I52" s="26">
        <f>8760*('Existing Capacity'!$I$6+'PS Relative Buildout- All Yrs'!K57)*E$14</f>
        <v>0</v>
      </c>
      <c r="J52" s="39">
        <f t="shared" si="4"/>
        <v>74709.514800000004</v>
      </c>
      <c r="K52" s="40">
        <f>J52/((SUM('Existing Capacity'!E$6:F$6)+SUM('PS Relative Buildout- All Yrs'!F57:G57))*8760)</f>
        <v>0.43902416476153278</v>
      </c>
      <c r="L52" s="4">
        <f t="shared" si="3"/>
        <v>1</v>
      </c>
      <c r="M52" s="52">
        <f>J52*$G$6*'Projected NG Prices'!B18*L52</f>
        <v>2498545761.0369773</v>
      </c>
      <c r="N52" s="52">
        <f>J52*$G$6*'Projected NG Prices'!D18*L52</f>
        <v>5267634693.6512108</v>
      </c>
      <c r="O52" s="52">
        <f>J52*$G$6*'Projected NG Prices'!C18*L52</f>
        <v>3198775146.2957482</v>
      </c>
      <c r="P52" s="57">
        <f>'PS Relative Buildout- All Yrs'!$M57*(Main!$G$9*'Nuclear Capex'!J14+(1-Main!$G$9)*'Nuclear Capex'!M14)*Main!$L52*1000000</f>
        <v>3463026922.5529842</v>
      </c>
      <c r="Q52" s="57">
        <f>'PS Relative Buildout- All Yrs'!$M57*(Main!$G$9*'Nuclear Capex'!K14+(1-Main!$G$9)*'Nuclear Capex'!N14)*Main!$L52*1000000</f>
        <v>6155662083.1154995</v>
      </c>
      <c r="R52" s="57">
        <f>'PS Relative Buildout- All Yrs'!$M57*(Main!$G$9*'Nuclear Capex'!L14+(1-Main!$G$9)*'Nuclear Capex'!O14)*Main!$L52*1000000</f>
        <v>9986893444.3173599</v>
      </c>
    </row>
    <row r="53" spans="1:18" x14ac:dyDescent="0.2">
      <c r="A53" s="24" t="s">
        <v>42</v>
      </c>
      <c r="B53" s="24">
        <v>2038</v>
      </c>
      <c r="C53" s="25">
        <f>Load!D20</f>
        <v>219625</v>
      </c>
      <c r="D53" s="26">
        <f>8760*('Existing Capacity'!B$6+'PS Relative Buildout- All Yrs'!C58)*E$6</f>
        <v>0</v>
      </c>
      <c r="E53" s="26">
        <f>8760*('Existing Capacity'!C$6+'PS Relative Buildout- All Yrs'!D58)*E$12</f>
        <v>45142.207199999997</v>
      </c>
      <c r="F53" s="26">
        <f>8760*('Existing Capacity'!D$6+'PS Relative Buildout- All Yrs'!I36)*Main!E$11</f>
        <v>95852.357999999993</v>
      </c>
      <c r="G53" s="26">
        <f>8760*'Existing Capacity'!G$6*Main!E$15</f>
        <v>9005.2799999999988</v>
      </c>
      <c r="H53" s="26">
        <f>8760*('Existing Capacity'!H$6+'PS Relative Buildout- All Yrs'!J58)*E$13</f>
        <v>0</v>
      </c>
      <c r="I53" s="26">
        <f>8760*('Existing Capacity'!$I$6+'PS Relative Buildout- All Yrs'!K58)*E$14</f>
        <v>0</v>
      </c>
      <c r="J53" s="39">
        <f t="shared" si="4"/>
        <v>69625.154800000018</v>
      </c>
      <c r="K53" s="40">
        <f>J53/((SUM('Existing Capacity'!E$6:F$6)+SUM('PS Relative Buildout- All Yrs'!F58:G58))*8760)</f>
        <v>0.40914635189763582</v>
      </c>
      <c r="L53" s="4">
        <f t="shared" si="3"/>
        <v>1</v>
      </c>
      <c r="M53" s="52">
        <f>J53*$G$6*'Projected NG Prices'!B19*L53</f>
        <v>2373000862.664402</v>
      </c>
      <c r="N53" s="52">
        <f>J53*$G$6*'Projected NG Prices'!D19*L53</f>
        <v>5057458088.5535145</v>
      </c>
      <c r="O53" s="52">
        <f>J53*$G$6*'Projected NG Prices'!C19*L53</f>
        <v>3144226143.0303392</v>
      </c>
      <c r="P53" s="57">
        <f>'PS Relative Buildout- All Yrs'!$M58*(Main!$G$9*'Nuclear Capex'!J15+(1-Main!$G$9)*'Nuclear Capex'!M15)*Main!$L53*1000000</f>
        <v>3365317794.8614464</v>
      </c>
      <c r="Q53" s="57">
        <f>'PS Relative Buildout- All Yrs'!$M58*(Main!$G$9*'Nuclear Capex'!K15+(1-Main!$G$9)*'Nuclear Capex'!N15)*Main!$L53*1000000</f>
        <v>6089937009.5975637</v>
      </c>
      <c r="R53" s="57">
        <f>'PS Relative Buildout- All Yrs'!$M58*(Main!$G$9*'Nuclear Capex'!L15+(1-Main!$G$9)*'Nuclear Capex'!O15)*Main!$L53*1000000</f>
        <v>10035241692.078341</v>
      </c>
    </row>
    <row r="54" spans="1:18" x14ac:dyDescent="0.2">
      <c r="A54" s="24" t="s">
        <v>42</v>
      </c>
      <c r="B54" s="24">
        <v>2039</v>
      </c>
      <c r="C54" s="25">
        <f>Load!D21</f>
        <v>224896</v>
      </c>
      <c r="D54" s="26">
        <f>8760*('Existing Capacity'!B$6+'PS Relative Buildout- All Yrs'!C59)*E$6</f>
        <v>0</v>
      </c>
      <c r="E54" s="26">
        <f>8760*('Existing Capacity'!C$6+'PS Relative Buildout- All Yrs'!D59)*E$12</f>
        <v>49399.567199999998</v>
      </c>
      <c r="F54" s="26">
        <f>8760*('Existing Capacity'!D$6+'PS Relative Buildout- All Yrs'!I37)*Main!E$11</f>
        <v>100319.958</v>
      </c>
      <c r="G54" s="26">
        <f>8760*'Existing Capacity'!G$6*Main!E$15</f>
        <v>9005.2799999999988</v>
      </c>
      <c r="H54" s="26">
        <f>8760*('Existing Capacity'!H$6+'PS Relative Buildout- All Yrs'!J59)*E$13</f>
        <v>251.85000000000002</v>
      </c>
      <c r="I54" s="26">
        <f>8760*('Existing Capacity'!$I$6+'PS Relative Buildout- All Yrs'!K59)*E$14</f>
        <v>1927.2</v>
      </c>
      <c r="J54" s="39">
        <f t="shared" si="4"/>
        <v>63992.14479999998</v>
      </c>
      <c r="K54" s="40">
        <f>J54/((SUM('Existing Capacity'!E$6:F$6)+SUM('PS Relative Buildout- All Yrs'!F59:G59))*8760)</f>
        <v>0.37604444356689964</v>
      </c>
      <c r="L54" s="4">
        <f t="shared" si="3"/>
        <v>1</v>
      </c>
      <c r="M54" s="52">
        <f>J54*$G$6*'Projected NG Prices'!B20*L54</f>
        <v>2249170353.4005995</v>
      </c>
      <c r="N54" s="52">
        <f>J54*$G$6*'Projected NG Prices'!D20*L54</f>
        <v>4852755429.1552343</v>
      </c>
      <c r="O54" s="52">
        <f>J54*$G$6*'Projected NG Prices'!C20*L54</f>
        <v>2944368462.6335125</v>
      </c>
      <c r="P54" s="57">
        <f>'PS Relative Buildout- All Yrs'!$M59*(Main!$G$9*'Nuclear Capex'!J16+(1-Main!$G$9)*'Nuclear Capex'!M16)*Main!$L54*1000000</f>
        <v>3260558818.958734</v>
      </c>
      <c r="Q54" s="57">
        <f>'PS Relative Buildout- All Yrs'!$M59*(Main!$G$9*'Nuclear Capex'!K16+(1-Main!$G$9)*'Nuclear Capex'!N16)*Main!$L54*1000000</f>
        <v>6017078393.6017847</v>
      </c>
      <c r="R54" s="57">
        <f>'PS Relative Buildout- All Yrs'!$M59*(Main!$G$9*'Nuclear Capex'!L16+(1-Main!$G$9)*'Nuclear Capex'!O16)*Main!$L54*1000000</f>
        <v>10079765543.824669</v>
      </c>
    </row>
    <row r="55" spans="1:18" x14ac:dyDescent="0.2">
      <c r="A55" s="24" t="s">
        <v>42</v>
      </c>
      <c r="B55" s="24">
        <v>2040</v>
      </c>
      <c r="C55" s="25">
        <f>Load!D22</f>
        <v>230293.50400000002</v>
      </c>
      <c r="D55" s="26">
        <f>8760*('Existing Capacity'!B$6+'PS Relative Buildout- All Yrs'!C60)*E$6</f>
        <v>0</v>
      </c>
      <c r="E55" s="26">
        <f>8760*('Existing Capacity'!C$6+'PS Relative Buildout- All Yrs'!D60)*E$12</f>
        <v>53656.927199999998</v>
      </c>
      <c r="F55" s="26">
        <f>8760*('Existing Capacity'!D$6+'PS Relative Buildout- All Yrs'!I38)*Main!E$11</f>
        <v>104787.558</v>
      </c>
      <c r="G55" s="26">
        <f>8760*'Existing Capacity'!G$6*Main!E$15</f>
        <v>9005.2799999999988</v>
      </c>
      <c r="H55" s="26">
        <f>8760*('Existing Capacity'!H$6+'PS Relative Buildout- All Yrs'!J60)*E$13</f>
        <v>503.70000000000005</v>
      </c>
      <c r="I55" s="26">
        <f>8760*('Existing Capacity'!$I$6+'PS Relative Buildout- All Yrs'!K60)*E$14</f>
        <v>3854.4</v>
      </c>
      <c r="J55" s="39">
        <f t="shared" si="4"/>
        <v>58485.638800000015</v>
      </c>
      <c r="K55" s="40">
        <f>J55/((SUM('Existing Capacity'!E$6:F$6)+SUM('PS Relative Buildout- All Yrs'!F60:G60))*8760)</f>
        <v>0.34368592532627046</v>
      </c>
      <c r="L55" s="4">
        <f t="shared" si="3"/>
        <v>1</v>
      </c>
      <c r="M55" s="52">
        <f>J55*$G$6*'Projected NG Prices'!B21*L55</f>
        <v>2155296782.4942827</v>
      </c>
      <c r="N55" s="52">
        <f>J55*$G$6*'Projected NG Prices'!D21*L55</f>
        <v>4584677548.8895512</v>
      </c>
      <c r="O55" s="52">
        <f>J55*$G$6*'Projected NG Prices'!C21*L55</f>
        <v>2865423468.0559845</v>
      </c>
      <c r="P55" s="57">
        <f>'PS Relative Buildout- All Yrs'!$M60*(Main!$G$9*'Nuclear Capex'!J17+(1-Main!$G$9)*'Nuclear Capex'!M17)*Main!$L55*1000000</f>
        <v>3148458570.6390996</v>
      </c>
      <c r="Q55" s="57">
        <f>'PS Relative Buildout- All Yrs'!$M60*(Main!$G$9*'Nuclear Capex'!K17+(1-Main!$G$9)*'Nuclear Capex'!N17)*Main!$L55*1000000</f>
        <v>5936770636.1752195</v>
      </c>
      <c r="R55" s="57">
        <f>'PS Relative Buildout- All Yrs'!$M60*(Main!$G$9*'Nuclear Capex'!L17+(1-Main!$G$9)*'Nuclear Capex'!O17)*Main!$L55*1000000</f>
        <v>10120243562.100767</v>
      </c>
    </row>
    <row r="56" spans="1:18" x14ac:dyDescent="0.2">
      <c r="A56" s="24" t="s">
        <v>42</v>
      </c>
      <c r="B56" s="24">
        <v>2041</v>
      </c>
      <c r="C56" s="25">
        <f>Load!D23</f>
        <v>235820.54809600001</v>
      </c>
      <c r="D56" s="26">
        <f>8760*('Existing Capacity'!B$6+'PS Relative Buildout- All Yrs'!C61)*E$6</f>
        <v>0</v>
      </c>
      <c r="E56" s="26">
        <f>8760*('Existing Capacity'!C$6+'PS Relative Buildout- All Yrs'!D61)*E$12</f>
        <v>57914.287200000006</v>
      </c>
      <c r="F56" s="26">
        <f>8760*('Existing Capacity'!D$6+'PS Relative Buildout- All Yrs'!I39)*Main!E$11</f>
        <v>109255.158</v>
      </c>
      <c r="G56" s="26">
        <f>8760*'Existing Capacity'!G$6*Main!E$15</f>
        <v>9005.2799999999988</v>
      </c>
      <c r="H56" s="26">
        <f>8760*('Existing Capacity'!H$6+'PS Relative Buildout- All Yrs'!J61)*E$13</f>
        <v>755.55000000000007</v>
      </c>
      <c r="I56" s="26">
        <f>8760*('Existing Capacity'!$I$6+'PS Relative Buildout- All Yrs'!K61)*E$14</f>
        <v>5781.6000000000013</v>
      </c>
      <c r="J56" s="39">
        <f t="shared" si="4"/>
        <v>53108.672896000004</v>
      </c>
      <c r="K56" s="40">
        <f>J56/((SUM('Existing Capacity'!E$6:F$6)+SUM('PS Relative Buildout- All Yrs'!F61:G61))*8760)</f>
        <v>0.31208863853791025</v>
      </c>
      <c r="L56" s="4">
        <f t="shared" si="3"/>
        <v>1</v>
      </c>
      <c r="M56" s="52">
        <f>J56*$G$6*'Projected NG Prices'!B22*L56</f>
        <v>2025024210.5111065</v>
      </c>
      <c r="N56" s="52">
        <f>J56*$G$6*'Projected NG Prices'!D22*L56</f>
        <v>4287621093.7637038</v>
      </c>
      <c r="O56" s="52">
        <f>J56*$G$6*'Projected NG Prices'!C22*L56</f>
        <v>2726429244.3194213</v>
      </c>
      <c r="P56" s="57">
        <f>'PS Relative Buildout- All Yrs'!$M61*(Main!$G$9*'Nuclear Capex'!J18+(1-Main!$G$9)*'Nuclear Capex'!M18)*Main!$L56*1000000</f>
        <v>3141681305.3935099</v>
      </c>
      <c r="Q56" s="57">
        <f>'PS Relative Buildout- All Yrs'!$M61*(Main!$G$9*'Nuclear Capex'!K18+(1-Main!$G$9)*'Nuclear Capex'!N18)*Main!$L56*1000000</f>
        <v>5937044002.9189482</v>
      </c>
      <c r="R56" s="57">
        <f>'PS Relative Buildout- All Yrs'!$M61*(Main!$G$9*'Nuclear Capex'!L18+(1-Main!$G$9)*'Nuclear Capex'!O18)*Main!$L56*1000000</f>
        <v>10144348869.870485</v>
      </c>
    </row>
    <row r="57" spans="1:18" x14ac:dyDescent="0.2">
      <c r="A57" s="24" t="s">
        <v>42</v>
      </c>
      <c r="B57" s="24">
        <v>2042</v>
      </c>
      <c r="C57" s="25">
        <f>Load!D24</f>
        <v>241480.24125030401</v>
      </c>
      <c r="D57" s="26">
        <f>8760*('Existing Capacity'!B$6+'PS Relative Buildout- All Yrs'!C62)*E$6</f>
        <v>0</v>
      </c>
      <c r="E57" s="26">
        <f>8760*('Existing Capacity'!C$6+'PS Relative Buildout- All Yrs'!D62)*E$12</f>
        <v>62171.647199999999</v>
      </c>
      <c r="F57" s="26">
        <f>8760*('Existing Capacity'!D$6+'PS Relative Buildout- All Yrs'!I40)*Main!E$11</f>
        <v>113722.758</v>
      </c>
      <c r="G57" s="26">
        <f>8760*'Existing Capacity'!G$6*Main!E$15</f>
        <v>9005.2799999999988</v>
      </c>
      <c r="H57" s="26">
        <f>8760*('Existing Capacity'!H$6+'PS Relative Buildout- All Yrs'!J62)*E$13</f>
        <v>1007.4000000000001</v>
      </c>
      <c r="I57" s="26">
        <f>8760*('Existing Capacity'!$I$6+'PS Relative Buildout- All Yrs'!K62)*E$14</f>
        <v>7708.8</v>
      </c>
      <c r="J57" s="39">
        <f t="shared" si="4"/>
        <v>47864.356050304021</v>
      </c>
      <c r="K57" s="40">
        <f>J57/((SUM('Existing Capacity'!E$6:F$6)+SUM('PS Relative Buildout- All Yrs'!F62:G62))*8760)</f>
        <v>0.28127085275667374</v>
      </c>
      <c r="L57" s="4">
        <f t="shared" si="3"/>
        <v>1</v>
      </c>
      <c r="M57" s="52">
        <f>J57*$G$6*'Projected NG Prices'!B23*L57</f>
        <v>1845451070.534174</v>
      </c>
      <c r="N57" s="52">
        <f>J57*$G$6*'Projected NG Prices'!D23*L57</f>
        <v>3945798697.7719436</v>
      </c>
      <c r="O57" s="52">
        <f>J57*$G$6*'Projected NG Prices'!C23*L57</f>
        <v>2518377980.2317185</v>
      </c>
      <c r="P57" s="57">
        <f>'PS Relative Buildout- All Yrs'!$M62*(Main!$G$9*'Nuclear Capex'!J19+(1-Main!$G$9)*'Nuclear Capex'!M19)*Main!$L57*1000000</f>
        <v>3132597390.2789888</v>
      </c>
      <c r="Q57" s="57">
        <f>'PS Relative Buildout- All Yrs'!$M62*(Main!$G$9*'Nuclear Capex'!K19+(1-Main!$G$9)*'Nuclear Capex'!N19)*Main!$L57*1000000</f>
        <v>5933620556.3522501</v>
      </c>
      <c r="R57" s="57">
        <f>'PS Relative Buildout- All Yrs'!$M62*(Main!$G$9*'Nuclear Capex'!L19+(1-Main!$G$9)*'Nuclear Capex'!O19)*Main!$L57*1000000</f>
        <v>10163334290.802364</v>
      </c>
    </row>
    <row r="58" spans="1:18" x14ac:dyDescent="0.2">
      <c r="A58" s="24" t="s">
        <v>42</v>
      </c>
      <c r="B58" s="24">
        <v>2043</v>
      </c>
      <c r="C58" s="25">
        <f>Load!D25</f>
        <v>247275.7670403113</v>
      </c>
      <c r="D58" s="26">
        <f>8760*('Existing Capacity'!B$6+'PS Relative Buildout- All Yrs'!C63)*E$6</f>
        <v>0</v>
      </c>
      <c r="E58" s="26">
        <f>8760*('Existing Capacity'!C$6+'PS Relative Buildout- All Yrs'!D63)*E$12</f>
        <v>66429.007200000007</v>
      </c>
      <c r="F58" s="26">
        <f>8760*('Existing Capacity'!D$6+'PS Relative Buildout- All Yrs'!I41)*Main!E$11</f>
        <v>120424.15800000001</v>
      </c>
      <c r="G58" s="26">
        <f>8760*'Existing Capacity'!G$6*Main!E$15</f>
        <v>9005.2799999999988</v>
      </c>
      <c r="H58" s="26">
        <f>8760*('Existing Capacity'!H$6+'PS Relative Buildout- All Yrs'!J63)*E$13</f>
        <v>1007.4000000000001</v>
      </c>
      <c r="I58" s="26">
        <f>8760*('Existing Capacity'!$I$6+'PS Relative Buildout- All Yrs'!K63)*E$14</f>
        <v>7708.8</v>
      </c>
      <c r="J58" s="39">
        <f t="shared" si="4"/>
        <v>42701.121840311302</v>
      </c>
      <c r="K58" s="40">
        <f>J58/((SUM('Existing Capacity'!E$6:F$6)+SUM('PS Relative Buildout- All Yrs'!F63:G63))*8760)</f>
        <v>0.25092954224785186</v>
      </c>
      <c r="L58" s="4">
        <f t="shared" si="3"/>
        <v>1</v>
      </c>
      <c r="M58" s="52">
        <f>J58*$G$6*'Projected NG Prices'!B24*L58</f>
        <v>1691858231.8960028</v>
      </c>
      <c r="N58" s="52">
        <f>J58*$G$6*'Projected NG Prices'!D24*L58</f>
        <v>3611116763.7780037</v>
      </c>
      <c r="O58" s="52">
        <f>J58*$G$6*'Projected NG Prices'!C24*L58</f>
        <v>2301291035.8585415</v>
      </c>
      <c r="P58" s="57">
        <f>'PS Relative Buildout- All Yrs'!$M63*(Main!$G$9*'Nuclear Capex'!J20+(1-Main!$G$9)*'Nuclear Capex'!M20)*Main!$L58*1000000</f>
        <v>4508249385.7452612</v>
      </c>
      <c r="Q58" s="57">
        <f>'PS Relative Buildout- All Yrs'!$M63*(Main!$G$9*'Nuclear Capex'!K20+(1-Main!$G$9)*'Nuclear Capex'!N20)*Main!$L58*1000000</f>
        <v>8560233189.3800163</v>
      </c>
      <c r="R58" s="57">
        <f>'PS Relative Buildout- All Yrs'!$M63*(Main!$G$9*'Nuclear Capex'!L20+(1-Main!$G$9)*'Nuclear Capex'!O20)*Main!$L58*1000000</f>
        <v>14700008215.731482</v>
      </c>
    </row>
    <row r="59" spans="1:18" x14ac:dyDescent="0.2">
      <c r="A59" s="24" t="s">
        <v>42</v>
      </c>
      <c r="B59" s="24">
        <v>2044</v>
      </c>
      <c r="C59" s="25">
        <f>Load!D26</f>
        <v>253210.38544927878</v>
      </c>
      <c r="D59" s="26">
        <f>8760*('Existing Capacity'!B$6+'PS Relative Buildout- All Yrs'!C64)*E$6</f>
        <v>0</v>
      </c>
      <c r="E59" s="26">
        <f>8760*('Existing Capacity'!C$6+'PS Relative Buildout- All Yrs'!D64)*E$12</f>
        <v>70686.367200000008</v>
      </c>
      <c r="F59" s="26">
        <f>8760*('Existing Capacity'!D$6+'PS Relative Buildout- All Yrs'!I42)*Main!E$11</f>
        <v>127125.558</v>
      </c>
      <c r="G59" s="26">
        <f>8760*'Existing Capacity'!G$6*Main!E$15</f>
        <v>9005.2799999999988</v>
      </c>
      <c r="H59" s="26">
        <f>8760*('Existing Capacity'!H$6+'PS Relative Buildout- All Yrs'!J64)*E$13</f>
        <v>1007.4000000000001</v>
      </c>
      <c r="I59" s="26">
        <f>8760*('Existing Capacity'!$I$6+'PS Relative Buildout- All Yrs'!K64)*E$14</f>
        <v>7708.8</v>
      </c>
      <c r="J59" s="39">
        <f t="shared" si="4"/>
        <v>37676.9802492788</v>
      </c>
      <c r="K59" s="40">
        <f>J59/((SUM('Existing Capacity'!E$6:F$6)+SUM('PS Relative Buildout- All Yrs'!F64:G64))*8760)</f>
        <v>0.22140559778707586</v>
      </c>
      <c r="L59" s="4">
        <f t="shared" si="3"/>
        <v>1</v>
      </c>
      <c r="M59" s="52">
        <f>J59*$G$6*'Projected NG Prices'!B25*L59</f>
        <v>1581080758.2329483</v>
      </c>
      <c r="N59" s="52">
        <f>J59*$G$6*'Projected NG Prices'!D25*L59</f>
        <v>3394909445.3428226</v>
      </c>
      <c r="O59" s="52">
        <f>J59*$G$6*'Projected NG Prices'!C25*L59</f>
        <v>2126834522.4961007</v>
      </c>
      <c r="P59" s="57">
        <f>'PS Relative Buildout- All Yrs'!$M64*(Main!$G$9*'Nuclear Capex'!J21+(1-Main!$G$9)*'Nuclear Capex'!M21)*Main!$L59*1000000</f>
        <v>4487977159.5439854</v>
      </c>
      <c r="Q59" s="57">
        <f>'PS Relative Buildout- All Yrs'!$M64*(Main!$G$9*'Nuclear Capex'!K21+(1-Main!$G$9)*'Nuclear Capex'!N21)*Main!$L59*1000000</f>
        <v>8543796786.9814148</v>
      </c>
      <c r="R59" s="57">
        <f>'PS Relative Buildout- All Yrs'!$M64*(Main!$G$9*'Nuclear Capex'!L21+(1-Main!$G$9)*'Nuclear Capex'!O21)*Main!$L59*1000000</f>
        <v>14711451268.85342</v>
      </c>
    </row>
    <row r="60" spans="1:18" x14ac:dyDescent="0.2">
      <c r="A60" s="24" t="s">
        <v>42</v>
      </c>
      <c r="B60" s="24">
        <v>2045</v>
      </c>
      <c r="C60" s="25">
        <f>Load!D27</f>
        <v>259287.43470006148</v>
      </c>
      <c r="D60" s="26">
        <f>8760*('Existing Capacity'!B$6+'PS Relative Buildout- All Yrs'!C65)*E$6</f>
        <v>0</v>
      </c>
      <c r="E60" s="26">
        <f>8760*('Existing Capacity'!C$6+'PS Relative Buildout- All Yrs'!D65)*E$12</f>
        <v>74943.727199999994</v>
      </c>
      <c r="F60" s="26">
        <f>8760*('Existing Capacity'!D$6+'PS Relative Buildout- All Yrs'!I43)*Main!E$11</f>
        <v>133826.95799999998</v>
      </c>
      <c r="G60" s="26">
        <f>8760*'Existing Capacity'!G$6*Main!E$15</f>
        <v>9005.2799999999988</v>
      </c>
      <c r="H60" s="26">
        <f>8760*('Existing Capacity'!H$6+'PS Relative Buildout- All Yrs'!J65)*E$13</f>
        <v>1007.4000000000001</v>
      </c>
      <c r="I60" s="26">
        <f>8760*('Existing Capacity'!$I$6+'PS Relative Buildout- All Yrs'!K65)*E$14</f>
        <v>7708.8</v>
      </c>
      <c r="J60" s="39">
        <f t="shared" si="4"/>
        <v>32795.26950006152</v>
      </c>
      <c r="K60" s="40">
        <f>J60/((SUM('Existing Capacity'!E$6:F$6)+SUM('PS Relative Buildout- All Yrs'!F65:G65))*8760)</f>
        <v>0.19271863615949864</v>
      </c>
      <c r="L60" s="4">
        <f t="shared" si="3"/>
        <v>1</v>
      </c>
      <c r="M60" s="52">
        <f>J60*$G$6*'Projected NG Prices'!B26*L60</f>
        <v>1418139591.288599</v>
      </c>
      <c r="N60" s="52">
        <f>J60*$G$6*'Projected NG Prices'!D26*L60</f>
        <v>3059828280.7113504</v>
      </c>
      <c r="O60" s="52">
        <f>J60*$G$6*'Projected NG Prices'!C26*L60</f>
        <v>1928110971.40716</v>
      </c>
      <c r="P60" s="57">
        <f>'PS Relative Buildout- All Yrs'!$M65*(Main!$G$9*'Nuclear Capex'!J22+(1-Main!$G$9)*'Nuclear Capex'!M22)*Main!$L60*1000000</f>
        <v>4463873666.1665592</v>
      </c>
      <c r="Q60" s="57">
        <f>'PS Relative Buildout- All Yrs'!$M65*(Main!$G$9*'Nuclear Capex'!K22+(1-Main!$G$9)*'Nuclear Capex'!N22)*Main!$L60*1000000</f>
        <v>8521188418.719532</v>
      </c>
      <c r="R60" s="57">
        <f>'PS Relative Buildout- All Yrs'!$M65*(Main!$G$9*'Nuclear Capex'!L22+(1-Main!$G$9)*'Nuclear Capex'!O22)*Main!$L60*1000000</f>
        <v>14714278969.496639</v>
      </c>
    </row>
    <row r="61" spans="1:18" x14ac:dyDescent="0.2">
      <c r="A61" s="24" t="s">
        <v>42</v>
      </c>
      <c r="B61" s="24">
        <v>2046</v>
      </c>
      <c r="C61" s="25">
        <f>Load!D28</f>
        <v>265510.33313286299</v>
      </c>
      <c r="D61" s="26">
        <f>8760*('Existing Capacity'!B$6+'PS Relative Buildout- All Yrs'!C66)*E$6</f>
        <v>0</v>
      </c>
      <c r="E61" s="26">
        <f>8760*('Existing Capacity'!C$6+'PS Relative Buildout- All Yrs'!D66)*E$12</f>
        <v>79201.087200000024</v>
      </c>
      <c r="F61" s="26">
        <f>8760*('Existing Capacity'!D$6+'PS Relative Buildout- All Yrs'!I44)*Main!E$11</f>
        <v>139039.158</v>
      </c>
      <c r="G61" s="26">
        <f>8760*'Existing Capacity'!G$6*Main!E$15</f>
        <v>9005.2799999999988</v>
      </c>
      <c r="H61" s="26">
        <f>8760*('Existing Capacity'!H$6+'PS Relative Buildout- All Yrs'!J66)*E$13</f>
        <v>1732.7279999999998</v>
      </c>
      <c r="I61" s="26">
        <f>8760*('Existing Capacity'!$I$6+'PS Relative Buildout- All Yrs'!K66)*E$14</f>
        <v>7708.8</v>
      </c>
      <c r="J61" s="39">
        <f t="shared" si="4"/>
        <v>28823.279932862992</v>
      </c>
      <c r="K61" s="40">
        <f>J61/((SUM('Existing Capacity'!E$6:F$6)+SUM('PS Relative Buildout- All Yrs'!F66:G66))*8760)</f>
        <v>0.16937757435700845</v>
      </c>
      <c r="L61" s="4">
        <f t="shared" si="3"/>
        <v>1</v>
      </c>
      <c r="M61" s="52">
        <f>J61*$G$6*'Projected NG Prices'!B27*L61</f>
        <v>1264801464.2163961</v>
      </c>
      <c r="N61" s="52">
        <f>J61*$G$6*'Projected NG Prices'!D27*L61</f>
        <v>2769055632.8232675</v>
      </c>
      <c r="O61" s="52">
        <f>J61*$G$6*'Projected NG Prices'!C27*L61</f>
        <v>1737567060.0642712</v>
      </c>
      <c r="P61" s="57">
        <f>'PS Relative Buildout- All Yrs'!$M66*(Main!$G$9*'Nuclear Capex'!J23+(1-Main!$G$9)*'Nuclear Capex'!M23)*Main!$L61*1000000</f>
        <v>3724473823.4724793</v>
      </c>
      <c r="Q61" s="57">
        <f>'PS Relative Buildout- All Yrs'!$M66*(Main!$G$9*'Nuclear Capex'!K23+(1-Main!$G$9)*'Nuclear Capex'!N23)*Main!$L61*1000000</f>
        <v>7093770617.9984493</v>
      </c>
      <c r="R61" s="57">
        <f>'PS Relative Buildout- All Yrs'!$M66*(Main!$G$9*'Nuclear Capex'!L23+(1-Main!$G$9)*'Nuclear Capex'!O23)*Main!$L61*1000000</f>
        <v>12259875464.864447</v>
      </c>
    </row>
    <row r="62" spans="1:18" x14ac:dyDescent="0.2">
      <c r="A62" s="24" t="s">
        <v>42</v>
      </c>
      <c r="B62" s="24">
        <v>2047</v>
      </c>
      <c r="C62" s="25">
        <f>Load!D29</f>
        <v>271882.58112805168</v>
      </c>
      <c r="D62" s="26">
        <f>8760*('Existing Capacity'!B$6+'PS Relative Buildout- All Yrs'!C67)*E$6</f>
        <v>0</v>
      </c>
      <c r="E62" s="26">
        <f>8760*('Existing Capacity'!C$6+'PS Relative Buildout- All Yrs'!D67)*E$12</f>
        <v>83458.447199999995</v>
      </c>
      <c r="F62" s="26">
        <f>8760*('Existing Capacity'!D$6+'PS Relative Buildout- All Yrs'!I45)*Main!E$11</f>
        <v>144251.35799999998</v>
      </c>
      <c r="G62" s="26">
        <f>8760*'Existing Capacity'!G$6*Main!E$15</f>
        <v>9005.2799999999988</v>
      </c>
      <c r="H62" s="26">
        <f>8760*('Existing Capacity'!H$6+'PS Relative Buildout- All Yrs'!J67)*E$13</f>
        <v>2458.056</v>
      </c>
      <c r="I62" s="26">
        <f>8760*('Existing Capacity'!$I$6+'PS Relative Buildout- All Yrs'!K67)*E$14</f>
        <v>7708.8</v>
      </c>
      <c r="J62" s="39">
        <f t="shared" si="4"/>
        <v>25000.639928051707</v>
      </c>
      <c r="K62" s="40">
        <f>J62/((SUM('Existing Capacity'!E$6:F$6)+SUM('PS Relative Buildout- All Yrs'!F67:G67))*8760)</f>
        <v>0.14691415266582253</v>
      </c>
      <c r="L62" s="4">
        <f t="shared" si="3"/>
        <v>1</v>
      </c>
      <c r="M62" s="52">
        <f>J62*$G$6*'Projected NG Prices'!B28*L62</f>
        <v>1150314557.8238475</v>
      </c>
      <c r="N62" s="52">
        <f>J62*$G$6*'Projected NG Prices'!D28*L62</f>
        <v>2508324799.6992135</v>
      </c>
      <c r="O62" s="52">
        <f>J62*$G$6*'Projected NG Prices'!C28*L62</f>
        <v>1555054865.2063122</v>
      </c>
      <c r="P62" s="57">
        <f>'PS Relative Buildout- All Yrs'!$M67*(Main!$G$9*'Nuclear Capex'!J24+(1-Main!$G$9)*'Nuclear Capex'!M24)*Main!$L62*1000000</f>
        <v>3738982221.0743251</v>
      </c>
      <c r="Q62" s="57">
        <f>'PS Relative Buildout- All Yrs'!$M67*(Main!$G$9*'Nuclear Capex'!K24+(1-Main!$G$9)*'Nuclear Capex'!N24)*Main!$L62*1000000</f>
        <v>7104707098.427146</v>
      </c>
      <c r="R62" s="57">
        <f>'PS Relative Buildout- All Yrs'!$M67*(Main!$G$9*'Nuclear Capex'!L24+(1-Main!$G$9)*'Nuclear Capex'!O24)*Main!$L62*1000000</f>
        <v>12289725864.7309</v>
      </c>
    </row>
    <row r="63" spans="1:18" x14ac:dyDescent="0.2">
      <c r="A63" s="24" t="s">
        <v>42</v>
      </c>
      <c r="B63" s="24">
        <v>2048</v>
      </c>
      <c r="C63" s="25">
        <f>Load!D30</f>
        <v>278407.76307512494</v>
      </c>
      <c r="D63" s="26">
        <f>8760*('Existing Capacity'!B$6+'PS Relative Buildout- All Yrs'!C68)*E$6</f>
        <v>0</v>
      </c>
      <c r="E63" s="26">
        <f>8760*('Existing Capacity'!C$6+'PS Relative Buildout- All Yrs'!D68)*E$12</f>
        <v>87715.807200000025</v>
      </c>
      <c r="F63" s="26">
        <f>8760*('Existing Capacity'!D$6+'PS Relative Buildout- All Yrs'!I46)*Main!E$11</f>
        <v>149463.55800000002</v>
      </c>
      <c r="G63" s="26">
        <f>8760*'Existing Capacity'!G$6*Main!E$15</f>
        <v>9005.2799999999988</v>
      </c>
      <c r="H63" s="26">
        <f>8760*('Existing Capacity'!H$6+'PS Relative Buildout- All Yrs'!J68)*E$13</f>
        <v>3183.3840000000005</v>
      </c>
      <c r="I63" s="26">
        <f>8760*('Existing Capacity'!$I$6+'PS Relative Buildout- All Yrs'!K68)*E$14</f>
        <v>7708.8</v>
      </c>
      <c r="J63" s="39">
        <f t="shared" si="4"/>
        <v>21330.933875124902</v>
      </c>
      <c r="K63" s="40">
        <f>J63/((SUM('Existing Capacity'!E$6:F$6)+SUM('PS Relative Buildout- All Yrs'!F68:G68))*8760)</f>
        <v>0.12534943444861182</v>
      </c>
      <c r="L63" s="4">
        <f t="shared" si="3"/>
        <v>1</v>
      </c>
      <c r="M63" s="52">
        <f>J63*$G$6*'Projected NG Prices'!B29*L63</f>
        <v>1026904479.3282253</v>
      </c>
      <c r="N63" s="52">
        <f>J63*$G$6*'Projected NG Prices'!D29*L63</f>
        <v>2249193439.2365904</v>
      </c>
      <c r="O63" s="52">
        <f>J63*$G$6*'Projected NG Prices'!C29*L63</f>
        <v>1376779014.3205864</v>
      </c>
      <c r="P63" s="57">
        <f>'PS Relative Buildout- All Yrs'!$M68*(Main!$G$9*'Nuclear Capex'!J25+(1-Main!$G$9)*'Nuclear Capex'!M25)*Main!$L63*1000000</f>
        <v>3751888242.4165969</v>
      </c>
      <c r="Q63" s="57">
        <f>'PS Relative Buildout- All Yrs'!$M68*(Main!$G$9*'Nuclear Capex'!K25+(1-Main!$G$9)*'Nuclear Capex'!N25)*Main!$L63*1000000</f>
        <v>7111756796.2410383</v>
      </c>
      <c r="R63" s="57">
        <f>'PS Relative Buildout- All Yrs'!$M68*(Main!$G$9*'Nuclear Capex'!L25+(1-Main!$G$9)*'Nuclear Capex'!O25)*Main!$L63*1000000</f>
        <v>12313406362.425146</v>
      </c>
    </row>
    <row r="64" spans="1:18" x14ac:dyDescent="0.2">
      <c r="A64" s="24" t="s">
        <v>42</v>
      </c>
      <c r="B64" s="24">
        <v>2049</v>
      </c>
      <c r="C64" s="25">
        <f>Load!D31</f>
        <v>285089.54938892793</v>
      </c>
      <c r="D64" s="26">
        <f>8760*('Existing Capacity'!B$6+'PS Relative Buildout- All Yrs'!C69)*E$6</f>
        <v>0</v>
      </c>
      <c r="E64" s="26">
        <f>8760*('Existing Capacity'!C$6+'PS Relative Buildout- All Yrs'!D69)*E$12</f>
        <v>91973.167200000011</v>
      </c>
      <c r="F64" s="26">
        <f>8760*('Existing Capacity'!D$6+'PS Relative Buildout- All Yrs'!I47)*Main!E$11</f>
        <v>154675.75799999994</v>
      </c>
      <c r="G64" s="26">
        <f>8760*'Existing Capacity'!G$6*Main!E$15</f>
        <v>9005.2799999999988</v>
      </c>
      <c r="H64" s="26">
        <f>8760*('Existing Capacity'!H$6+'PS Relative Buildout- All Yrs'!J69)*E$13</f>
        <v>3908.7119999999995</v>
      </c>
      <c r="I64" s="26">
        <f>8760*('Existing Capacity'!$I$6+'PS Relative Buildout- All Yrs'!K69)*E$14</f>
        <v>7708.8</v>
      </c>
      <c r="J64" s="39">
        <f t="shared" si="4"/>
        <v>17817.832188927976</v>
      </c>
      <c r="K64" s="40">
        <f>J64/((SUM('Existing Capacity'!E$6:F$6)+SUM('PS Relative Buildout- All Yrs'!F69:G69))*8760)</f>
        <v>0.10470498858875278</v>
      </c>
      <c r="L64" s="4">
        <f t="shared" si="3"/>
        <v>1</v>
      </c>
      <c r="M64" s="52">
        <f>J64*$G$6*'Projected NG Prices'!B30*L64</f>
        <v>891937587.96649122</v>
      </c>
      <c r="N64" s="52">
        <f>J64*$G$6*'Projected NG Prices'!D30*L64</f>
        <v>2004012963.6012971</v>
      </c>
      <c r="O64" s="52">
        <f>J64*$G$6*'Projected NG Prices'!C30*L64</f>
        <v>1195575915.7848713</v>
      </c>
      <c r="P64" s="57">
        <f>'PS Relative Buildout- All Yrs'!$M69*(Main!$G$9*'Nuclear Capex'!J26+(1-Main!$G$9)*'Nuclear Capex'!M26)*Main!$L64*1000000</f>
        <v>3763102700.9378066</v>
      </c>
      <c r="Q64" s="57">
        <f>'PS Relative Buildout- All Yrs'!$M69*(Main!$G$9*'Nuclear Capex'!K26+(1-Main!$G$9)*'Nuclear Capex'!N26)*Main!$L64*1000000</f>
        <v>7114718537.0090971</v>
      </c>
      <c r="R64" s="57">
        <f>'PS Relative Buildout- All Yrs'!$M69*(Main!$G$9*'Nuclear Capex'!L26+(1-Main!$G$9)*'Nuclear Capex'!O26)*Main!$L64*1000000</f>
        <v>12330589806.338636</v>
      </c>
    </row>
    <row r="65" spans="1:18" x14ac:dyDescent="0.2">
      <c r="A65" s="24" t="s">
        <v>42</v>
      </c>
      <c r="B65" s="24">
        <v>2050</v>
      </c>
      <c r="C65" s="25">
        <f>Load!D32</f>
        <v>291931.69857426221</v>
      </c>
      <c r="D65" s="26">
        <f>8760*('Existing Capacity'!B$6+'PS Relative Buildout- All Yrs'!C70)*E$6</f>
        <v>0</v>
      </c>
      <c r="E65" s="26">
        <f>8760*('Existing Capacity'!C$6+'PS Relative Buildout- All Yrs'!D70)*E$12</f>
        <v>96230.527199999997</v>
      </c>
      <c r="F65" s="26">
        <f>8760*('Existing Capacity'!D$6+'PS Relative Buildout- All Yrs'!I48)*Main!E$11</f>
        <v>159887.95799999998</v>
      </c>
      <c r="G65" s="26">
        <f>8760*'Existing Capacity'!G$6*Main!E$15</f>
        <v>9005.2799999999988</v>
      </c>
      <c r="H65" s="26">
        <f>8760*('Existing Capacity'!H$6+'PS Relative Buildout- All Yrs'!J70)*E$13</f>
        <v>4634.04</v>
      </c>
      <c r="I65" s="26">
        <f>8760*('Existing Capacity'!$I$6+'PS Relative Buildout- All Yrs'!K70)*E$14</f>
        <v>7708.8</v>
      </c>
      <c r="J65" s="39">
        <f t="shared" si="4"/>
        <v>14465.093374262215</v>
      </c>
      <c r="K65" s="40">
        <f>J65/((SUM('Existing Capacity'!E$6:F$6)+SUM('PS Relative Buildout- All Yrs'!F70:G70))*8760)</f>
        <v>8.5002901622820481E-2</v>
      </c>
      <c r="L65" s="4">
        <f t="shared" si="3"/>
        <v>1</v>
      </c>
      <c r="M65" s="52">
        <f>J65*$G$6*'Projected NG Prices'!B31*L65</f>
        <v>757998049.69417155</v>
      </c>
      <c r="N65" s="52">
        <f>J65*$G$6*'Projected NG Prices'!D31*L65</f>
        <v>1740930479.9886396</v>
      </c>
      <c r="O65" s="52">
        <f>J65*$G$6*'Projected NG Prices'!C31*L65</f>
        <v>1026070530.6835742</v>
      </c>
      <c r="P65" s="57">
        <f>'PS Relative Buildout- All Yrs'!$M70*(Main!$G$9*'Nuclear Capex'!J27+(1-Main!$G$9)*'Nuclear Capex'!M27)*Main!$L65*1000000</f>
        <v>3772532952.2335563</v>
      </c>
      <c r="Q65" s="57">
        <f>'PS Relative Buildout- All Yrs'!$M70*(Main!$G$9*'Nuclear Capex'!K27+(1-Main!$G$9)*'Nuclear Capex'!N27)*Main!$L65*1000000</f>
        <v>7113383516.817894</v>
      </c>
      <c r="R65" s="57">
        <f>'PS Relative Buildout- All Yrs'!$M70*(Main!$G$9*'Nuclear Capex'!L27+(1-Main!$G$9)*'Nuclear Capex'!O27)*Main!$L65*1000000</f>
        <v>12340936543.471249</v>
      </c>
    </row>
    <row r="66" spans="1:18" x14ac:dyDescent="0.2">
      <c r="J66" s="42">
        <f>SUM(J45:J65)</f>
        <v>1161982.1606351854</v>
      </c>
      <c r="L66" s="27" t="s">
        <v>72</v>
      </c>
      <c r="M66" s="53">
        <f t="shared" ref="M66:R66" si="5">SUM(M45:M65)/1000000000</f>
        <v>39.798651003262286</v>
      </c>
      <c r="N66" s="53">
        <f t="shared" si="5"/>
        <v>83.509757103904789</v>
      </c>
      <c r="O66" s="53">
        <f t="shared" si="5"/>
        <v>51.439485281051681</v>
      </c>
      <c r="P66" s="58">
        <f t="shared" si="5"/>
        <v>57.156221428070275</v>
      </c>
      <c r="Q66" s="58">
        <f t="shared" si="5"/>
        <v>106.58608935266598</v>
      </c>
      <c r="R66" s="58">
        <f t="shared" si="5"/>
        <v>181.01724076681668</v>
      </c>
    </row>
    <row r="68" spans="1:18" x14ac:dyDescent="0.2">
      <c r="J68" s="41"/>
    </row>
    <row r="70" spans="1:18" x14ac:dyDescent="0.2">
      <c r="J70" s="41"/>
    </row>
  </sheetData>
  <autoFilter ref="A20:K20" xr:uid="{00000000-0009-0000-0000-000000000000}"/>
  <mergeCells count="2">
    <mergeCell ref="M19:O19"/>
    <mergeCell ref="P19:R19"/>
  </mergeCell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32"/>
  <sheetViews>
    <sheetView zoomScale="110" zoomScaleNormal="110" workbookViewId="0">
      <selection activeCell="E7" sqref="E7"/>
    </sheetView>
  </sheetViews>
  <sheetFormatPr baseColWidth="10" defaultColWidth="10.6640625" defaultRowHeight="16" x14ac:dyDescent="0.2"/>
  <cols>
    <col min="5" max="5" width="18.5" bestFit="1" customWidth="1"/>
  </cols>
  <sheetData>
    <row r="1" spans="1:6" x14ac:dyDescent="0.2">
      <c r="A1" s="46" t="s">
        <v>113</v>
      </c>
    </row>
    <row r="2" spans="1:6" x14ac:dyDescent="0.2">
      <c r="A2" s="86" t="s">
        <v>94</v>
      </c>
    </row>
    <row r="3" spans="1:6" x14ac:dyDescent="0.2">
      <c r="A3" s="86"/>
    </row>
    <row r="4" spans="1:6" x14ac:dyDescent="0.2">
      <c r="A4" s="1" t="s">
        <v>41</v>
      </c>
    </row>
    <row r="5" spans="1:6" x14ac:dyDescent="0.2">
      <c r="A5" t="s">
        <v>0</v>
      </c>
      <c r="B5" t="s">
        <v>19</v>
      </c>
      <c r="C5" t="s">
        <v>20</v>
      </c>
      <c r="D5" t="s">
        <v>21</v>
      </c>
      <c r="F5" t="s">
        <v>30</v>
      </c>
    </row>
    <row r="6" spans="1:6" x14ac:dyDescent="0.2">
      <c r="A6">
        <v>2024</v>
      </c>
      <c r="B6">
        <v>96279</v>
      </c>
      <c r="C6">
        <v>65018</v>
      </c>
      <c r="D6">
        <f>B6+C6</f>
        <v>161297</v>
      </c>
      <c r="E6" t="s">
        <v>115</v>
      </c>
      <c r="F6">
        <v>2.4E-2</v>
      </c>
    </row>
    <row r="7" spans="1:6" x14ac:dyDescent="0.2">
      <c r="A7">
        <v>2025</v>
      </c>
      <c r="B7">
        <v>97758</v>
      </c>
      <c r="C7">
        <v>66817</v>
      </c>
      <c r="D7">
        <f t="shared" ref="D7:D20" si="0">B7+C7</f>
        <v>164575</v>
      </c>
    </row>
    <row r="8" spans="1:6" x14ac:dyDescent="0.2">
      <c r="A8">
        <v>2026</v>
      </c>
      <c r="B8">
        <v>99828</v>
      </c>
      <c r="C8">
        <v>68851</v>
      </c>
      <c r="D8">
        <f t="shared" si="0"/>
        <v>168679</v>
      </c>
    </row>
    <row r="9" spans="1:6" x14ac:dyDescent="0.2">
      <c r="A9">
        <v>2027</v>
      </c>
      <c r="B9">
        <v>105576</v>
      </c>
      <c r="C9">
        <v>70992</v>
      </c>
      <c r="D9">
        <f t="shared" si="0"/>
        <v>176568</v>
      </c>
    </row>
    <row r="10" spans="1:6" x14ac:dyDescent="0.2">
      <c r="A10">
        <v>2028</v>
      </c>
      <c r="B10">
        <v>109709</v>
      </c>
      <c r="C10">
        <v>73103</v>
      </c>
      <c r="D10">
        <f t="shared" si="0"/>
        <v>182812</v>
      </c>
    </row>
    <row r="11" spans="1:6" x14ac:dyDescent="0.2">
      <c r="A11">
        <v>2029</v>
      </c>
      <c r="B11">
        <v>113844</v>
      </c>
      <c r="C11">
        <v>75308</v>
      </c>
      <c r="D11">
        <f t="shared" si="0"/>
        <v>189152</v>
      </c>
    </row>
    <row r="12" spans="1:6" x14ac:dyDescent="0.2">
      <c r="A12">
        <v>2030</v>
      </c>
      <c r="B12">
        <v>118685</v>
      </c>
      <c r="C12">
        <v>76882</v>
      </c>
      <c r="D12">
        <f t="shared" si="0"/>
        <v>195567</v>
      </c>
      <c r="E12" s="22"/>
    </row>
    <row r="13" spans="1:6" x14ac:dyDescent="0.2">
      <c r="A13">
        <v>2031</v>
      </c>
      <c r="B13">
        <v>122014</v>
      </c>
      <c r="C13">
        <v>77652</v>
      </c>
      <c r="D13">
        <f t="shared" si="0"/>
        <v>199666</v>
      </c>
      <c r="E13" s="22"/>
    </row>
    <row r="14" spans="1:6" x14ac:dyDescent="0.2">
      <c r="A14">
        <v>2032</v>
      </c>
      <c r="B14">
        <v>123474</v>
      </c>
      <c r="C14">
        <v>78712</v>
      </c>
      <c r="D14">
        <f t="shared" si="0"/>
        <v>202186</v>
      </c>
      <c r="E14" s="22"/>
    </row>
    <row r="15" spans="1:6" x14ac:dyDescent="0.2">
      <c r="A15">
        <v>2033</v>
      </c>
      <c r="B15">
        <v>126256</v>
      </c>
      <c r="C15">
        <v>79520</v>
      </c>
      <c r="D15">
        <f t="shared" si="0"/>
        <v>205776</v>
      </c>
    </row>
    <row r="16" spans="1:6" x14ac:dyDescent="0.2">
      <c r="A16">
        <v>2034</v>
      </c>
      <c r="B16">
        <v>127803</v>
      </c>
      <c r="C16">
        <v>80336</v>
      </c>
      <c r="D16">
        <f t="shared" si="0"/>
        <v>208139</v>
      </c>
    </row>
    <row r="17" spans="1:5" x14ac:dyDescent="0.2">
      <c r="A17">
        <v>2035</v>
      </c>
      <c r="B17">
        <v>129665</v>
      </c>
      <c r="C17">
        <v>81320</v>
      </c>
      <c r="D17">
        <f t="shared" si="0"/>
        <v>210985</v>
      </c>
    </row>
    <row r="18" spans="1:5" x14ac:dyDescent="0.2">
      <c r="A18">
        <v>2036</v>
      </c>
      <c r="B18">
        <v>131589</v>
      </c>
      <c r="C18">
        <v>82371</v>
      </c>
      <c r="D18">
        <f t="shared" si="0"/>
        <v>213960</v>
      </c>
    </row>
    <row r="19" spans="1:5" x14ac:dyDescent="0.2">
      <c r="A19">
        <v>2037</v>
      </c>
      <c r="B19">
        <v>133414</v>
      </c>
      <c r="C19">
        <v>83315</v>
      </c>
      <c r="D19">
        <f t="shared" si="0"/>
        <v>216729</v>
      </c>
    </row>
    <row r="20" spans="1:5" x14ac:dyDescent="0.2">
      <c r="A20">
        <v>2038</v>
      </c>
      <c r="B20">
        <v>135340</v>
      </c>
      <c r="C20">
        <v>84285</v>
      </c>
      <c r="D20">
        <f t="shared" si="0"/>
        <v>219625</v>
      </c>
    </row>
    <row r="21" spans="1:5" x14ac:dyDescent="0.2">
      <c r="A21" s="2">
        <v>2039</v>
      </c>
      <c r="B21" s="23">
        <f>B20*(1+$F$6)</f>
        <v>138588.16</v>
      </c>
      <c r="C21" s="23">
        <f t="shared" ref="C21:D32" si="1">C20*(1+$F$6)</f>
        <v>86307.839999999997</v>
      </c>
      <c r="D21" s="23">
        <f t="shared" si="1"/>
        <v>224896</v>
      </c>
      <c r="E21" t="s">
        <v>114</v>
      </c>
    </row>
    <row r="22" spans="1:5" x14ac:dyDescent="0.2">
      <c r="A22" s="2">
        <v>2040</v>
      </c>
      <c r="B22" s="23">
        <f t="shared" ref="B22:B31" si="2">B21*(1+$F$6)</f>
        <v>141914.27584000002</v>
      </c>
      <c r="C22" s="23">
        <f t="shared" si="1"/>
        <v>88379.228159999999</v>
      </c>
      <c r="D22" s="23">
        <f t="shared" si="1"/>
        <v>230293.50400000002</v>
      </c>
    </row>
    <row r="23" spans="1:5" x14ac:dyDescent="0.2">
      <c r="A23" s="2">
        <v>2041</v>
      </c>
      <c r="B23" s="23">
        <f t="shared" si="2"/>
        <v>145320.21846016002</v>
      </c>
      <c r="C23" s="23">
        <f t="shared" si="1"/>
        <v>90500.329635839997</v>
      </c>
      <c r="D23" s="23">
        <f t="shared" si="1"/>
        <v>235820.54809600001</v>
      </c>
    </row>
    <row r="24" spans="1:5" x14ac:dyDescent="0.2">
      <c r="A24" s="2">
        <v>2042</v>
      </c>
      <c r="B24" s="23">
        <f t="shared" si="2"/>
        <v>148807.90370320386</v>
      </c>
      <c r="C24" s="23">
        <f t="shared" si="1"/>
        <v>92672.337547100164</v>
      </c>
      <c r="D24" s="23">
        <f t="shared" si="1"/>
        <v>241480.24125030401</v>
      </c>
    </row>
    <row r="25" spans="1:5" x14ac:dyDescent="0.2">
      <c r="A25" s="2">
        <v>2043</v>
      </c>
      <c r="B25" s="23">
        <f t="shared" si="2"/>
        <v>152379.29339208076</v>
      </c>
      <c r="C25" s="23">
        <f t="shared" si="1"/>
        <v>94896.473648230574</v>
      </c>
      <c r="D25" s="23">
        <f t="shared" si="1"/>
        <v>247275.7670403113</v>
      </c>
    </row>
    <row r="26" spans="1:5" x14ac:dyDescent="0.2">
      <c r="A26" s="2">
        <v>2044</v>
      </c>
      <c r="B26" s="23">
        <f t="shared" si="2"/>
        <v>156036.39643349071</v>
      </c>
      <c r="C26" s="23">
        <f t="shared" si="1"/>
        <v>97173.989015788116</v>
      </c>
      <c r="D26" s="23">
        <f t="shared" si="1"/>
        <v>253210.38544927878</v>
      </c>
    </row>
    <row r="27" spans="1:5" x14ac:dyDescent="0.2">
      <c r="A27" s="2">
        <v>2045</v>
      </c>
      <c r="B27" s="23">
        <f t="shared" si="2"/>
        <v>159781.2699478945</v>
      </c>
      <c r="C27" s="23">
        <f t="shared" si="1"/>
        <v>99506.164752167038</v>
      </c>
      <c r="D27" s="23">
        <f t="shared" si="1"/>
        <v>259287.43470006148</v>
      </c>
    </row>
    <row r="28" spans="1:5" x14ac:dyDescent="0.2">
      <c r="A28" s="2">
        <v>2046</v>
      </c>
      <c r="B28" s="23">
        <f t="shared" si="2"/>
        <v>163616.02042664398</v>
      </c>
      <c r="C28" s="23">
        <f t="shared" si="1"/>
        <v>101894.31270621905</v>
      </c>
      <c r="D28" s="23">
        <f t="shared" si="1"/>
        <v>265510.33313286299</v>
      </c>
    </row>
    <row r="29" spans="1:5" x14ac:dyDescent="0.2">
      <c r="A29" s="2">
        <v>2047</v>
      </c>
      <c r="B29" s="23">
        <f t="shared" si="2"/>
        <v>167542.80491688344</v>
      </c>
      <c r="C29" s="23">
        <f t="shared" si="1"/>
        <v>104339.77621116831</v>
      </c>
      <c r="D29" s="23">
        <f t="shared" si="1"/>
        <v>271882.58112805168</v>
      </c>
    </row>
    <row r="30" spans="1:5" x14ac:dyDescent="0.2">
      <c r="A30" s="2">
        <v>2048</v>
      </c>
      <c r="B30" s="23">
        <f t="shared" si="2"/>
        <v>171563.83223488866</v>
      </c>
      <c r="C30" s="23">
        <f t="shared" si="1"/>
        <v>106843.93084023635</v>
      </c>
      <c r="D30" s="23">
        <f t="shared" si="1"/>
        <v>278407.76307512494</v>
      </c>
    </row>
    <row r="31" spans="1:5" x14ac:dyDescent="0.2">
      <c r="A31" s="2">
        <v>2049</v>
      </c>
      <c r="B31" s="23">
        <f t="shared" si="2"/>
        <v>175681.36420852598</v>
      </c>
      <c r="C31" s="23">
        <f t="shared" si="1"/>
        <v>109408.18518040203</v>
      </c>
      <c r="D31" s="23">
        <f t="shared" si="1"/>
        <v>285089.54938892793</v>
      </c>
    </row>
    <row r="32" spans="1:5" x14ac:dyDescent="0.2">
      <c r="A32" s="2">
        <v>2050</v>
      </c>
      <c r="B32" s="23">
        <f>B31*(1+$F$6)</f>
        <v>179897.71694953062</v>
      </c>
      <c r="C32" s="23">
        <f t="shared" si="1"/>
        <v>112033.98162473168</v>
      </c>
      <c r="D32" s="23">
        <f t="shared" si="1"/>
        <v>291931.69857426221</v>
      </c>
    </row>
  </sheetData>
  <hyperlinks>
    <hyperlink ref="A2" r:id="rId1" xr:uid="{00000000-0004-0000-0100-000000000000}"/>
  </hyperlinks>
  <pageMargins left="0.7" right="0.7" top="0.75" bottom="0.75" header="0.3" footer="0.3"/>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6"/>
  <sheetViews>
    <sheetView zoomScale="110" zoomScaleNormal="110" workbookViewId="0">
      <selection activeCell="A2" sqref="A2"/>
    </sheetView>
  </sheetViews>
  <sheetFormatPr baseColWidth="10" defaultColWidth="10.6640625" defaultRowHeight="16" x14ac:dyDescent="0.2"/>
  <cols>
    <col min="8" max="9" width="12.83203125" bestFit="1" customWidth="1"/>
    <col min="10" max="10" width="13.33203125" bestFit="1" customWidth="1"/>
  </cols>
  <sheetData>
    <row r="1" spans="1:9" x14ac:dyDescent="0.2">
      <c r="A1" t="s">
        <v>92</v>
      </c>
    </row>
    <row r="2" spans="1:9" x14ac:dyDescent="0.2">
      <c r="A2" s="86" t="s">
        <v>93</v>
      </c>
    </row>
    <row r="4" spans="1:9" x14ac:dyDescent="0.2">
      <c r="B4" s="1" t="s">
        <v>2</v>
      </c>
      <c r="C4" s="1" t="s">
        <v>17</v>
      </c>
      <c r="D4" s="1" t="s">
        <v>23</v>
      </c>
      <c r="E4" s="1" t="s">
        <v>10</v>
      </c>
      <c r="F4" s="1" t="s">
        <v>1</v>
      </c>
      <c r="G4" s="1" t="s">
        <v>27</v>
      </c>
      <c r="H4" s="1" t="s">
        <v>13</v>
      </c>
      <c r="I4" s="1" t="s">
        <v>14</v>
      </c>
    </row>
    <row r="5" spans="1:9" x14ac:dyDescent="0.2">
      <c r="A5" t="s">
        <v>26</v>
      </c>
      <c r="B5">
        <v>9230</v>
      </c>
      <c r="C5">
        <f>190+1291+2941+127+155+182</f>
        <v>4886</v>
      </c>
      <c r="D5">
        <v>10773</v>
      </c>
      <c r="E5">
        <v>5037</v>
      </c>
      <c r="F5">
        <v>5189</v>
      </c>
      <c r="G5">
        <v>1285</v>
      </c>
      <c r="H5">
        <v>0</v>
      </c>
      <c r="I5">
        <v>0</v>
      </c>
    </row>
    <row r="6" spans="1:9" x14ac:dyDescent="0.2">
      <c r="A6" t="s">
        <v>29</v>
      </c>
      <c r="B6">
        <f>B5/1000</f>
        <v>9.23</v>
      </c>
      <c r="C6">
        <f t="shared" ref="C6:I6" si="0">C5/1000</f>
        <v>4.8860000000000001</v>
      </c>
      <c r="D6">
        <f>D5/1000</f>
        <v>10.773</v>
      </c>
      <c r="E6">
        <f t="shared" si="0"/>
        <v>5.0369999999999999</v>
      </c>
      <c r="F6">
        <f t="shared" si="0"/>
        <v>5.1890000000000001</v>
      </c>
      <c r="G6">
        <f t="shared" si="0"/>
        <v>1.2849999999999999</v>
      </c>
      <c r="H6">
        <f t="shared" si="0"/>
        <v>0</v>
      </c>
      <c r="I6">
        <f t="shared" si="0"/>
        <v>0</v>
      </c>
    </row>
  </sheetData>
  <hyperlinks>
    <hyperlink ref="A2" r:id="rId1" xr:uid="{00000000-0004-0000-0200-000000000000}"/>
  </hyperlinks>
  <pageMargins left="0.7" right="0.7" top="0.75" bottom="0.75" header="0.3" footer="0.3"/>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24"/>
  <sheetViews>
    <sheetView zoomScale="110" zoomScaleNormal="110" workbookViewId="0"/>
  </sheetViews>
  <sheetFormatPr baseColWidth="10" defaultColWidth="10.6640625" defaultRowHeight="16" x14ac:dyDescent="0.2"/>
  <cols>
    <col min="1" max="1" width="19.33203125" bestFit="1" customWidth="1"/>
    <col min="3" max="3" width="15.33203125" bestFit="1" customWidth="1"/>
    <col min="4" max="4" width="10" bestFit="1" customWidth="1"/>
    <col min="5" max="5" width="11.83203125" bestFit="1" customWidth="1"/>
    <col min="6" max="7" width="5.83203125" bestFit="1" customWidth="1"/>
    <col min="8" max="8" width="13.33203125" bestFit="1" customWidth="1"/>
    <col min="9" max="9" width="16" bestFit="1" customWidth="1"/>
    <col min="10" max="10" width="12.83203125" bestFit="1" customWidth="1"/>
    <col min="11" max="11" width="13.33203125" bestFit="1" customWidth="1"/>
    <col min="15" max="15" width="12.5" bestFit="1" customWidth="1"/>
  </cols>
  <sheetData>
    <row r="1" spans="1:11" x14ac:dyDescent="0.2">
      <c r="A1" t="s">
        <v>117</v>
      </c>
      <c r="C1" s="21"/>
      <c r="D1" s="21"/>
      <c r="E1" s="21"/>
      <c r="F1" s="21"/>
      <c r="G1" s="21"/>
      <c r="H1" s="21"/>
      <c r="I1" s="21"/>
      <c r="J1" s="21"/>
      <c r="K1" s="21"/>
    </row>
    <row r="2" spans="1:11" x14ac:dyDescent="0.2">
      <c r="C2" s="106" t="s">
        <v>15</v>
      </c>
      <c r="D2" s="106"/>
      <c r="E2" s="106"/>
      <c r="F2" s="106"/>
      <c r="G2" s="106"/>
      <c r="H2" s="106"/>
      <c r="I2" s="106"/>
      <c r="J2" s="106"/>
      <c r="K2" s="106"/>
    </row>
    <row r="3" spans="1:11" x14ac:dyDescent="0.2">
      <c r="A3" s="1" t="s">
        <v>6</v>
      </c>
      <c r="B3" s="1" t="s">
        <v>0</v>
      </c>
      <c r="C3" s="5" t="s">
        <v>7</v>
      </c>
      <c r="D3" s="7" t="s">
        <v>8</v>
      </c>
      <c r="E3" s="9" t="s">
        <v>9</v>
      </c>
      <c r="F3" s="12" t="s">
        <v>10</v>
      </c>
      <c r="G3" s="12" t="s">
        <v>1</v>
      </c>
      <c r="H3" s="14" t="s">
        <v>11</v>
      </c>
      <c r="I3" s="1" t="s">
        <v>12</v>
      </c>
      <c r="J3" s="16" t="s">
        <v>13</v>
      </c>
      <c r="K3" s="18" t="s">
        <v>14</v>
      </c>
    </row>
    <row r="4" spans="1:11" x14ac:dyDescent="0.2">
      <c r="A4" t="s">
        <v>3</v>
      </c>
      <c r="B4">
        <v>2030</v>
      </c>
      <c r="C4" s="6">
        <v>-2.2999999999999998</v>
      </c>
      <c r="D4" s="8">
        <v>4.4000000000000004</v>
      </c>
      <c r="E4" s="10">
        <v>1.9</v>
      </c>
      <c r="F4" s="13">
        <v>2.1</v>
      </c>
      <c r="G4" s="13">
        <v>2.7</v>
      </c>
      <c r="H4" s="15">
        <v>0</v>
      </c>
      <c r="I4">
        <v>0</v>
      </c>
      <c r="J4" s="17">
        <v>0</v>
      </c>
      <c r="K4" s="19">
        <v>0</v>
      </c>
    </row>
    <row r="5" spans="1:11" x14ac:dyDescent="0.2">
      <c r="A5" t="s">
        <v>4</v>
      </c>
      <c r="B5">
        <v>2030</v>
      </c>
      <c r="C5" s="6">
        <v>-2.2999999999999998</v>
      </c>
      <c r="D5" s="8">
        <v>5.0999999999999996</v>
      </c>
      <c r="E5" s="10">
        <v>1.8</v>
      </c>
      <c r="F5" s="13">
        <v>0.8</v>
      </c>
      <c r="G5" s="13">
        <v>1.4</v>
      </c>
      <c r="H5" s="15">
        <v>0</v>
      </c>
      <c r="I5">
        <v>0</v>
      </c>
      <c r="J5" s="17">
        <v>0</v>
      </c>
      <c r="K5" s="19">
        <v>0</v>
      </c>
    </row>
    <row r="6" spans="1:11" x14ac:dyDescent="0.2">
      <c r="A6" t="s">
        <v>5</v>
      </c>
      <c r="B6">
        <v>2030</v>
      </c>
      <c r="C6" s="6">
        <v>-2.2999999999999998</v>
      </c>
      <c r="D6" s="8">
        <v>3.3</v>
      </c>
      <c r="E6" s="10">
        <v>1.7</v>
      </c>
      <c r="F6" s="13">
        <v>2.1</v>
      </c>
      <c r="G6" s="13">
        <v>2.7</v>
      </c>
      <c r="H6" s="15">
        <v>0</v>
      </c>
      <c r="I6">
        <v>0</v>
      </c>
      <c r="J6" s="17">
        <v>0</v>
      </c>
      <c r="K6" s="19">
        <v>0</v>
      </c>
    </row>
    <row r="7" spans="1:11" x14ac:dyDescent="0.2">
      <c r="A7" t="s">
        <v>3</v>
      </c>
      <c r="B7">
        <v>2033</v>
      </c>
      <c r="C7" s="6">
        <v>-4.8</v>
      </c>
      <c r="D7" s="8">
        <v>9.6</v>
      </c>
      <c r="E7" s="10">
        <v>2.6</v>
      </c>
      <c r="F7" s="13">
        <v>2.1</v>
      </c>
      <c r="G7" s="13">
        <v>6.8</v>
      </c>
      <c r="H7" s="15">
        <v>0</v>
      </c>
      <c r="I7">
        <v>0</v>
      </c>
      <c r="J7" s="17">
        <v>1.2</v>
      </c>
      <c r="K7" s="19">
        <v>0.8</v>
      </c>
    </row>
    <row r="8" spans="1:11" x14ac:dyDescent="0.2">
      <c r="A8" t="s">
        <v>4</v>
      </c>
      <c r="B8">
        <v>2033</v>
      </c>
      <c r="C8" s="6">
        <v>-4.8</v>
      </c>
      <c r="D8" s="8">
        <v>12.3</v>
      </c>
      <c r="E8" s="10">
        <v>3.7</v>
      </c>
      <c r="F8" s="13">
        <v>1.3</v>
      </c>
      <c r="G8" s="13">
        <v>4.0999999999999996</v>
      </c>
      <c r="H8" s="15">
        <v>0</v>
      </c>
      <c r="I8">
        <v>0</v>
      </c>
      <c r="J8" s="17">
        <v>1.8</v>
      </c>
      <c r="K8" s="20">
        <v>3.3</v>
      </c>
    </row>
    <row r="9" spans="1:11" x14ac:dyDescent="0.2">
      <c r="A9" t="s">
        <v>5</v>
      </c>
      <c r="B9">
        <v>2033</v>
      </c>
      <c r="C9" s="6">
        <v>-4.8</v>
      </c>
      <c r="D9" s="8">
        <v>5.2</v>
      </c>
      <c r="E9" s="11">
        <v>2</v>
      </c>
      <c r="F9" s="13">
        <v>3.8</v>
      </c>
      <c r="G9" s="13">
        <v>4.0999999999999996</v>
      </c>
      <c r="H9" s="15">
        <v>0</v>
      </c>
      <c r="I9">
        <v>0</v>
      </c>
      <c r="J9" s="17">
        <v>0</v>
      </c>
      <c r="K9" s="19">
        <v>0</v>
      </c>
    </row>
    <row r="10" spans="1:11" x14ac:dyDescent="0.2">
      <c r="A10" t="s">
        <v>3</v>
      </c>
      <c r="B10">
        <v>2035</v>
      </c>
      <c r="C10" s="6">
        <v>-6.2</v>
      </c>
      <c r="D10" s="8">
        <v>13.2</v>
      </c>
      <c r="E10" s="10">
        <v>5.0999999999999996</v>
      </c>
      <c r="F10" s="13">
        <v>2.1</v>
      </c>
      <c r="G10" s="13">
        <v>6.8</v>
      </c>
      <c r="H10" s="15">
        <v>1.8</v>
      </c>
      <c r="I10">
        <v>0.6</v>
      </c>
      <c r="J10" s="17">
        <v>2.1</v>
      </c>
      <c r="K10" s="19">
        <v>2.4</v>
      </c>
    </row>
    <row r="11" spans="1:11" x14ac:dyDescent="0.2">
      <c r="A11" t="s">
        <v>4</v>
      </c>
      <c r="B11">
        <v>2035</v>
      </c>
      <c r="C11" s="6">
        <v>-6.2</v>
      </c>
      <c r="D11" s="8">
        <v>14.9</v>
      </c>
      <c r="E11" s="10">
        <v>5.7</v>
      </c>
      <c r="F11" s="13">
        <v>1.3</v>
      </c>
      <c r="G11" s="13">
        <v>6.8</v>
      </c>
      <c r="H11" s="15">
        <v>1.8</v>
      </c>
      <c r="I11">
        <v>0.6</v>
      </c>
      <c r="J11" s="17">
        <v>2.2999999999999998</v>
      </c>
      <c r="K11" s="19">
        <v>4.4000000000000004</v>
      </c>
    </row>
    <row r="12" spans="1:11" x14ac:dyDescent="0.2">
      <c r="A12" t="s">
        <v>5</v>
      </c>
      <c r="B12">
        <v>2035</v>
      </c>
      <c r="C12" s="6">
        <v>-6.2</v>
      </c>
      <c r="D12" s="8">
        <v>8.8000000000000007</v>
      </c>
      <c r="E12" s="10">
        <v>2.2999999999999998</v>
      </c>
      <c r="F12" s="13">
        <v>3.8</v>
      </c>
      <c r="G12" s="13">
        <v>5.4</v>
      </c>
      <c r="H12" s="15">
        <v>1.8</v>
      </c>
      <c r="I12">
        <v>0.3</v>
      </c>
      <c r="J12" s="17">
        <v>0</v>
      </c>
      <c r="K12" s="19">
        <v>0</v>
      </c>
    </row>
    <row r="13" spans="1:11" x14ac:dyDescent="0.2">
      <c r="A13" t="s">
        <v>3</v>
      </c>
      <c r="B13">
        <v>2038</v>
      </c>
      <c r="C13" s="6">
        <v>-8.4</v>
      </c>
      <c r="D13" s="8">
        <v>18</v>
      </c>
      <c r="E13" s="10">
        <v>6.3</v>
      </c>
      <c r="F13" s="13">
        <v>2.1</v>
      </c>
      <c r="G13" s="13">
        <v>6.8</v>
      </c>
      <c r="H13" s="15">
        <v>1.8</v>
      </c>
      <c r="I13">
        <v>2.1</v>
      </c>
      <c r="J13" s="17">
        <v>2.2999999999999998</v>
      </c>
      <c r="K13" s="19">
        <v>2.4</v>
      </c>
    </row>
    <row r="14" spans="1:11" x14ac:dyDescent="0.2">
      <c r="A14" t="s">
        <v>4</v>
      </c>
      <c r="B14">
        <v>2038</v>
      </c>
      <c r="C14" s="6">
        <v>-8.4</v>
      </c>
      <c r="D14" s="8">
        <v>18.100000000000001</v>
      </c>
      <c r="E14" s="10">
        <v>5.7</v>
      </c>
      <c r="F14" s="13">
        <v>1.3</v>
      </c>
      <c r="G14" s="13">
        <v>6.8</v>
      </c>
      <c r="H14" s="15">
        <v>1.8</v>
      </c>
      <c r="I14">
        <v>2.1</v>
      </c>
      <c r="J14" s="17">
        <v>2.2999999999999998</v>
      </c>
      <c r="K14" s="19">
        <v>4.4000000000000004</v>
      </c>
    </row>
    <row r="15" spans="1:11" x14ac:dyDescent="0.2">
      <c r="A15" t="s">
        <v>5</v>
      </c>
      <c r="B15">
        <v>2038</v>
      </c>
      <c r="C15" s="6">
        <v>-8.4</v>
      </c>
      <c r="D15" s="8">
        <v>14.2</v>
      </c>
      <c r="E15" s="10">
        <v>2.7</v>
      </c>
      <c r="F15" s="13">
        <v>3.8</v>
      </c>
      <c r="G15" s="13">
        <v>5.4</v>
      </c>
      <c r="H15" s="15">
        <v>1.8</v>
      </c>
      <c r="I15">
        <v>2.1</v>
      </c>
      <c r="J15" s="17">
        <v>0</v>
      </c>
      <c r="K15" s="19">
        <v>0</v>
      </c>
    </row>
    <row r="16" spans="1:11" x14ac:dyDescent="0.2">
      <c r="A16" t="s">
        <v>3</v>
      </c>
      <c r="B16">
        <v>2042</v>
      </c>
      <c r="C16" s="6">
        <v>-8.4</v>
      </c>
      <c r="D16" s="8">
        <v>21.2</v>
      </c>
      <c r="E16" s="10">
        <v>8.6999999999999993</v>
      </c>
      <c r="F16" s="13">
        <v>2.1</v>
      </c>
      <c r="G16" s="13">
        <v>6.8</v>
      </c>
      <c r="H16" s="15">
        <v>1.8</v>
      </c>
      <c r="I16">
        <v>4.5</v>
      </c>
      <c r="J16" s="17">
        <v>2.2999999999999998</v>
      </c>
      <c r="K16" s="19">
        <v>4.5999999999999996</v>
      </c>
    </row>
    <row r="17" spans="1:11" x14ac:dyDescent="0.2">
      <c r="A17" t="s">
        <v>4</v>
      </c>
      <c r="B17">
        <v>2042</v>
      </c>
      <c r="C17" s="6">
        <v>-8.4</v>
      </c>
      <c r="D17" s="8">
        <v>19.899999999999999</v>
      </c>
      <c r="E17" s="10">
        <v>6.9</v>
      </c>
      <c r="F17" s="13">
        <v>1.3</v>
      </c>
      <c r="G17" s="13">
        <v>6.8</v>
      </c>
      <c r="H17" s="15">
        <v>1.8</v>
      </c>
      <c r="I17">
        <v>4.5</v>
      </c>
      <c r="J17" s="17">
        <v>2.2999999999999998</v>
      </c>
      <c r="K17" s="19">
        <v>4.4000000000000004</v>
      </c>
    </row>
    <row r="18" spans="1:11" x14ac:dyDescent="0.2">
      <c r="A18" t="s">
        <v>5</v>
      </c>
      <c r="B18">
        <v>2042</v>
      </c>
      <c r="C18" s="6">
        <v>-8.4</v>
      </c>
      <c r="D18" s="8">
        <v>21.4</v>
      </c>
      <c r="E18" s="10">
        <v>6.4</v>
      </c>
      <c r="F18" s="13">
        <v>3.8</v>
      </c>
      <c r="G18" s="13">
        <v>5.4</v>
      </c>
      <c r="H18" s="15">
        <v>1.8</v>
      </c>
      <c r="I18">
        <v>4.5</v>
      </c>
      <c r="J18" s="17">
        <v>0.5</v>
      </c>
      <c r="K18" s="19">
        <v>2.2000000000000002</v>
      </c>
    </row>
    <row r="19" spans="1:11" x14ac:dyDescent="0.2">
      <c r="A19" t="s">
        <v>3</v>
      </c>
      <c r="B19">
        <v>2045</v>
      </c>
      <c r="C19" s="6">
        <v>-8.4</v>
      </c>
      <c r="D19" s="8">
        <v>23.7</v>
      </c>
      <c r="E19" s="10">
        <v>11.9</v>
      </c>
      <c r="F19" s="13">
        <v>2.1</v>
      </c>
      <c r="G19" s="13">
        <v>6.8</v>
      </c>
      <c r="H19" s="15">
        <v>1.8</v>
      </c>
      <c r="I19">
        <v>7.1</v>
      </c>
      <c r="J19" s="17">
        <v>2.2999999999999998</v>
      </c>
      <c r="K19" s="19">
        <v>5.7</v>
      </c>
    </row>
    <row r="20" spans="1:11" x14ac:dyDescent="0.2">
      <c r="A20" t="s">
        <v>4</v>
      </c>
      <c r="B20">
        <v>2045</v>
      </c>
      <c r="C20" s="6">
        <v>-8.4</v>
      </c>
      <c r="D20" s="8">
        <v>24.1</v>
      </c>
      <c r="E20" s="10">
        <v>10.1</v>
      </c>
      <c r="F20" s="13">
        <v>1.3</v>
      </c>
      <c r="G20" s="13">
        <v>6.8</v>
      </c>
      <c r="H20" s="15">
        <v>1.8</v>
      </c>
      <c r="I20">
        <v>7.2</v>
      </c>
      <c r="J20" s="17">
        <v>2.2999999999999998</v>
      </c>
      <c r="K20" s="19">
        <v>4.4000000000000004</v>
      </c>
    </row>
    <row r="21" spans="1:11" x14ac:dyDescent="0.2">
      <c r="A21" t="s">
        <v>5</v>
      </c>
      <c r="B21">
        <v>2045</v>
      </c>
      <c r="C21" s="6">
        <v>-8.4</v>
      </c>
      <c r="D21" s="8">
        <v>26.8</v>
      </c>
      <c r="E21" s="10">
        <v>9.5</v>
      </c>
      <c r="F21" s="13">
        <v>3.8</v>
      </c>
      <c r="G21" s="13">
        <v>5.4</v>
      </c>
      <c r="H21" s="15">
        <v>1.8</v>
      </c>
      <c r="I21">
        <v>7.1</v>
      </c>
      <c r="J21" s="17">
        <v>0.5</v>
      </c>
      <c r="K21" s="19">
        <v>2.2000000000000002</v>
      </c>
    </row>
    <row r="22" spans="1:11" x14ac:dyDescent="0.2">
      <c r="A22" t="s">
        <v>3</v>
      </c>
      <c r="B22">
        <v>2050</v>
      </c>
      <c r="C22" s="6">
        <v>-9.3000000000000007</v>
      </c>
      <c r="D22" s="8">
        <v>27.3</v>
      </c>
      <c r="E22" s="10">
        <v>14.2</v>
      </c>
      <c r="F22" s="13">
        <v>3</v>
      </c>
      <c r="G22" s="13">
        <v>6.8</v>
      </c>
      <c r="H22" s="15">
        <v>1.8</v>
      </c>
      <c r="I22">
        <v>10.7</v>
      </c>
      <c r="J22" s="17">
        <v>2.2999999999999998</v>
      </c>
      <c r="K22" s="19">
        <v>9</v>
      </c>
    </row>
    <row r="23" spans="1:11" x14ac:dyDescent="0.2">
      <c r="A23" t="s">
        <v>4</v>
      </c>
      <c r="B23">
        <v>2050</v>
      </c>
      <c r="C23" s="6">
        <v>-9.3000000000000007</v>
      </c>
      <c r="D23" s="8">
        <v>33.1</v>
      </c>
      <c r="E23" s="10">
        <v>18.399999999999999</v>
      </c>
      <c r="F23" s="13">
        <v>1.3</v>
      </c>
      <c r="G23" s="13">
        <v>6.8</v>
      </c>
      <c r="H23" s="15">
        <v>1.8</v>
      </c>
      <c r="I23">
        <v>10.7</v>
      </c>
      <c r="J23" s="17">
        <v>2.2999999999999998</v>
      </c>
      <c r="K23" s="19">
        <v>4.4000000000000004</v>
      </c>
    </row>
    <row r="24" spans="1:11" x14ac:dyDescent="0.2">
      <c r="A24" t="s">
        <v>5</v>
      </c>
      <c r="B24">
        <v>2050</v>
      </c>
      <c r="C24" s="6">
        <v>-9.3000000000000007</v>
      </c>
      <c r="D24" s="8">
        <v>35.799999999999997</v>
      </c>
      <c r="E24" s="10">
        <v>21.7</v>
      </c>
      <c r="F24" s="13">
        <v>3.8</v>
      </c>
      <c r="G24" s="13">
        <v>5.4</v>
      </c>
      <c r="H24" s="15">
        <v>1.8</v>
      </c>
      <c r="I24">
        <v>10.7</v>
      </c>
      <c r="J24" s="17">
        <v>2.2999999999999998</v>
      </c>
      <c r="K24" s="19">
        <v>2.2000000000000002</v>
      </c>
    </row>
  </sheetData>
  <mergeCells count="1">
    <mergeCell ref="C2:K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70"/>
  <sheetViews>
    <sheetView zoomScale="110" zoomScaleNormal="110" workbookViewId="0"/>
  </sheetViews>
  <sheetFormatPr baseColWidth="10" defaultColWidth="10.6640625" defaultRowHeight="16" x14ac:dyDescent="0.2"/>
  <cols>
    <col min="1" max="1" width="19.33203125" bestFit="1" customWidth="1"/>
    <col min="3" max="3" width="15.6640625" bestFit="1" customWidth="1"/>
    <col min="4" max="4" width="12" bestFit="1" customWidth="1"/>
    <col min="5" max="5" width="12.1640625" bestFit="1" customWidth="1"/>
    <col min="6" max="7" width="11" bestFit="1" customWidth="1"/>
    <col min="8" max="8" width="13.5" bestFit="1" customWidth="1"/>
    <col min="9" max="9" width="16" bestFit="1" customWidth="1"/>
    <col min="10" max="10" width="12.83203125" bestFit="1" customWidth="1"/>
    <col min="11" max="11" width="13.33203125" bestFit="1" customWidth="1"/>
    <col min="13" max="13" width="27.33203125" bestFit="1" customWidth="1"/>
    <col min="15" max="15" width="12.5" bestFit="1" customWidth="1"/>
  </cols>
  <sheetData>
    <row r="1" spans="1:15" x14ac:dyDescent="0.2">
      <c r="A1" t="s">
        <v>91</v>
      </c>
    </row>
    <row r="3" spans="1:15" x14ac:dyDescent="0.2">
      <c r="C3" s="106" t="s">
        <v>15</v>
      </c>
      <c r="D3" s="106"/>
      <c r="E3" s="106"/>
      <c r="F3" s="106"/>
      <c r="G3" s="106"/>
      <c r="H3" s="106"/>
      <c r="I3" s="106"/>
      <c r="J3" s="106"/>
      <c r="K3" s="106"/>
    </row>
    <row r="4" spans="1:15" x14ac:dyDescent="0.2">
      <c r="A4" s="1" t="s">
        <v>6</v>
      </c>
      <c r="B4" s="1" t="s">
        <v>0</v>
      </c>
      <c r="C4" s="5" t="s">
        <v>7</v>
      </c>
      <c r="D4" s="7" t="s">
        <v>8</v>
      </c>
      <c r="E4" s="9" t="s">
        <v>9</v>
      </c>
      <c r="F4" s="12" t="s">
        <v>10</v>
      </c>
      <c r="G4" s="12" t="s">
        <v>1</v>
      </c>
      <c r="H4" s="14" t="s">
        <v>11</v>
      </c>
      <c r="I4" s="1" t="s">
        <v>12</v>
      </c>
      <c r="J4" s="16" t="s">
        <v>13</v>
      </c>
      <c r="K4" s="18" t="s">
        <v>14</v>
      </c>
      <c r="M4" s="97" t="s">
        <v>98</v>
      </c>
    </row>
    <row r="5" spans="1:15" hidden="1" x14ac:dyDescent="0.2">
      <c r="A5" t="s">
        <v>3</v>
      </c>
      <c r="B5">
        <v>2030</v>
      </c>
      <c r="C5" s="6">
        <v>-2.2999999999999998</v>
      </c>
      <c r="D5" s="8">
        <v>4.4000000000000004</v>
      </c>
      <c r="E5" s="10">
        <v>1.9</v>
      </c>
      <c r="F5" s="13">
        <v>2.1</v>
      </c>
      <c r="G5" s="13">
        <v>2.7</v>
      </c>
      <c r="H5" s="15">
        <v>0</v>
      </c>
      <c r="I5">
        <v>0</v>
      </c>
      <c r="J5" s="17">
        <v>0</v>
      </c>
      <c r="K5" s="19">
        <v>0</v>
      </c>
      <c r="M5" s="98"/>
    </row>
    <row r="6" spans="1:15" hidden="1" x14ac:dyDescent="0.2">
      <c r="A6" t="s">
        <v>4</v>
      </c>
      <c r="B6">
        <v>2030</v>
      </c>
      <c r="C6" s="6">
        <v>-2.2999999999999998</v>
      </c>
      <c r="D6" s="8">
        <v>5.0999999999999996</v>
      </c>
      <c r="E6" s="10">
        <v>1.8</v>
      </c>
      <c r="F6" s="13">
        <v>0.8</v>
      </c>
      <c r="G6" s="13">
        <v>1.4</v>
      </c>
      <c r="H6" s="15">
        <v>0</v>
      </c>
      <c r="I6">
        <v>0</v>
      </c>
      <c r="J6" s="17">
        <v>0</v>
      </c>
      <c r="K6" s="19">
        <v>0</v>
      </c>
      <c r="M6" s="98"/>
    </row>
    <row r="7" spans="1:15" hidden="1" x14ac:dyDescent="0.2">
      <c r="A7" t="s">
        <v>5</v>
      </c>
      <c r="B7">
        <v>2030</v>
      </c>
      <c r="C7" s="6">
        <v>-2.2999999999999998</v>
      </c>
      <c r="D7" s="8">
        <v>3.3</v>
      </c>
      <c r="E7" s="10">
        <v>1.7</v>
      </c>
      <c r="F7" s="13">
        <v>2.1</v>
      </c>
      <c r="G7" s="13">
        <v>2.7</v>
      </c>
      <c r="H7" s="15">
        <v>0</v>
      </c>
      <c r="I7">
        <v>0</v>
      </c>
      <c r="J7" s="17">
        <v>0</v>
      </c>
      <c r="K7" s="19">
        <v>0</v>
      </c>
      <c r="M7" s="98"/>
    </row>
    <row r="8" spans="1:15" hidden="1" x14ac:dyDescent="0.2">
      <c r="A8" t="s">
        <v>3</v>
      </c>
      <c r="B8">
        <v>2033</v>
      </c>
      <c r="C8" s="6">
        <v>-4.8</v>
      </c>
      <c r="D8" s="8">
        <v>9.6</v>
      </c>
      <c r="E8" s="10">
        <v>2.6</v>
      </c>
      <c r="F8" s="13">
        <v>2.1</v>
      </c>
      <c r="G8" s="13">
        <v>6.8</v>
      </c>
      <c r="H8" s="15">
        <v>0</v>
      </c>
      <c r="I8">
        <v>0</v>
      </c>
      <c r="J8" s="17">
        <v>1.2</v>
      </c>
      <c r="K8" s="19">
        <v>0.8</v>
      </c>
      <c r="M8" s="98"/>
    </row>
    <row r="9" spans="1:15" hidden="1" x14ac:dyDescent="0.2">
      <c r="A9" t="s">
        <v>4</v>
      </c>
      <c r="B9">
        <v>2033</v>
      </c>
      <c r="C9" s="6">
        <v>-4.8</v>
      </c>
      <c r="D9" s="8">
        <v>12.3</v>
      </c>
      <c r="E9" s="10">
        <v>3.7</v>
      </c>
      <c r="F9" s="13">
        <v>1.3</v>
      </c>
      <c r="G9" s="13">
        <v>4.0999999999999996</v>
      </c>
      <c r="H9" s="15">
        <v>0</v>
      </c>
      <c r="I9">
        <v>0</v>
      </c>
      <c r="J9" s="17">
        <v>1.8</v>
      </c>
      <c r="K9" s="20">
        <v>3.3</v>
      </c>
      <c r="M9" s="98"/>
    </row>
    <row r="10" spans="1:15" hidden="1" x14ac:dyDescent="0.2">
      <c r="A10" t="s">
        <v>5</v>
      </c>
      <c r="B10">
        <v>2033</v>
      </c>
      <c r="C10" s="6">
        <v>-4.8</v>
      </c>
      <c r="D10" s="8">
        <v>5.2</v>
      </c>
      <c r="E10" s="11">
        <v>2</v>
      </c>
      <c r="F10" s="13">
        <v>3.8</v>
      </c>
      <c r="G10" s="13">
        <v>4.0999999999999996</v>
      </c>
      <c r="H10" s="15">
        <v>0</v>
      </c>
      <c r="I10">
        <v>0</v>
      </c>
      <c r="J10" s="17">
        <v>0</v>
      </c>
      <c r="K10" s="19">
        <v>0</v>
      </c>
      <c r="M10" s="98"/>
    </row>
    <row r="11" spans="1:15" hidden="1" x14ac:dyDescent="0.2">
      <c r="A11" t="s">
        <v>3</v>
      </c>
      <c r="B11">
        <v>2035</v>
      </c>
      <c r="C11" s="6">
        <v>-6.2</v>
      </c>
      <c r="D11" s="8">
        <v>13.2</v>
      </c>
      <c r="E11" s="10">
        <v>5.0999999999999996</v>
      </c>
      <c r="F11" s="13">
        <v>2.1</v>
      </c>
      <c r="G11" s="13">
        <v>6.8</v>
      </c>
      <c r="H11" s="15">
        <v>1.8</v>
      </c>
      <c r="I11">
        <v>0.6</v>
      </c>
      <c r="J11" s="17">
        <v>2.1</v>
      </c>
      <c r="K11" s="19">
        <v>2.4</v>
      </c>
      <c r="M11" s="98"/>
    </row>
    <row r="12" spans="1:15" hidden="1" x14ac:dyDescent="0.2">
      <c r="A12" t="s">
        <v>4</v>
      </c>
      <c r="B12">
        <v>2035</v>
      </c>
      <c r="C12" s="6">
        <v>-6.2</v>
      </c>
      <c r="D12" s="8">
        <v>14.9</v>
      </c>
      <c r="E12" s="10">
        <v>5.7</v>
      </c>
      <c r="F12" s="13">
        <v>1.3</v>
      </c>
      <c r="G12" s="13">
        <v>6.8</v>
      </c>
      <c r="H12" s="15">
        <v>1.8</v>
      </c>
      <c r="I12">
        <v>0.6</v>
      </c>
      <c r="J12" s="17">
        <v>2.2999999999999998</v>
      </c>
      <c r="K12" s="19">
        <v>4.4000000000000004</v>
      </c>
      <c r="M12" s="98"/>
      <c r="O12">
        <f>7100000*10000</f>
        <v>71000000000</v>
      </c>
    </row>
    <row r="13" spans="1:15" hidden="1" x14ac:dyDescent="0.2">
      <c r="A13" t="s">
        <v>5</v>
      </c>
      <c r="B13">
        <v>2035</v>
      </c>
      <c r="C13" s="6">
        <v>-6.2</v>
      </c>
      <c r="D13" s="8">
        <v>8.8000000000000007</v>
      </c>
      <c r="E13" s="10">
        <v>2.2999999999999998</v>
      </c>
      <c r="F13" s="13">
        <v>3.8</v>
      </c>
      <c r="G13" s="13">
        <v>5.4</v>
      </c>
      <c r="H13" s="15">
        <v>1.8</v>
      </c>
      <c r="I13">
        <v>0.3</v>
      </c>
      <c r="J13" s="17">
        <v>0</v>
      </c>
      <c r="K13" s="19">
        <v>0</v>
      </c>
      <c r="M13" s="98"/>
      <c r="O13">
        <f>O12/1000000000</f>
        <v>71</v>
      </c>
    </row>
    <row r="14" spans="1:15" hidden="1" x14ac:dyDescent="0.2">
      <c r="A14" t="s">
        <v>3</v>
      </c>
      <c r="B14">
        <v>2038</v>
      </c>
      <c r="C14" s="6">
        <v>-8.4</v>
      </c>
      <c r="D14" s="8">
        <v>18</v>
      </c>
      <c r="E14" s="10">
        <v>6.3</v>
      </c>
      <c r="F14" s="13">
        <v>2.1</v>
      </c>
      <c r="G14" s="13">
        <v>6.8</v>
      </c>
      <c r="H14" s="15">
        <v>1.8</v>
      </c>
      <c r="I14">
        <v>2.1</v>
      </c>
      <c r="J14" s="17">
        <v>2.2999999999999998</v>
      </c>
      <c r="K14" s="19">
        <v>2.4</v>
      </c>
      <c r="M14" s="98"/>
      <c r="O14" t="s">
        <v>34</v>
      </c>
    </row>
    <row r="15" spans="1:15" hidden="1" x14ac:dyDescent="0.2">
      <c r="A15" t="s">
        <v>4</v>
      </c>
      <c r="B15">
        <v>2038</v>
      </c>
      <c r="C15" s="6">
        <v>-8.4</v>
      </c>
      <c r="D15" s="8">
        <v>18.100000000000001</v>
      </c>
      <c r="E15" s="10">
        <v>5.7</v>
      </c>
      <c r="F15" s="13">
        <v>1.3</v>
      </c>
      <c r="G15" s="13">
        <v>6.8</v>
      </c>
      <c r="H15" s="15">
        <v>1.8</v>
      </c>
      <c r="I15">
        <v>2.1</v>
      </c>
      <c r="J15" s="17">
        <v>2.2999999999999998</v>
      </c>
      <c r="K15" s="19">
        <v>4.4000000000000004</v>
      </c>
      <c r="M15" s="98"/>
      <c r="O15" t="s">
        <v>23</v>
      </c>
    </row>
    <row r="16" spans="1:15" hidden="1" x14ac:dyDescent="0.2">
      <c r="A16" t="s">
        <v>5</v>
      </c>
      <c r="B16">
        <v>2038</v>
      </c>
      <c r="C16" s="6">
        <v>-8.4</v>
      </c>
      <c r="D16" s="8">
        <v>14.2</v>
      </c>
      <c r="E16" s="10">
        <v>2.7</v>
      </c>
      <c r="F16" s="13">
        <v>3.8</v>
      </c>
      <c r="G16" s="13">
        <v>5.4</v>
      </c>
      <c r="H16" s="15">
        <v>1.8</v>
      </c>
      <c r="I16">
        <v>2.1</v>
      </c>
      <c r="J16" s="17">
        <v>0</v>
      </c>
      <c r="K16" s="19">
        <v>0</v>
      </c>
      <c r="M16" s="98"/>
      <c r="O16" t="s">
        <v>35</v>
      </c>
    </row>
    <row r="17" spans="1:15" hidden="1" x14ac:dyDescent="0.2">
      <c r="A17" t="s">
        <v>3</v>
      </c>
      <c r="B17">
        <v>2042</v>
      </c>
      <c r="C17" s="6">
        <v>-8.4</v>
      </c>
      <c r="D17" s="8">
        <v>21.2</v>
      </c>
      <c r="E17" s="10">
        <v>8.6999999999999993</v>
      </c>
      <c r="F17" s="13">
        <v>2.1</v>
      </c>
      <c r="G17" s="13">
        <v>6.8</v>
      </c>
      <c r="H17" s="15">
        <v>1.8</v>
      </c>
      <c r="I17">
        <v>4.5</v>
      </c>
      <c r="J17" s="17">
        <v>2.2999999999999998</v>
      </c>
      <c r="K17" s="19">
        <v>4.5999999999999996</v>
      </c>
      <c r="M17" s="98"/>
      <c r="O17" t="s">
        <v>36</v>
      </c>
    </row>
    <row r="18" spans="1:15" hidden="1" x14ac:dyDescent="0.2">
      <c r="A18" t="s">
        <v>4</v>
      </c>
      <c r="B18">
        <v>2042</v>
      </c>
      <c r="C18" s="6">
        <v>-8.4</v>
      </c>
      <c r="D18" s="8">
        <v>19.899999999999999</v>
      </c>
      <c r="E18" s="10">
        <v>6.9</v>
      </c>
      <c r="F18" s="13">
        <v>1.3</v>
      </c>
      <c r="G18" s="13">
        <v>6.8</v>
      </c>
      <c r="H18" s="15">
        <v>1.8</v>
      </c>
      <c r="I18">
        <v>4.5</v>
      </c>
      <c r="J18" s="17">
        <v>2.2999999999999998</v>
      </c>
      <c r="K18" s="19">
        <v>4.4000000000000004</v>
      </c>
      <c r="M18" s="98"/>
    </row>
    <row r="19" spans="1:15" hidden="1" x14ac:dyDescent="0.2">
      <c r="A19" t="s">
        <v>5</v>
      </c>
      <c r="B19">
        <v>2042</v>
      </c>
      <c r="C19" s="6">
        <v>-8.4</v>
      </c>
      <c r="D19" s="8">
        <v>21.4</v>
      </c>
      <c r="E19" s="10">
        <v>6.4</v>
      </c>
      <c r="F19" s="13">
        <v>3.8</v>
      </c>
      <c r="G19" s="13">
        <v>5.4</v>
      </c>
      <c r="H19" s="15">
        <v>1.8</v>
      </c>
      <c r="I19">
        <v>4.5</v>
      </c>
      <c r="J19" s="17">
        <v>0.5</v>
      </c>
      <c r="K19" s="19">
        <v>2.2000000000000002</v>
      </c>
      <c r="M19" s="98"/>
    </row>
    <row r="20" spans="1:15" hidden="1" x14ac:dyDescent="0.2">
      <c r="A20" t="s">
        <v>3</v>
      </c>
      <c r="B20">
        <v>2045</v>
      </c>
      <c r="C20" s="6">
        <v>-8.4</v>
      </c>
      <c r="D20" s="8">
        <v>23.7</v>
      </c>
      <c r="E20" s="10">
        <v>11.9</v>
      </c>
      <c r="F20" s="13">
        <v>2.1</v>
      </c>
      <c r="G20" s="13">
        <v>6.8</v>
      </c>
      <c r="H20" s="15">
        <v>1.8</v>
      </c>
      <c r="I20">
        <v>7.1</v>
      </c>
      <c r="J20" s="17">
        <v>2.2999999999999998</v>
      </c>
      <c r="K20" s="19">
        <v>5.7</v>
      </c>
      <c r="M20" s="98"/>
    </row>
    <row r="21" spans="1:15" hidden="1" x14ac:dyDescent="0.2">
      <c r="A21" t="s">
        <v>4</v>
      </c>
      <c r="B21">
        <v>2045</v>
      </c>
      <c r="C21" s="6">
        <v>-8.4</v>
      </c>
      <c r="D21" s="8">
        <v>24.1</v>
      </c>
      <c r="E21" s="10">
        <v>10.1</v>
      </c>
      <c r="F21" s="13">
        <v>1.3</v>
      </c>
      <c r="G21" s="13">
        <v>6.8</v>
      </c>
      <c r="H21" s="15">
        <v>1.8</v>
      </c>
      <c r="I21">
        <v>7.2</v>
      </c>
      <c r="J21" s="17">
        <v>2.2999999999999998</v>
      </c>
      <c r="K21" s="19">
        <v>4.4000000000000004</v>
      </c>
      <c r="M21" s="98"/>
    </row>
    <row r="22" spans="1:15" hidden="1" x14ac:dyDescent="0.2">
      <c r="A22" t="s">
        <v>5</v>
      </c>
      <c r="B22">
        <v>2045</v>
      </c>
      <c r="C22" s="6">
        <v>-8.4</v>
      </c>
      <c r="D22" s="8">
        <v>26.8</v>
      </c>
      <c r="E22" s="10">
        <v>9.5</v>
      </c>
      <c r="F22" s="13">
        <v>3.8</v>
      </c>
      <c r="G22" s="13">
        <v>5.4</v>
      </c>
      <c r="H22" s="15">
        <v>1.8</v>
      </c>
      <c r="I22">
        <v>7.1</v>
      </c>
      <c r="J22" s="17">
        <v>0.5</v>
      </c>
      <c r="K22" s="19">
        <v>2.2000000000000002</v>
      </c>
      <c r="M22" s="98"/>
    </row>
    <row r="23" spans="1:15" hidden="1" x14ac:dyDescent="0.2">
      <c r="A23" t="s">
        <v>3</v>
      </c>
      <c r="B23">
        <v>2050</v>
      </c>
      <c r="C23" s="6">
        <v>-9.3000000000000007</v>
      </c>
      <c r="D23" s="8">
        <v>27.3</v>
      </c>
      <c r="E23" s="10">
        <v>14.2</v>
      </c>
      <c r="F23" s="13">
        <v>3</v>
      </c>
      <c r="G23" s="13">
        <v>6.8</v>
      </c>
      <c r="H23" s="15">
        <v>1.8</v>
      </c>
      <c r="I23">
        <v>10.7</v>
      </c>
      <c r="J23" s="17">
        <v>2.2999999999999998</v>
      </c>
      <c r="K23" s="19">
        <v>9</v>
      </c>
      <c r="M23" s="98"/>
    </row>
    <row r="24" spans="1:15" hidden="1" x14ac:dyDescent="0.2">
      <c r="A24" t="s">
        <v>4</v>
      </c>
      <c r="B24">
        <v>2050</v>
      </c>
      <c r="C24" s="6">
        <v>-9.3000000000000007</v>
      </c>
      <c r="D24" s="8">
        <v>33.1</v>
      </c>
      <c r="E24" s="10">
        <v>18.399999999999999</v>
      </c>
      <c r="F24" s="13">
        <v>1.3</v>
      </c>
      <c r="G24" s="13">
        <v>6.8</v>
      </c>
      <c r="H24" s="15">
        <v>1.8</v>
      </c>
      <c r="I24">
        <v>10.7</v>
      </c>
      <c r="J24" s="17">
        <v>2.2999999999999998</v>
      </c>
      <c r="K24" s="19">
        <v>4.4000000000000004</v>
      </c>
      <c r="M24" s="98"/>
    </row>
    <row r="25" spans="1:15" hidden="1" x14ac:dyDescent="0.2">
      <c r="A25" t="s">
        <v>5</v>
      </c>
      <c r="B25">
        <v>2050</v>
      </c>
      <c r="C25" s="6">
        <v>-9.3000000000000007</v>
      </c>
      <c r="D25" s="8">
        <v>35.799999999999997</v>
      </c>
      <c r="E25" s="10">
        <v>21.7</v>
      </c>
      <c r="F25" s="13">
        <v>3.8</v>
      </c>
      <c r="G25" s="13">
        <v>5.4</v>
      </c>
      <c r="H25" s="15">
        <v>1.8</v>
      </c>
      <c r="I25">
        <v>10.7</v>
      </c>
      <c r="J25" s="17">
        <v>2.2999999999999998</v>
      </c>
      <c r="K25" s="19">
        <v>2.2000000000000002</v>
      </c>
      <c r="M25" s="98"/>
    </row>
    <row r="26" spans="1:15" hidden="1" x14ac:dyDescent="0.2">
      <c r="M26" s="98"/>
    </row>
    <row r="27" spans="1:15" s="28" customFormat="1" hidden="1" x14ac:dyDescent="0.2">
      <c r="M27" s="99"/>
    </row>
    <row r="28" spans="1:15" x14ac:dyDescent="0.2">
      <c r="A28" t="s">
        <v>4</v>
      </c>
      <c r="B28">
        <v>2030</v>
      </c>
      <c r="C28" s="6">
        <v>-2.2999999999999998</v>
      </c>
      <c r="D28" s="8">
        <v>5.0999999999999996</v>
      </c>
      <c r="E28" s="10">
        <v>1.8</v>
      </c>
      <c r="F28" s="13">
        <v>0.8</v>
      </c>
      <c r="G28" s="13">
        <v>1.4</v>
      </c>
      <c r="H28" s="15">
        <v>0</v>
      </c>
      <c r="I28" s="28">
        <v>0</v>
      </c>
      <c r="J28" s="37">
        <v>0</v>
      </c>
      <c r="K28" s="19">
        <v>0</v>
      </c>
      <c r="M28" s="98">
        <f>I28</f>
        <v>0</v>
      </c>
    </row>
    <row r="29" spans="1:15" x14ac:dyDescent="0.2">
      <c r="A29" t="s">
        <v>4</v>
      </c>
      <c r="B29">
        <v>2031</v>
      </c>
      <c r="C29" s="32">
        <f>C28+(C$31-C$28)/3</f>
        <v>-3.1333333333333333</v>
      </c>
      <c r="D29" s="33">
        <f t="shared" ref="D29:K30" si="0">D28+(D$31-D$28)/3</f>
        <v>7.5</v>
      </c>
      <c r="E29" s="11">
        <f t="shared" si="0"/>
        <v>2.4333333333333336</v>
      </c>
      <c r="F29" s="34">
        <f t="shared" si="0"/>
        <v>0.96666666666666667</v>
      </c>
      <c r="G29" s="34">
        <f t="shared" si="0"/>
        <v>2.2999999999999998</v>
      </c>
      <c r="H29" s="35">
        <f t="shared" si="0"/>
        <v>0</v>
      </c>
      <c r="I29" s="36">
        <f>I28+(I$31-I$28)/3</f>
        <v>0</v>
      </c>
      <c r="J29" s="38">
        <f t="shared" si="0"/>
        <v>0.6</v>
      </c>
      <c r="K29" s="20">
        <f t="shared" si="0"/>
        <v>1.0999999999999999</v>
      </c>
      <c r="M29" s="95">
        <f>I29-I28</f>
        <v>0</v>
      </c>
    </row>
    <row r="30" spans="1:15" x14ac:dyDescent="0.2">
      <c r="A30" t="s">
        <v>4</v>
      </c>
      <c r="B30">
        <v>2032</v>
      </c>
      <c r="C30" s="32">
        <f>C29+(C$31-C$28)/3</f>
        <v>-3.9666666666666668</v>
      </c>
      <c r="D30" s="33">
        <f t="shared" si="0"/>
        <v>9.9</v>
      </c>
      <c r="E30" s="11">
        <f t="shared" si="0"/>
        <v>3.0666666666666669</v>
      </c>
      <c r="F30" s="34">
        <f t="shared" si="0"/>
        <v>1.1333333333333333</v>
      </c>
      <c r="G30" s="34">
        <f t="shared" si="0"/>
        <v>3.1999999999999997</v>
      </c>
      <c r="H30" s="35">
        <f t="shared" si="0"/>
        <v>0</v>
      </c>
      <c r="I30" s="36">
        <f>I29+(I$31-I$28)/3</f>
        <v>0</v>
      </c>
      <c r="J30" s="38">
        <f t="shared" si="0"/>
        <v>1.2</v>
      </c>
      <c r="K30" s="20">
        <f t="shared" si="0"/>
        <v>2.1999999999999997</v>
      </c>
      <c r="M30" s="95">
        <f t="shared" ref="M30:M70" si="1">I30-I29</f>
        <v>0</v>
      </c>
    </row>
    <row r="31" spans="1:15" x14ac:dyDescent="0.2">
      <c r="A31" t="s">
        <v>4</v>
      </c>
      <c r="B31">
        <v>2033</v>
      </c>
      <c r="C31" s="6">
        <v>-4.8</v>
      </c>
      <c r="D31" s="8">
        <v>12.3</v>
      </c>
      <c r="E31" s="10">
        <v>3.7</v>
      </c>
      <c r="F31" s="13">
        <v>1.3</v>
      </c>
      <c r="G31" s="13">
        <v>4.0999999999999996</v>
      </c>
      <c r="H31" s="15">
        <v>0</v>
      </c>
      <c r="I31" s="28">
        <v>0</v>
      </c>
      <c r="J31" s="37">
        <v>1.8</v>
      </c>
      <c r="K31" s="20">
        <v>3.3</v>
      </c>
      <c r="M31" s="95">
        <f t="shared" si="1"/>
        <v>0</v>
      </c>
    </row>
    <row r="32" spans="1:15" x14ac:dyDescent="0.2">
      <c r="A32" t="s">
        <v>4</v>
      </c>
      <c r="B32">
        <v>2034</v>
      </c>
      <c r="C32" s="6">
        <f>C31+(C$33-C$31)/2</f>
        <v>-5.5</v>
      </c>
      <c r="D32" s="8">
        <f t="shared" ref="D32:K32" si="2">D31+(D$33-D$31)/2</f>
        <v>13.600000000000001</v>
      </c>
      <c r="E32" s="10">
        <f t="shared" si="2"/>
        <v>4.7</v>
      </c>
      <c r="F32" s="13">
        <f t="shared" si="2"/>
        <v>1.3</v>
      </c>
      <c r="G32" s="13">
        <f t="shared" si="2"/>
        <v>5.4499999999999993</v>
      </c>
      <c r="H32" s="15">
        <f t="shared" si="2"/>
        <v>0.9</v>
      </c>
      <c r="I32" s="28">
        <f>I31+(I$33-I$31)/2</f>
        <v>0.3</v>
      </c>
      <c r="J32" s="37">
        <f t="shared" si="2"/>
        <v>2.0499999999999998</v>
      </c>
      <c r="K32" s="19">
        <f t="shared" si="2"/>
        <v>3.85</v>
      </c>
      <c r="M32" s="95">
        <f t="shared" si="1"/>
        <v>0.3</v>
      </c>
    </row>
    <row r="33" spans="1:13" x14ac:dyDescent="0.2">
      <c r="A33" t="s">
        <v>4</v>
      </c>
      <c r="B33">
        <v>2035</v>
      </c>
      <c r="C33" s="6">
        <v>-6.2</v>
      </c>
      <c r="D33" s="8">
        <v>14.9</v>
      </c>
      <c r="E33" s="10">
        <v>5.7</v>
      </c>
      <c r="F33" s="13">
        <v>1.3</v>
      </c>
      <c r="G33" s="13">
        <v>6.8</v>
      </c>
      <c r="H33" s="15">
        <v>1.8</v>
      </c>
      <c r="I33" s="28">
        <v>0.6</v>
      </c>
      <c r="J33" s="37">
        <v>2.2999999999999998</v>
      </c>
      <c r="K33" s="19">
        <v>4.4000000000000004</v>
      </c>
      <c r="M33" s="95">
        <f t="shared" si="1"/>
        <v>0.3</v>
      </c>
    </row>
    <row r="34" spans="1:13" x14ac:dyDescent="0.2">
      <c r="A34" t="s">
        <v>4</v>
      </c>
      <c r="B34">
        <v>2036</v>
      </c>
      <c r="C34" s="32">
        <f>C33+(C$36-C$33)/3</f>
        <v>-6.9333333333333336</v>
      </c>
      <c r="D34" s="33">
        <f t="shared" ref="D34:K34" si="3">D33+(D$36-D$33)/3</f>
        <v>15.966666666666667</v>
      </c>
      <c r="E34" s="11">
        <f t="shared" si="3"/>
        <v>5.7</v>
      </c>
      <c r="F34" s="34">
        <f t="shared" si="3"/>
        <v>1.3</v>
      </c>
      <c r="G34" s="34">
        <f t="shared" si="3"/>
        <v>6.8</v>
      </c>
      <c r="H34" s="35">
        <f t="shared" si="3"/>
        <v>1.8</v>
      </c>
      <c r="I34" s="36">
        <f>I33+(I$36-I$33)/3</f>
        <v>1.1000000000000001</v>
      </c>
      <c r="J34" s="38">
        <f t="shared" si="3"/>
        <v>2.2999999999999998</v>
      </c>
      <c r="K34" s="20">
        <f t="shared" si="3"/>
        <v>4.4000000000000004</v>
      </c>
      <c r="M34" s="95">
        <f t="shared" si="1"/>
        <v>0.50000000000000011</v>
      </c>
    </row>
    <row r="35" spans="1:13" x14ac:dyDescent="0.2">
      <c r="A35" t="s">
        <v>4</v>
      </c>
      <c r="B35">
        <v>2037</v>
      </c>
      <c r="C35" s="32">
        <f>C34+(C$36-C$33)/3</f>
        <v>-7.666666666666667</v>
      </c>
      <c r="D35" s="33">
        <f>D34+(D$36-D$33)/3</f>
        <v>17.033333333333335</v>
      </c>
      <c r="E35" s="11">
        <f>E34+(E$36-E$33)/3</f>
        <v>5.7</v>
      </c>
      <c r="F35" s="34">
        <f>F34+(F$36-F$33)/3</f>
        <v>1.3</v>
      </c>
      <c r="G35" s="34">
        <f>G34+(G$36-G$33)/3</f>
        <v>6.8</v>
      </c>
      <c r="H35" s="35">
        <f>H34+(H$36-H$33)/3</f>
        <v>1.8</v>
      </c>
      <c r="I35" s="36">
        <f>I34+(I$36-I$33)/3</f>
        <v>1.6</v>
      </c>
      <c r="J35" s="38">
        <f>J34+(J$36-J$33)/3</f>
        <v>2.2999999999999998</v>
      </c>
      <c r="K35" s="20">
        <f>K34+(K$36-K$33)/3</f>
        <v>4.4000000000000004</v>
      </c>
      <c r="M35" s="95">
        <f t="shared" si="1"/>
        <v>0.5</v>
      </c>
    </row>
    <row r="36" spans="1:13" x14ac:dyDescent="0.2">
      <c r="A36" t="s">
        <v>4</v>
      </c>
      <c r="B36">
        <v>2038</v>
      </c>
      <c r="C36" s="6">
        <v>-8.4</v>
      </c>
      <c r="D36" s="8">
        <v>18.100000000000001</v>
      </c>
      <c r="E36" s="10">
        <v>5.7</v>
      </c>
      <c r="F36" s="13">
        <v>1.3</v>
      </c>
      <c r="G36" s="13">
        <v>6.8</v>
      </c>
      <c r="H36" s="15">
        <v>1.8</v>
      </c>
      <c r="I36" s="28">
        <v>2.1</v>
      </c>
      <c r="J36" s="37">
        <v>2.2999999999999998</v>
      </c>
      <c r="K36" s="19">
        <v>4.4000000000000004</v>
      </c>
      <c r="M36" s="95">
        <f t="shared" si="1"/>
        <v>0.5</v>
      </c>
    </row>
    <row r="37" spans="1:13" x14ac:dyDescent="0.2">
      <c r="A37" t="s">
        <v>4</v>
      </c>
      <c r="B37">
        <v>2039</v>
      </c>
      <c r="C37" s="32">
        <f>C36+(C$40-C$36)/4</f>
        <v>-8.4</v>
      </c>
      <c r="D37" s="33">
        <f t="shared" ref="D37:K37" si="4">D36+(D$40-D$36)/4</f>
        <v>18.55</v>
      </c>
      <c r="E37" s="11">
        <f t="shared" si="4"/>
        <v>6</v>
      </c>
      <c r="F37" s="34">
        <f t="shared" si="4"/>
        <v>1.3</v>
      </c>
      <c r="G37" s="34">
        <f t="shared" si="4"/>
        <v>6.8</v>
      </c>
      <c r="H37" s="35">
        <f t="shared" si="4"/>
        <v>1.8</v>
      </c>
      <c r="I37" s="36">
        <f>I36+(I$40-I$36)/4</f>
        <v>2.7</v>
      </c>
      <c r="J37" s="38">
        <f t="shared" si="4"/>
        <v>2.2999999999999998</v>
      </c>
      <c r="K37" s="20">
        <f t="shared" si="4"/>
        <v>4.4000000000000004</v>
      </c>
      <c r="M37" s="95">
        <f t="shared" si="1"/>
        <v>0.60000000000000009</v>
      </c>
    </row>
    <row r="38" spans="1:13" x14ac:dyDescent="0.2">
      <c r="A38" t="s">
        <v>4</v>
      </c>
      <c r="B38">
        <v>2040</v>
      </c>
      <c r="C38" s="32">
        <f>C37+(C$40-C$36)/4</f>
        <v>-8.4</v>
      </c>
      <c r="D38" s="33">
        <f t="shared" ref="D38:H39" si="5">D37+(D$40-D$36)/4</f>
        <v>19</v>
      </c>
      <c r="E38" s="11">
        <f t="shared" si="5"/>
        <v>6.3</v>
      </c>
      <c r="F38" s="34">
        <f t="shared" si="5"/>
        <v>1.3</v>
      </c>
      <c r="G38" s="34">
        <f t="shared" si="5"/>
        <v>6.8</v>
      </c>
      <c r="H38" s="35">
        <f t="shared" si="5"/>
        <v>1.8</v>
      </c>
      <c r="I38" s="36">
        <f>I37+(I$40-I$36)/4</f>
        <v>3.3000000000000003</v>
      </c>
      <c r="J38" s="38">
        <f>J37+(J$40-J$36)/4</f>
        <v>2.2999999999999998</v>
      </c>
      <c r="K38" s="20">
        <f>K37+(K$40-K$36)/4</f>
        <v>4.4000000000000004</v>
      </c>
      <c r="M38" s="95">
        <f t="shared" si="1"/>
        <v>0.60000000000000009</v>
      </c>
    </row>
    <row r="39" spans="1:13" x14ac:dyDescent="0.2">
      <c r="A39" t="s">
        <v>4</v>
      </c>
      <c r="B39">
        <v>2041</v>
      </c>
      <c r="C39" s="32">
        <f>C38+(C$40-C$36)/4</f>
        <v>-8.4</v>
      </c>
      <c r="D39" s="33">
        <f t="shared" si="5"/>
        <v>19.45</v>
      </c>
      <c r="E39" s="11">
        <f t="shared" si="5"/>
        <v>6.6</v>
      </c>
      <c r="F39" s="34">
        <f t="shared" si="5"/>
        <v>1.3</v>
      </c>
      <c r="G39" s="34">
        <f t="shared" si="5"/>
        <v>6.8</v>
      </c>
      <c r="H39" s="35">
        <f t="shared" si="5"/>
        <v>1.8</v>
      </c>
      <c r="I39" s="36">
        <f>I38+(I$40-I$36)/4</f>
        <v>3.9000000000000004</v>
      </c>
      <c r="J39" s="38">
        <f>J38+(J$40-J$36)/4</f>
        <v>2.2999999999999998</v>
      </c>
      <c r="K39" s="20">
        <f>K38+(K$40-K$36)/4</f>
        <v>4.4000000000000004</v>
      </c>
      <c r="M39" s="95">
        <f t="shared" si="1"/>
        <v>0.60000000000000009</v>
      </c>
    </row>
    <row r="40" spans="1:13" x14ac:dyDescent="0.2">
      <c r="A40" t="s">
        <v>4</v>
      </c>
      <c r="B40">
        <v>2042</v>
      </c>
      <c r="C40" s="6">
        <v>-8.4</v>
      </c>
      <c r="D40" s="8">
        <v>19.899999999999999</v>
      </c>
      <c r="E40" s="10">
        <v>6.9</v>
      </c>
      <c r="F40" s="13">
        <v>1.3</v>
      </c>
      <c r="G40" s="13">
        <v>6.8</v>
      </c>
      <c r="H40" s="15">
        <v>1.8</v>
      </c>
      <c r="I40" s="28">
        <v>4.5</v>
      </c>
      <c r="J40" s="37">
        <v>2.2999999999999998</v>
      </c>
      <c r="K40" s="19">
        <v>4.4000000000000004</v>
      </c>
      <c r="M40" s="95">
        <f t="shared" si="1"/>
        <v>0.59999999999999964</v>
      </c>
    </row>
    <row r="41" spans="1:13" x14ac:dyDescent="0.2">
      <c r="A41" t="s">
        <v>4</v>
      </c>
      <c r="B41">
        <v>2043</v>
      </c>
      <c r="C41" s="32">
        <f>C40+(C$43-C$40)/3</f>
        <v>-8.4</v>
      </c>
      <c r="D41" s="33">
        <f t="shared" ref="D41:K41" si="6">D40+(D$43-D$40)/3</f>
        <v>21.3</v>
      </c>
      <c r="E41" s="11">
        <f t="shared" si="6"/>
        <v>7.9666666666666668</v>
      </c>
      <c r="F41" s="34">
        <f t="shared" si="6"/>
        <v>1.3</v>
      </c>
      <c r="G41" s="34">
        <f t="shared" si="6"/>
        <v>6.8</v>
      </c>
      <c r="H41" s="35">
        <f t="shared" si="6"/>
        <v>1.8</v>
      </c>
      <c r="I41" s="36">
        <f>I40+(I$43-I$40)/3</f>
        <v>5.4</v>
      </c>
      <c r="J41" s="38">
        <f t="shared" si="6"/>
        <v>2.2999999999999998</v>
      </c>
      <c r="K41" s="20">
        <f t="shared" si="6"/>
        <v>4.4000000000000004</v>
      </c>
      <c r="M41" s="95">
        <f t="shared" si="1"/>
        <v>0.90000000000000036</v>
      </c>
    </row>
    <row r="42" spans="1:13" x14ac:dyDescent="0.2">
      <c r="A42" t="s">
        <v>4</v>
      </c>
      <c r="B42">
        <v>2044</v>
      </c>
      <c r="C42" s="32">
        <f>C41+(C$43-C$40)/3</f>
        <v>-8.4</v>
      </c>
      <c r="D42" s="33">
        <f>D41+(D$43-D$40)/3</f>
        <v>22.700000000000003</v>
      </c>
      <c r="E42" s="11">
        <f>E41+(E$43-E$40)/3</f>
        <v>9.0333333333333332</v>
      </c>
      <c r="F42" s="34">
        <f>F41+(F$43-F$40)/3</f>
        <v>1.3</v>
      </c>
      <c r="G42" s="34">
        <f>G41+(G$43-G$40)/3</f>
        <v>6.8</v>
      </c>
      <c r="H42" s="35">
        <f>H41+(H$43-H$40)/3</f>
        <v>1.8</v>
      </c>
      <c r="I42" s="36">
        <f>I41+(I$43-I$40)/3</f>
        <v>6.3000000000000007</v>
      </c>
      <c r="J42" s="38">
        <f>J41+(J$43-J$40)/3</f>
        <v>2.2999999999999998</v>
      </c>
      <c r="K42" s="20">
        <f>K41+(K$43-K$40)/3</f>
        <v>4.4000000000000004</v>
      </c>
      <c r="M42" s="95">
        <f t="shared" si="1"/>
        <v>0.90000000000000036</v>
      </c>
    </row>
    <row r="43" spans="1:13" x14ac:dyDescent="0.2">
      <c r="A43" t="s">
        <v>4</v>
      </c>
      <c r="B43">
        <v>2045</v>
      </c>
      <c r="C43" s="6">
        <v>-8.4</v>
      </c>
      <c r="D43" s="8">
        <v>24.1</v>
      </c>
      <c r="E43" s="10">
        <v>10.1</v>
      </c>
      <c r="F43" s="13">
        <v>1.3</v>
      </c>
      <c r="G43" s="13">
        <v>6.8</v>
      </c>
      <c r="H43" s="15">
        <v>1.8</v>
      </c>
      <c r="I43" s="28">
        <v>7.2</v>
      </c>
      <c r="J43" s="37">
        <v>2.2999999999999998</v>
      </c>
      <c r="K43" s="19">
        <v>4.4000000000000004</v>
      </c>
      <c r="M43" s="95">
        <f t="shared" si="1"/>
        <v>0.89999999999999947</v>
      </c>
    </row>
    <row r="44" spans="1:13" x14ac:dyDescent="0.2">
      <c r="A44" t="s">
        <v>4</v>
      </c>
      <c r="B44">
        <v>2046</v>
      </c>
      <c r="C44" s="32">
        <f>C43+(C$48-C$43)/5</f>
        <v>-8.58</v>
      </c>
      <c r="D44" s="33">
        <f t="shared" ref="D44:K44" si="7">D43+(D$48-D$43)/5</f>
        <v>25.900000000000002</v>
      </c>
      <c r="E44" s="11">
        <f t="shared" si="7"/>
        <v>11.76</v>
      </c>
      <c r="F44" s="34">
        <f t="shared" si="7"/>
        <v>1.3</v>
      </c>
      <c r="G44" s="34">
        <f t="shared" si="7"/>
        <v>6.8</v>
      </c>
      <c r="H44" s="35">
        <f t="shared" si="7"/>
        <v>1.8</v>
      </c>
      <c r="I44" s="36">
        <f>I43+(I$48-I$43)/5</f>
        <v>7.9</v>
      </c>
      <c r="J44" s="38">
        <f t="shared" si="7"/>
        <v>2.2999999999999998</v>
      </c>
      <c r="K44" s="20">
        <f t="shared" si="7"/>
        <v>4.4000000000000004</v>
      </c>
      <c r="M44" s="95">
        <f t="shared" si="1"/>
        <v>0.70000000000000018</v>
      </c>
    </row>
    <row r="45" spans="1:13" x14ac:dyDescent="0.2">
      <c r="A45" t="s">
        <v>4</v>
      </c>
      <c r="B45">
        <v>2047</v>
      </c>
      <c r="C45" s="32">
        <f>C44+(C$48-C$43)/5</f>
        <v>-8.76</v>
      </c>
      <c r="D45" s="33">
        <f t="shared" ref="D45:H47" si="8">D44+(D$48-D$43)/5</f>
        <v>27.700000000000003</v>
      </c>
      <c r="E45" s="11">
        <f t="shared" si="8"/>
        <v>13.42</v>
      </c>
      <c r="F45" s="34">
        <f t="shared" si="8"/>
        <v>1.3</v>
      </c>
      <c r="G45" s="34">
        <f t="shared" si="8"/>
        <v>6.8</v>
      </c>
      <c r="H45" s="35">
        <f t="shared" si="8"/>
        <v>1.8</v>
      </c>
      <c r="I45" s="36">
        <f>I44+(I$48-I$43)/5</f>
        <v>8.6</v>
      </c>
      <c r="J45" s="38">
        <f t="shared" ref="J45:K47" si="9">J44+(J$48-J$43)/5</f>
        <v>2.2999999999999998</v>
      </c>
      <c r="K45" s="20">
        <f t="shared" si="9"/>
        <v>4.4000000000000004</v>
      </c>
      <c r="M45" s="95">
        <f t="shared" si="1"/>
        <v>0.69999999999999929</v>
      </c>
    </row>
    <row r="46" spans="1:13" x14ac:dyDescent="0.2">
      <c r="A46" t="s">
        <v>4</v>
      </c>
      <c r="B46">
        <v>2048</v>
      </c>
      <c r="C46" s="32">
        <f>C45+(C$48-C$43)/5</f>
        <v>-8.94</v>
      </c>
      <c r="D46" s="33">
        <f t="shared" si="8"/>
        <v>29.500000000000004</v>
      </c>
      <c r="E46" s="11">
        <f t="shared" si="8"/>
        <v>15.08</v>
      </c>
      <c r="F46" s="34">
        <f t="shared" si="8"/>
        <v>1.3</v>
      </c>
      <c r="G46" s="34">
        <f t="shared" si="8"/>
        <v>6.8</v>
      </c>
      <c r="H46" s="35">
        <f t="shared" si="8"/>
        <v>1.8</v>
      </c>
      <c r="I46" s="36">
        <f>I45+(I$48-I$43)/5</f>
        <v>9.2999999999999989</v>
      </c>
      <c r="J46" s="38">
        <f t="shared" si="9"/>
        <v>2.2999999999999998</v>
      </c>
      <c r="K46" s="20">
        <f t="shared" si="9"/>
        <v>4.4000000000000004</v>
      </c>
      <c r="M46" s="95">
        <f t="shared" si="1"/>
        <v>0.69999999999999929</v>
      </c>
    </row>
    <row r="47" spans="1:13" x14ac:dyDescent="0.2">
      <c r="A47" t="s">
        <v>4</v>
      </c>
      <c r="B47">
        <v>2049</v>
      </c>
      <c r="C47" s="32">
        <f>C46+(C$48-C$43)/5</f>
        <v>-9.1199999999999992</v>
      </c>
      <c r="D47" s="33">
        <f t="shared" si="8"/>
        <v>31.300000000000004</v>
      </c>
      <c r="E47" s="11">
        <f t="shared" si="8"/>
        <v>16.739999999999998</v>
      </c>
      <c r="F47" s="34">
        <f t="shared" si="8"/>
        <v>1.3</v>
      </c>
      <c r="G47" s="34">
        <f t="shared" si="8"/>
        <v>6.8</v>
      </c>
      <c r="H47" s="35">
        <f t="shared" si="8"/>
        <v>1.8</v>
      </c>
      <c r="I47" s="36">
        <f>I46+(I$48-I$43)/5</f>
        <v>9.9999999999999982</v>
      </c>
      <c r="J47" s="38">
        <f t="shared" si="9"/>
        <v>2.2999999999999998</v>
      </c>
      <c r="K47" s="20">
        <f t="shared" si="9"/>
        <v>4.4000000000000004</v>
      </c>
      <c r="M47" s="95">
        <f t="shared" si="1"/>
        <v>0.69999999999999929</v>
      </c>
    </row>
    <row r="48" spans="1:13" x14ac:dyDescent="0.2">
      <c r="A48" t="s">
        <v>4</v>
      </c>
      <c r="B48">
        <v>2050</v>
      </c>
      <c r="C48" s="6">
        <v>-9.3000000000000007</v>
      </c>
      <c r="D48" s="8">
        <v>33.1</v>
      </c>
      <c r="E48" s="10">
        <v>18.399999999999999</v>
      </c>
      <c r="F48" s="13">
        <v>1.3</v>
      </c>
      <c r="G48" s="13">
        <v>6.8</v>
      </c>
      <c r="H48" s="15">
        <v>1.8</v>
      </c>
      <c r="I48" s="28">
        <v>10.7</v>
      </c>
      <c r="J48" s="37">
        <v>2.2999999999999998</v>
      </c>
      <c r="K48" s="19">
        <v>4.4000000000000004</v>
      </c>
      <c r="M48" s="96">
        <f t="shared" si="1"/>
        <v>0.70000000000000107</v>
      </c>
    </row>
    <row r="49" spans="1:13" x14ac:dyDescent="0.2">
      <c r="M49" s="93"/>
    </row>
    <row r="50" spans="1:13" x14ac:dyDescent="0.2">
      <c r="A50" t="s">
        <v>5</v>
      </c>
      <c r="B50">
        <v>2030</v>
      </c>
      <c r="C50" s="6">
        <v>-2.2999999999999998</v>
      </c>
      <c r="D50" s="8">
        <v>3.3</v>
      </c>
      <c r="E50" s="10">
        <v>1.7</v>
      </c>
      <c r="F50" s="13">
        <v>2.1</v>
      </c>
      <c r="G50" s="13">
        <v>2.7</v>
      </c>
      <c r="H50" s="15">
        <v>0</v>
      </c>
      <c r="I50" s="28">
        <v>0</v>
      </c>
      <c r="J50" s="37">
        <v>0</v>
      </c>
      <c r="K50" s="19">
        <v>0</v>
      </c>
      <c r="M50" s="94">
        <f t="shared" si="1"/>
        <v>0</v>
      </c>
    </row>
    <row r="51" spans="1:13" x14ac:dyDescent="0.2">
      <c r="A51" t="s">
        <v>5</v>
      </c>
      <c r="B51">
        <v>2031</v>
      </c>
      <c r="C51" s="32">
        <f t="shared" ref="C51:K52" si="10">C50+(C$53-C$50)/3</f>
        <v>-3.1333333333333333</v>
      </c>
      <c r="D51" s="33">
        <f t="shared" si="10"/>
        <v>3.9333333333333331</v>
      </c>
      <c r="E51" s="11">
        <f t="shared" si="10"/>
        <v>1.8</v>
      </c>
      <c r="F51" s="34">
        <f t="shared" si="10"/>
        <v>2.6666666666666665</v>
      </c>
      <c r="G51" s="34">
        <f t="shared" si="10"/>
        <v>3.1666666666666665</v>
      </c>
      <c r="H51" s="15">
        <f t="shared" si="10"/>
        <v>0</v>
      </c>
      <c r="I51" s="28">
        <f t="shared" si="10"/>
        <v>0</v>
      </c>
      <c r="J51" s="37">
        <f t="shared" si="10"/>
        <v>0</v>
      </c>
      <c r="K51" s="19">
        <f t="shared" si="10"/>
        <v>0</v>
      </c>
      <c r="M51" s="95">
        <f>I51-I50</f>
        <v>0</v>
      </c>
    </row>
    <row r="52" spans="1:13" x14ac:dyDescent="0.2">
      <c r="A52" t="s">
        <v>5</v>
      </c>
      <c r="B52">
        <v>2032</v>
      </c>
      <c r="C52" s="32">
        <f t="shared" si="10"/>
        <v>-3.9666666666666668</v>
      </c>
      <c r="D52" s="33">
        <f t="shared" si="10"/>
        <v>4.5666666666666664</v>
      </c>
      <c r="E52" s="11">
        <f t="shared" si="10"/>
        <v>1.9000000000000001</v>
      </c>
      <c r="F52" s="34">
        <f t="shared" si="10"/>
        <v>3.2333333333333329</v>
      </c>
      <c r="G52" s="34">
        <f t="shared" si="10"/>
        <v>3.6333333333333329</v>
      </c>
      <c r="H52" s="15">
        <f t="shared" si="10"/>
        <v>0</v>
      </c>
      <c r="I52" s="28">
        <f t="shared" si="10"/>
        <v>0</v>
      </c>
      <c r="J52" s="37">
        <f t="shared" si="10"/>
        <v>0</v>
      </c>
      <c r="K52" s="19">
        <f t="shared" si="10"/>
        <v>0</v>
      </c>
      <c r="M52" s="95">
        <f t="shared" si="1"/>
        <v>0</v>
      </c>
    </row>
    <row r="53" spans="1:13" x14ac:dyDescent="0.2">
      <c r="A53" t="s">
        <v>5</v>
      </c>
      <c r="B53">
        <v>2033</v>
      </c>
      <c r="C53" s="6">
        <v>-4.8</v>
      </c>
      <c r="D53" s="8">
        <v>5.2</v>
      </c>
      <c r="E53" s="11">
        <v>2</v>
      </c>
      <c r="F53" s="13">
        <v>3.8</v>
      </c>
      <c r="G53" s="13">
        <v>4.0999999999999996</v>
      </c>
      <c r="H53" s="15">
        <v>0</v>
      </c>
      <c r="I53" s="28">
        <v>0</v>
      </c>
      <c r="J53" s="37">
        <v>0</v>
      </c>
      <c r="K53" s="19">
        <v>0</v>
      </c>
      <c r="M53" s="95">
        <f t="shared" si="1"/>
        <v>0</v>
      </c>
    </row>
    <row r="54" spans="1:13" x14ac:dyDescent="0.2">
      <c r="A54" t="s">
        <v>5</v>
      </c>
      <c r="B54">
        <v>2034</v>
      </c>
      <c r="C54" s="6">
        <f t="shared" ref="C54:K54" si="11">C53+(C$55-C$53)/2</f>
        <v>-5.5</v>
      </c>
      <c r="D54" s="8">
        <f t="shared" si="11"/>
        <v>7</v>
      </c>
      <c r="E54" s="10">
        <f t="shared" si="11"/>
        <v>2.15</v>
      </c>
      <c r="F54" s="13">
        <f t="shared" si="11"/>
        <v>3.8</v>
      </c>
      <c r="G54" s="13">
        <f t="shared" si="11"/>
        <v>4.75</v>
      </c>
      <c r="H54" s="15">
        <f t="shared" si="11"/>
        <v>0.9</v>
      </c>
      <c r="I54" s="28">
        <f t="shared" si="11"/>
        <v>0.15</v>
      </c>
      <c r="J54" s="37">
        <f t="shared" si="11"/>
        <v>0</v>
      </c>
      <c r="K54" s="19">
        <f t="shared" si="11"/>
        <v>0</v>
      </c>
      <c r="M54" s="95">
        <f t="shared" si="1"/>
        <v>0.15</v>
      </c>
    </row>
    <row r="55" spans="1:13" x14ac:dyDescent="0.2">
      <c r="A55" t="s">
        <v>5</v>
      </c>
      <c r="B55">
        <v>2035</v>
      </c>
      <c r="C55" s="6">
        <v>-6.2</v>
      </c>
      <c r="D55" s="8">
        <v>8.8000000000000007</v>
      </c>
      <c r="E55" s="10">
        <v>2.2999999999999998</v>
      </c>
      <c r="F55" s="13">
        <v>3.8</v>
      </c>
      <c r="G55" s="13">
        <v>5.4</v>
      </c>
      <c r="H55" s="15">
        <v>1.8</v>
      </c>
      <c r="I55" s="28">
        <v>0.3</v>
      </c>
      <c r="J55" s="37">
        <v>0</v>
      </c>
      <c r="K55" s="19">
        <v>0</v>
      </c>
      <c r="M55" s="95">
        <f t="shared" si="1"/>
        <v>0.15</v>
      </c>
    </row>
    <row r="56" spans="1:13" x14ac:dyDescent="0.2">
      <c r="A56" t="s">
        <v>5</v>
      </c>
      <c r="B56">
        <v>2036</v>
      </c>
      <c r="C56" s="32">
        <f t="shared" ref="C56:K57" si="12">C55+(C$58-C$55)/3</f>
        <v>-6.9333333333333336</v>
      </c>
      <c r="D56" s="33">
        <f t="shared" si="12"/>
        <v>10.6</v>
      </c>
      <c r="E56" s="11">
        <f t="shared" si="12"/>
        <v>2.4333333333333331</v>
      </c>
      <c r="F56" s="34">
        <f t="shared" si="12"/>
        <v>3.8</v>
      </c>
      <c r="G56" s="34">
        <f t="shared" si="12"/>
        <v>5.4</v>
      </c>
      <c r="H56" s="35">
        <f t="shared" si="12"/>
        <v>1.8</v>
      </c>
      <c r="I56" s="36">
        <f t="shared" si="12"/>
        <v>0.89999999999999991</v>
      </c>
      <c r="J56" s="38">
        <f t="shared" si="12"/>
        <v>0</v>
      </c>
      <c r="K56" s="20">
        <f t="shared" si="12"/>
        <v>0</v>
      </c>
      <c r="M56" s="95">
        <f t="shared" si="1"/>
        <v>0.59999999999999987</v>
      </c>
    </row>
    <row r="57" spans="1:13" x14ac:dyDescent="0.2">
      <c r="A57" t="s">
        <v>5</v>
      </c>
      <c r="B57">
        <v>2037</v>
      </c>
      <c r="C57" s="32">
        <f t="shared" si="12"/>
        <v>-7.666666666666667</v>
      </c>
      <c r="D57" s="33">
        <f t="shared" si="12"/>
        <v>12.399999999999999</v>
      </c>
      <c r="E57" s="11">
        <f t="shared" si="12"/>
        <v>2.5666666666666664</v>
      </c>
      <c r="F57" s="34">
        <f t="shared" si="12"/>
        <v>3.8</v>
      </c>
      <c r="G57" s="34">
        <f t="shared" si="12"/>
        <v>5.4</v>
      </c>
      <c r="H57" s="35">
        <f t="shared" si="12"/>
        <v>1.8</v>
      </c>
      <c r="I57" s="36">
        <f t="shared" si="12"/>
        <v>1.5</v>
      </c>
      <c r="J57" s="38">
        <f t="shared" si="12"/>
        <v>0</v>
      </c>
      <c r="K57" s="20">
        <f t="shared" si="12"/>
        <v>0</v>
      </c>
      <c r="M57" s="95">
        <f t="shared" si="1"/>
        <v>0.60000000000000009</v>
      </c>
    </row>
    <row r="58" spans="1:13" x14ac:dyDescent="0.2">
      <c r="A58" t="s">
        <v>5</v>
      </c>
      <c r="B58">
        <v>2038</v>
      </c>
      <c r="C58" s="6">
        <v>-8.4</v>
      </c>
      <c r="D58" s="8">
        <v>14.2</v>
      </c>
      <c r="E58" s="10">
        <v>2.7</v>
      </c>
      <c r="F58" s="13">
        <v>3.8</v>
      </c>
      <c r="G58" s="13">
        <v>5.4</v>
      </c>
      <c r="H58" s="15">
        <v>1.8</v>
      </c>
      <c r="I58" s="28">
        <v>2.1</v>
      </c>
      <c r="J58" s="37">
        <v>0</v>
      </c>
      <c r="K58" s="19">
        <v>0</v>
      </c>
      <c r="M58" s="95">
        <f t="shared" si="1"/>
        <v>0.60000000000000009</v>
      </c>
    </row>
    <row r="59" spans="1:13" x14ac:dyDescent="0.2">
      <c r="A59" t="s">
        <v>5</v>
      </c>
      <c r="B59">
        <v>2039</v>
      </c>
      <c r="C59" s="6">
        <f t="shared" ref="C59:K61" si="13">C58+(C$62-C$58)/4</f>
        <v>-8.4</v>
      </c>
      <c r="D59" s="8">
        <f t="shared" si="13"/>
        <v>16</v>
      </c>
      <c r="E59" s="10">
        <f t="shared" si="13"/>
        <v>3.625</v>
      </c>
      <c r="F59" s="13">
        <f t="shared" si="13"/>
        <v>3.8</v>
      </c>
      <c r="G59" s="13">
        <f t="shared" si="13"/>
        <v>5.4</v>
      </c>
      <c r="H59" s="15">
        <f t="shared" si="13"/>
        <v>1.8</v>
      </c>
      <c r="I59" s="28">
        <f t="shared" si="13"/>
        <v>2.7</v>
      </c>
      <c r="J59" s="37">
        <f t="shared" si="13"/>
        <v>0.125</v>
      </c>
      <c r="K59" s="19">
        <f t="shared" si="13"/>
        <v>0.55000000000000004</v>
      </c>
      <c r="M59" s="95">
        <f t="shared" si="1"/>
        <v>0.60000000000000009</v>
      </c>
    </row>
    <row r="60" spans="1:13" x14ac:dyDescent="0.2">
      <c r="A60" t="s">
        <v>5</v>
      </c>
      <c r="B60">
        <v>2040</v>
      </c>
      <c r="C60" s="6">
        <f t="shared" si="13"/>
        <v>-8.4</v>
      </c>
      <c r="D60" s="8">
        <f t="shared" si="13"/>
        <v>17.8</v>
      </c>
      <c r="E60" s="10">
        <f t="shared" si="13"/>
        <v>4.55</v>
      </c>
      <c r="F60" s="13">
        <f t="shared" si="13"/>
        <v>3.8</v>
      </c>
      <c r="G60" s="13">
        <f t="shared" si="13"/>
        <v>5.4</v>
      </c>
      <c r="H60" s="15">
        <f t="shared" si="13"/>
        <v>1.8</v>
      </c>
      <c r="I60" s="28">
        <f t="shared" si="13"/>
        <v>3.3000000000000003</v>
      </c>
      <c r="J60" s="37">
        <f t="shared" si="13"/>
        <v>0.25</v>
      </c>
      <c r="K60" s="19">
        <f t="shared" si="13"/>
        <v>1.1000000000000001</v>
      </c>
      <c r="M60" s="95">
        <f t="shared" si="1"/>
        <v>0.60000000000000009</v>
      </c>
    </row>
    <row r="61" spans="1:13" x14ac:dyDescent="0.2">
      <c r="A61" t="s">
        <v>5</v>
      </c>
      <c r="B61">
        <v>2041</v>
      </c>
      <c r="C61" s="6">
        <f t="shared" si="13"/>
        <v>-8.4</v>
      </c>
      <c r="D61" s="8">
        <f t="shared" si="13"/>
        <v>19.600000000000001</v>
      </c>
      <c r="E61" s="10">
        <f t="shared" si="13"/>
        <v>5.4749999999999996</v>
      </c>
      <c r="F61" s="13">
        <f t="shared" si="13"/>
        <v>3.8</v>
      </c>
      <c r="G61" s="13">
        <f t="shared" si="13"/>
        <v>5.4</v>
      </c>
      <c r="H61" s="15">
        <f t="shared" si="13"/>
        <v>1.8</v>
      </c>
      <c r="I61" s="28">
        <f t="shared" si="13"/>
        <v>3.9000000000000004</v>
      </c>
      <c r="J61" s="37">
        <f t="shared" si="13"/>
        <v>0.375</v>
      </c>
      <c r="K61" s="19">
        <f t="shared" si="13"/>
        <v>1.6500000000000001</v>
      </c>
      <c r="M61" s="95">
        <f t="shared" si="1"/>
        <v>0.60000000000000009</v>
      </c>
    </row>
    <row r="62" spans="1:13" x14ac:dyDescent="0.2">
      <c r="A62" t="s">
        <v>5</v>
      </c>
      <c r="B62">
        <v>2042</v>
      </c>
      <c r="C62" s="6">
        <v>-8.4</v>
      </c>
      <c r="D62" s="8">
        <v>21.4</v>
      </c>
      <c r="E62" s="10">
        <v>6.4</v>
      </c>
      <c r="F62" s="13">
        <v>3.8</v>
      </c>
      <c r="G62" s="13">
        <v>5.4</v>
      </c>
      <c r="H62" s="15">
        <v>1.8</v>
      </c>
      <c r="I62" s="28">
        <v>4.5</v>
      </c>
      <c r="J62" s="37">
        <v>0.5</v>
      </c>
      <c r="K62" s="19">
        <v>2.2000000000000002</v>
      </c>
      <c r="M62" s="95">
        <f t="shared" si="1"/>
        <v>0.59999999999999964</v>
      </c>
    </row>
    <row r="63" spans="1:13" x14ac:dyDescent="0.2">
      <c r="A63" t="s">
        <v>5</v>
      </c>
      <c r="B63">
        <v>2043</v>
      </c>
      <c r="C63" s="32">
        <f t="shared" ref="C63:K64" si="14">C62+(C$65-C$62)/3</f>
        <v>-8.4</v>
      </c>
      <c r="D63" s="33">
        <f t="shared" si="14"/>
        <v>23.2</v>
      </c>
      <c r="E63" s="11">
        <f t="shared" si="14"/>
        <v>7.4333333333333336</v>
      </c>
      <c r="F63" s="34">
        <f t="shared" si="14"/>
        <v>3.8</v>
      </c>
      <c r="G63" s="34">
        <f t="shared" si="14"/>
        <v>5.4</v>
      </c>
      <c r="H63" s="35">
        <f t="shared" si="14"/>
        <v>1.8</v>
      </c>
      <c r="I63" s="36">
        <f t="shared" si="14"/>
        <v>5.3666666666666663</v>
      </c>
      <c r="J63" s="38">
        <f t="shared" si="14"/>
        <v>0.5</v>
      </c>
      <c r="K63" s="20">
        <f t="shared" si="14"/>
        <v>2.2000000000000002</v>
      </c>
      <c r="M63" s="95">
        <f t="shared" si="1"/>
        <v>0.86666666666666625</v>
      </c>
    </row>
    <row r="64" spans="1:13" x14ac:dyDescent="0.2">
      <c r="A64" t="s">
        <v>5</v>
      </c>
      <c r="B64">
        <v>2044</v>
      </c>
      <c r="C64" s="32">
        <f t="shared" si="14"/>
        <v>-8.4</v>
      </c>
      <c r="D64" s="33">
        <f t="shared" si="14"/>
        <v>25</v>
      </c>
      <c r="E64" s="11">
        <f t="shared" si="14"/>
        <v>8.4666666666666668</v>
      </c>
      <c r="F64" s="34">
        <f t="shared" si="14"/>
        <v>3.8</v>
      </c>
      <c r="G64" s="34">
        <f t="shared" si="14"/>
        <v>5.4</v>
      </c>
      <c r="H64" s="35">
        <f t="shared" si="14"/>
        <v>1.8</v>
      </c>
      <c r="I64" s="36">
        <f t="shared" si="14"/>
        <v>6.2333333333333325</v>
      </c>
      <c r="J64" s="38">
        <f t="shared" si="14"/>
        <v>0.5</v>
      </c>
      <c r="K64" s="20">
        <f t="shared" si="14"/>
        <v>2.2000000000000002</v>
      </c>
      <c r="M64" s="95">
        <f t="shared" si="1"/>
        <v>0.86666666666666625</v>
      </c>
    </row>
    <row r="65" spans="1:13" x14ac:dyDescent="0.2">
      <c r="A65" t="s">
        <v>5</v>
      </c>
      <c r="B65">
        <v>2045</v>
      </c>
      <c r="C65" s="6">
        <v>-8.4</v>
      </c>
      <c r="D65" s="8">
        <v>26.8</v>
      </c>
      <c r="E65" s="10">
        <v>9.5</v>
      </c>
      <c r="F65" s="13">
        <v>3.8</v>
      </c>
      <c r="G65" s="13">
        <v>5.4</v>
      </c>
      <c r="H65" s="15">
        <v>1.8</v>
      </c>
      <c r="I65" s="28">
        <v>7.1</v>
      </c>
      <c r="J65" s="37">
        <v>0.5</v>
      </c>
      <c r="K65" s="19">
        <v>2.2000000000000002</v>
      </c>
      <c r="M65" s="95">
        <f t="shared" si="1"/>
        <v>0.86666666666666714</v>
      </c>
    </row>
    <row r="66" spans="1:13" x14ac:dyDescent="0.2">
      <c r="A66" t="s">
        <v>5</v>
      </c>
      <c r="B66">
        <v>2046</v>
      </c>
      <c r="C66" s="32">
        <f t="shared" ref="C66:K69" si="15">C65+(C$70-C$65)/5</f>
        <v>-8.58</v>
      </c>
      <c r="D66" s="33">
        <f t="shared" si="15"/>
        <v>28.6</v>
      </c>
      <c r="E66" s="11">
        <f t="shared" si="15"/>
        <v>11.94</v>
      </c>
      <c r="F66" s="34">
        <f t="shared" si="15"/>
        <v>3.8</v>
      </c>
      <c r="G66" s="34">
        <f t="shared" si="15"/>
        <v>5.4</v>
      </c>
      <c r="H66" s="35">
        <f t="shared" si="15"/>
        <v>1.8</v>
      </c>
      <c r="I66" s="36">
        <f t="shared" si="15"/>
        <v>7.8199999999999994</v>
      </c>
      <c r="J66" s="38">
        <f t="shared" si="15"/>
        <v>0.86</v>
      </c>
      <c r="K66" s="20">
        <f t="shared" si="15"/>
        <v>2.2000000000000002</v>
      </c>
      <c r="M66" s="95">
        <f t="shared" si="1"/>
        <v>0.71999999999999975</v>
      </c>
    </row>
    <row r="67" spans="1:13" x14ac:dyDescent="0.2">
      <c r="A67" t="s">
        <v>5</v>
      </c>
      <c r="B67">
        <v>2047</v>
      </c>
      <c r="C67" s="32">
        <f t="shared" si="15"/>
        <v>-8.76</v>
      </c>
      <c r="D67" s="33">
        <f t="shared" si="15"/>
        <v>30.400000000000002</v>
      </c>
      <c r="E67" s="11">
        <f t="shared" si="15"/>
        <v>14.379999999999999</v>
      </c>
      <c r="F67" s="34">
        <f t="shared" si="15"/>
        <v>3.8</v>
      </c>
      <c r="G67" s="34">
        <f t="shared" si="15"/>
        <v>5.4</v>
      </c>
      <c r="H67" s="35">
        <f t="shared" si="15"/>
        <v>1.8</v>
      </c>
      <c r="I67" s="36">
        <f t="shared" si="15"/>
        <v>8.5399999999999991</v>
      </c>
      <c r="J67" s="38">
        <f t="shared" si="15"/>
        <v>1.22</v>
      </c>
      <c r="K67" s="20">
        <f t="shared" si="15"/>
        <v>2.2000000000000002</v>
      </c>
      <c r="M67" s="95">
        <f t="shared" si="1"/>
        <v>0.71999999999999975</v>
      </c>
    </row>
    <row r="68" spans="1:13" x14ac:dyDescent="0.2">
      <c r="A68" t="s">
        <v>5</v>
      </c>
      <c r="B68">
        <v>2048</v>
      </c>
      <c r="C68" s="32">
        <f t="shared" si="15"/>
        <v>-8.94</v>
      </c>
      <c r="D68" s="33">
        <f t="shared" si="15"/>
        <v>32.200000000000003</v>
      </c>
      <c r="E68" s="11">
        <f t="shared" si="15"/>
        <v>16.82</v>
      </c>
      <c r="F68" s="34">
        <f t="shared" si="15"/>
        <v>3.8</v>
      </c>
      <c r="G68" s="34">
        <f t="shared" si="15"/>
        <v>5.4</v>
      </c>
      <c r="H68" s="35">
        <f t="shared" si="15"/>
        <v>1.8</v>
      </c>
      <c r="I68" s="36">
        <f t="shared" si="15"/>
        <v>9.26</v>
      </c>
      <c r="J68" s="38">
        <f t="shared" si="15"/>
        <v>1.58</v>
      </c>
      <c r="K68" s="20">
        <f t="shared" si="15"/>
        <v>2.2000000000000002</v>
      </c>
      <c r="M68" s="95">
        <f t="shared" si="1"/>
        <v>0.72000000000000064</v>
      </c>
    </row>
    <row r="69" spans="1:13" x14ac:dyDescent="0.2">
      <c r="A69" t="s">
        <v>5</v>
      </c>
      <c r="B69">
        <v>2049</v>
      </c>
      <c r="C69" s="32">
        <f t="shared" si="15"/>
        <v>-9.1199999999999992</v>
      </c>
      <c r="D69" s="33">
        <f t="shared" si="15"/>
        <v>34</v>
      </c>
      <c r="E69" s="11">
        <f t="shared" si="15"/>
        <v>19.260000000000002</v>
      </c>
      <c r="F69" s="34">
        <f t="shared" si="15"/>
        <v>3.8</v>
      </c>
      <c r="G69" s="34">
        <f t="shared" si="15"/>
        <v>5.4</v>
      </c>
      <c r="H69" s="35">
        <f t="shared" si="15"/>
        <v>1.8</v>
      </c>
      <c r="I69" s="36">
        <f t="shared" si="15"/>
        <v>9.98</v>
      </c>
      <c r="J69" s="38">
        <f t="shared" si="15"/>
        <v>1.94</v>
      </c>
      <c r="K69" s="20">
        <f t="shared" si="15"/>
        <v>2.2000000000000002</v>
      </c>
      <c r="M69" s="95">
        <f t="shared" si="1"/>
        <v>0.72000000000000064</v>
      </c>
    </row>
    <row r="70" spans="1:13" x14ac:dyDescent="0.2">
      <c r="A70" t="s">
        <v>5</v>
      </c>
      <c r="B70">
        <v>2050</v>
      </c>
      <c r="C70" s="6">
        <v>-9.3000000000000007</v>
      </c>
      <c r="D70" s="8">
        <v>35.799999999999997</v>
      </c>
      <c r="E70" s="10">
        <v>21.7</v>
      </c>
      <c r="F70" s="13">
        <v>3.8</v>
      </c>
      <c r="G70" s="13">
        <v>5.4</v>
      </c>
      <c r="H70" s="15">
        <v>1.8</v>
      </c>
      <c r="I70" s="28">
        <v>10.7</v>
      </c>
      <c r="J70" s="37">
        <v>2.2999999999999998</v>
      </c>
      <c r="K70" s="19">
        <v>2.2000000000000002</v>
      </c>
      <c r="M70" s="96">
        <f t="shared" si="1"/>
        <v>0.71999999999999886</v>
      </c>
    </row>
  </sheetData>
  <autoFilter ref="A4:K25" xr:uid="{00000000-0009-0000-0000-000004000000}"/>
  <mergeCells count="1">
    <mergeCell ref="C3:K3"/>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O29"/>
  <sheetViews>
    <sheetView zoomScale="110" zoomScaleNormal="110" workbookViewId="0">
      <selection activeCell="M29" sqref="M29"/>
    </sheetView>
  </sheetViews>
  <sheetFormatPr baseColWidth="10" defaultColWidth="10.6640625" defaultRowHeight="16" x14ac:dyDescent="0.2"/>
  <cols>
    <col min="3" max="4" width="13.6640625" bestFit="1" customWidth="1"/>
    <col min="10" max="15" width="13.6640625" bestFit="1" customWidth="1"/>
  </cols>
  <sheetData>
    <row r="1" spans="1:15" x14ac:dyDescent="0.2">
      <c r="A1" t="s">
        <v>90</v>
      </c>
    </row>
    <row r="2" spans="1:15" x14ac:dyDescent="0.2">
      <c r="A2" s="86" t="s">
        <v>89</v>
      </c>
    </row>
    <row r="4" spans="1:15" x14ac:dyDescent="0.2">
      <c r="A4" s="1" t="s">
        <v>70</v>
      </c>
      <c r="B4" s="2"/>
      <c r="C4" s="54" t="s">
        <v>69</v>
      </c>
      <c r="D4" s="2">
        <v>2.5000000000000001E-2</v>
      </c>
      <c r="I4" s="1" t="s">
        <v>71</v>
      </c>
    </row>
    <row r="5" spans="1:15" x14ac:dyDescent="0.2">
      <c r="A5" s="48"/>
      <c r="B5" s="49" t="s">
        <v>64</v>
      </c>
      <c r="C5" s="49" t="s">
        <v>64</v>
      </c>
      <c r="D5" s="49" t="s">
        <v>64</v>
      </c>
      <c r="E5" s="49" t="s">
        <v>65</v>
      </c>
      <c r="F5" s="49" t="s">
        <v>65</v>
      </c>
      <c r="G5" s="49" t="s">
        <v>65</v>
      </c>
      <c r="J5" s="49" t="s">
        <v>64</v>
      </c>
      <c r="K5" s="49" t="s">
        <v>64</v>
      </c>
      <c r="L5" s="49" t="s">
        <v>64</v>
      </c>
      <c r="M5" s="49" t="s">
        <v>65</v>
      </c>
      <c r="N5" s="49" t="s">
        <v>65</v>
      </c>
      <c r="O5" s="49" t="s">
        <v>65</v>
      </c>
    </row>
    <row r="6" spans="1:15" x14ac:dyDescent="0.2">
      <c r="A6" s="48"/>
      <c r="B6" s="49" t="s">
        <v>66</v>
      </c>
      <c r="C6" s="49" t="s">
        <v>67</v>
      </c>
      <c r="D6" s="49" t="s">
        <v>68</v>
      </c>
      <c r="E6" s="49" t="s">
        <v>66</v>
      </c>
      <c r="F6" s="49" t="s">
        <v>67</v>
      </c>
      <c r="G6" s="49" t="s">
        <v>68</v>
      </c>
      <c r="J6" s="49" t="s">
        <v>66</v>
      </c>
      <c r="K6" s="49" t="s">
        <v>67</v>
      </c>
      <c r="L6" s="49" t="s">
        <v>68</v>
      </c>
      <c r="M6" s="49" t="s">
        <v>66</v>
      </c>
      <c r="N6" s="49" t="s">
        <v>67</v>
      </c>
      <c r="O6" s="49" t="s">
        <v>68</v>
      </c>
    </row>
    <row r="7" spans="1:15" x14ac:dyDescent="0.2">
      <c r="A7" s="50">
        <v>2030</v>
      </c>
      <c r="B7" s="51">
        <v>6471.3372806070765</v>
      </c>
      <c r="C7" s="51">
        <v>7616.3589699540007</v>
      </c>
      <c r="D7" s="51">
        <v>11836.117690043655</v>
      </c>
      <c r="E7" s="51">
        <v>6416.7402694688953</v>
      </c>
      <c r="F7" s="51">
        <v>9650.0006770511991</v>
      </c>
      <c r="G7" s="51">
        <v>12681.1268480299</v>
      </c>
      <c r="I7" s="50">
        <v>2030</v>
      </c>
      <c r="J7" s="55">
        <f t="shared" ref="J7:O7" si="0">B7*(1+$D$4)^($I7-2022)</f>
        <v>7884.6960934556137</v>
      </c>
      <c r="K7" s="55">
        <f t="shared" si="0"/>
        <v>9279.7938374676069</v>
      </c>
      <c r="L7" s="55">
        <f t="shared" si="0"/>
        <v>14421.160088817584</v>
      </c>
      <c r="M7" s="55">
        <f t="shared" si="0"/>
        <v>7818.1749368894725</v>
      </c>
      <c r="N7" s="55">
        <f t="shared" si="0"/>
        <v>11757.588785891849</v>
      </c>
      <c r="O7" s="55">
        <f t="shared" si="0"/>
        <v>15450.72169533044</v>
      </c>
    </row>
    <row r="8" spans="1:15" x14ac:dyDescent="0.2">
      <c r="A8" s="50">
        <v>2031</v>
      </c>
      <c r="B8" s="51">
        <v>6168.9383422609517</v>
      </c>
      <c r="C8" s="51">
        <v>7551.2618847407184</v>
      </c>
      <c r="D8" s="51">
        <v>11836.117690043655</v>
      </c>
      <c r="E8" s="51">
        <v>5901.1093549580028</v>
      </c>
      <c r="F8" s="51">
        <v>9292.5932445678227</v>
      </c>
      <c r="G8" s="51">
        <v>12555.571136663268</v>
      </c>
      <c r="I8" s="50">
        <v>2031</v>
      </c>
      <c r="J8" s="55">
        <f t="shared" ref="J8:J27" si="1">B8*(1+$D$4)^($I8-2022)</f>
        <v>7704.1586595400404</v>
      </c>
      <c r="K8" s="55">
        <f t="shared" ref="K8:K27" si="2">C8*(1+$D$4)^($I8-2022)</f>
        <v>9430.4913442298985</v>
      </c>
      <c r="L8" s="55">
        <f t="shared" ref="L8:L27" si="3">D8*(1+$D$4)^($I8-2022)</f>
        <v>14781.689091038021</v>
      </c>
      <c r="M8" s="55">
        <f t="shared" ref="M8:M27" si="4">E8*(1+$D$4)^($I8-2022)</f>
        <v>7369.6769550188037</v>
      </c>
      <c r="N8" s="55">
        <f t="shared" ref="N8:N27" si="5">F8*(1+$D$4)^($I8-2022)</f>
        <v>11605.175597926584</v>
      </c>
      <c r="O8" s="55">
        <f t="shared" ref="O8:O26" si="6">G8*(1+$D$4)^($I8-2022)</f>
        <v>15680.187859122474</v>
      </c>
    </row>
    <row r="9" spans="1:15" x14ac:dyDescent="0.2">
      <c r="A9" s="50">
        <v>2032</v>
      </c>
      <c r="B9" s="51">
        <v>5866.5394039148268</v>
      </c>
      <c r="C9" s="51">
        <v>7486.164799527437</v>
      </c>
      <c r="D9" s="51">
        <v>11836.117690043655</v>
      </c>
      <c r="E9" s="51">
        <v>5385.4784404471093</v>
      </c>
      <c r="F9" s="51">
        <v>8935.1858120844445</v>
      </c>
      <c r="G9" s="51">
        <v>12430.015425296635</v>
      </c>
      <c r="I9" s="50">
        <v>2032</v>
      </c>
      <c r="J9" s="55">
        <f t="shared" si="1"/>
        <v>7509.6664188702798</v>
      </c>
      <c r="K9" s="55">
        <f t="shared" si="2"/>
        <v>9582.9238551818926</v>
      </c>
      <c r="L9" s="55">
        <f t="shared" si="3"/>
        <v>15151.23131831397</v>
      </c>
      <c r="M9" s="55">
        <f t="shared" si="4"/>
        <v>6893.8677147190456</v>
      </c>
      <c r="N9" s="55">
        <f t="shared" si="5"/>
        <v>11437.793257571873</v>
      </c>
      <c r="O9" s="55">
        <f t="shared" si="6"/>
        <v>15911.47063004453</v>
      </c>
    </row>
    <row r="10" spans="1:15" x14ac:dyDescent="0.2">
      <c r="A10" s="50">
        <v>2033</v>
      </c>
      <c r="B10" s="51">
        <v>5564.1404655687011</v>
      </c>
      <c r="C10" s="51">
        <v>7421.0677143141547</v>
      </c>
      <c r="D10" s="51">
        <v>11836.117690043655</v>
      </c>
      <c r="E10" s="51">
        <v>4869.8475259362158</v>
      </c>
      <c r="F10" s="51">
        <v>8577.7783796010663</v>
      </c>
      <c r="G10" s="51">
        <v>12304.459713930002</v>
      </c>
      <c r="I10" s="50">
        <v>2033</v>
      </c>
      <c r="J10" s="55">
        <f t="shared" si="1"/>
        <v>7300.6344670048175</v>
      </c>
      <c r="K10" s="55">
        <f t="shared" si="2"/>
        <v>9737.0839345913391</v>
      </c>
      <c r="L10" s="55">
        <f t="shared" si="3"/>
        <v>15530.012101271819</v>
      </c>
      <c r="M10" s="55">
        <f t="shared" si="4"/>
        <v>6389.6619643074137</v>
      </c>
      <c r="N10" s="55">
        <f t="shared" si="5"/>
        <v>11254.788565450723</v>
      </c>
      <c r="O10" s="55">
        <f t="shared" si="6"/>
        <v>16144.517422100738</v>
      </c>
    </row>
    <row r="11" spans="1:15" x14ac:dyDescent="0.2">
      <c r="A11" s="50">
        <v>2034</v>
      </c>
      <c r="B11" s="51">
        <v>5261.7415272225762</v>
      </c>
      <c r="C11" s="51">
        <v>7355.9706291008724</v>
      </c>
      <c r="D11" s="51">
        <v>11836.117690043655</v>
      </c>
      <c r="E11" s="51">
        <v>4354.2166114253223</v>
      </c>
      <c r="F11" s="51">
        <v>8220.370947117688</v>
      </c>
      <c r="G11" s="51">
        <v>12178.904002563369</v>
      </c>
      <c r="I11" s="50">
        <v>2034</v>
      </c>
      <c r="J11" s="55">
        <f t="shared" si="1"/>
        <v>7076.4573760342882</v>
      </c>
      <c r="K11" s="55">
        <f t="shared" si="2"/>
        <v>9892.9626905617697</v>
      </c>
      <c r="L11" s="55">
        <f t="shared" si="3"/>
        <v>15918.262403803614</v>
      </c>
      <c r="M11" s="55">
        <f t="shared" si="4"/>
        <v>5855.9372590534995</v>
      </c>
      <c r="N11" s="55">
        <f t="shared" si="5"/>
        <v>11055.48501793753</v>
      </c>
      <c r="O11" s="55">
        <f t="shared" si="6"/>
        <v>16379.271884615977</v>
      </c>
    </row>
    <row r="12" spans="1:15" x14ac:dyDescent="0.2">
      <c r="A12" s="50">
        <v>2035</v>
      </c>
      <c r="B12" s="51">
        <v>4959.3425888764514</v>
      </c>
      <c r="C12" s="51">
        <v>7290.8735438875901</v>
      </c>
      <c r="D12" s="51">
        <v>11836.117690043655</v>
      </c>
      <c r="E12" s="51">
        <v>3838.5856969144288</v>
      </c>
      <c r="F12" s="51">
        <v>7862.9635146343107</v>
      </c>
      <c r="G12" s="51">
        <v>12053.348291196737</v>
      </c>
      <c r="I12" s="50">
        <v>2035</v>
      </c>
      <c r="J12" s="55">
        <f t="shared" si="1"/>
        <v>6836.508533973356</v>
      </c>
      <c r="K12" s="55">
        <f t="shared" si="2"/>
        <v>10050.549706871603</v>
      </c>
      <c r="L12" s="55">
        <f t="shared" si="3"/>
        <v>16316.218963898704</v>
      </c>
      <c r="M12" s="55">
        <f t="shared" si="4"/>
        <v>5291.5327798091985</v>
      </c>
      <c r="N12" s="55">
        <f t="shared" si="5"/>
        <v>10839.182050195275</v>
      </c>
      <c r="O12" s="55">
        <f t="shared" si="6"/>
        <v>16615.673746868164</v>
      </c>
    </row>
    <row r="13" spans="1:15" x14ac:dyDescent="0.2">
      <c r="A13" s="50">
        <v>2036</v>
      </c>
      <c r="B13" s="51">
        <v>4717.4234381995511</v>
      </c>
      <c r="C13" s="51">
        <v>7095.5822882477441</v>
      </c>
      <c r="D13" s="51">
        <v>11760.728405393696</v>
      </c>
      <c r="E13" s="51">
        <v>3666.7087254107978</v>
      </c>
      <c r="F13" s="51">
        <v>7565.1239875648289</v>
      </c>
      <c r="G13" s="51">
        <v>11676.68115709684</v>
      </c>
      <c r="I13" s="50">
        <v>2036</v>
      </c>
      <c r="J13" s="55">
        <f t="shared" si="1"/>
        <v>6665.5958206240211</v>
      </c>
      <c r="K13" s="55">
        <f t="shared" si="2"/>
        <v>10025.872017859194</v>
      </c>
      <c r="L13" s="55">
        <f t="shared" si="3"/>
        <v>16617.601352403839</v>
      </c>
      <c r="M13" s="55">
        <f t="shared" si="4"/>
        <v>5180.9634381415426</v>
      </c>
      <c r="N13" s="55">
        <f t="shared" si="5"/>
        <v>10689.32214684977</v>
      </c>
      <c r="O13" s="55">
        <f t="shared" si="6"/>
        <v>16498.844790835497</v>
      </c>
    </row>
    <row r="14" spans="1:15" x14ac:dyDescent="0.2">
      <c r="A14" s="50">
        <v>2037</v>
      </c>
      <c r="B14" s="51">
        <v>4475.5042875226509</v>
      </c>
      <c r="C14" s="51">
        <v>6900.2910326078982</v>
      </c>
      <c r="D14" s="51">
        <v>11685.339120743736</v>
      </c>
      <c r="E14" s="51">
        <v>3494.8317539071663</v>
      </c>
      <c r="F14" s="51">
        <v>7267.284460495348</v>
      </c>
      <c r="G14" s="51">
        <v>11300.014022996942</v>
      </c>
      <c r="I14" s="50">
        <v>2037</v>
      </c>
      <c r="J14" s="55">
        <f t="shared" si="1"/>
        <v>6481.8646537734876</v>
      </c>
      <c r="K14" s="55">
        <f t="shared" si="2"/>
        <v>9993.6788508293721</v>
      </c>
      <c r="L14" s="55">
        <f t="shared" si="3"/>
        <v>16923.855223481794</v>
      </c>
      <c r="M14" s="55">
        <f t="shared" si="4"/>
        <v>5061.5584214031251</v>
      </c>
      <c r="N14" s="55">
        <f t="shared" si="5"/>
        <v>10525.194759555623</v>
      </c>
      <c r="O14" s="55">
        <f t="shared" si="6"/>
        <v>16365.789590909408</v>
      </c>
    </row>
    <row r="15" spans="1:15" x14ac:dyDescent="0.2">
      <c r="A15" s="50">
        <v>2038</v>
      </c>
      <c r="B15" s="51">
        <v>4233.5851368457515</v>
      </c>
      <c r="C15" s="51">
        <v>6704.9997769680522</v>
      </c>
      <c r="D15" s="51">
        <v>11609.949836093776</v>
      </c>
      <c r="E15" s="51">
        <v>3322.9547824035353</v>
      </c>
      <c r="F15" s="51">
        <v>6969.4449334258661</v>
      </c>
      <c r="G15" s="51">
        <v>10923.346888897044</v>
      </c>
      <c r="I15" s="50">
        <v>2038</v>
      </c>
      <c r="J15" s="55">
        <f t="shared" si="1"/>
        <v>6284.7809311925375</v>
      </c>
      <c r="K15" s="55">
        <f t="shared" si="2"/>
        <v>9953.6098554368964</v>
      </c>
      <c r="L15" s="55">
        <f t="shared" si="3"/>
        <v>17235.035787268393</v>
      </c>
      <c r="M15" s="55">
        <f t="shared" si="4"/>
        <v>4932.9450516789466</v>
      </c>
      <c r="N15" s="55">
        <f t="shared" si="5"/>
        <v>10346.180176554983</v>
      </c>
      <c r="O15" s="55">
        <f t="shared" si="6"/>
        <v>16215.769852992737</v>
      </c>
    </row>
    <row r="16" spans="1:15" x14ac:dyDescent="0.2">
      <c r="A16" s="50">
        <v>2039</v>
      </c>
      <c r="B16" s="51">
        <v>3991.6659861688508</v>
      </c>
      <c r="C16" s="51">
        <v>6509.7085213282062</v>
      </c>
      <c r="D16" s="51">
        <v>11534.560551443818</v>
      </c>
      <c r="E16" s="51">
        <v>3151.0778108999043</v>
      </c>
      <c r="F16" s="51">
        <v>6671.6054063563852</v>
      </c>
      <c r="G16" s="51">
        <v>10546.679754797146</v>
      </c>
      <c r="I16" s="50">
        <v>2039</v>
      </c>
      <c r="J16" s="55">
        <f t="shared" si="1"/>
        <v>6073.7918570739294</v>
      </c>
      <c r="K16" s="55">
        <f t="shared" si="2"/>
        <v>9905.2913609930256</v>
      </c>
      <c r="L16" s="55">
        <f t="shared" si="3"/>
        <v>17551.197969729648</v>
      </c>
      <c r="M16" s="55">
        <f t="shared" si="4"/>
        <v>4794.7375394551827</v>
      </c>
      <c r="N16" s="55">
        <f t="shared" si="5"/>
        <v>10151.636617679589</v>
      </c>
      <c r="O16" s="55">
        <f t="shared" si="6"/>
        <v>16048.020509685914</v>
      </c>
    </row>
    <row r="17" spans="1:15" x14ac:dyDescent="0.2">
      <c r="A17" s="50">
        <v>2040</v>
      </c>
      <c r="B17" s="51">
        <v>3749.7468354919511</v>
      </c>
      <c r="C17" s="51">
        <v>6314.4172656883593</v>
      </c>
      <c r="D17" s="51">
        <v>11459.171266793857</v>
      </c>
      <c r="E17" s="51">
        <v>2979.2008393962728</v>
      </c>
      <c r="F17" s="51">
        <v>6373.7658792869033</v>
      </c>
      <c r="G17" s="51">
        <v>10170.012620697247</v>
      </c>
      <c r="I17" s="50">
        <v>2040</v>
      </c>
      <c r="J17" s="55">
        <f t="shared" si="1"/>
        <v>5848.3253411673977</v>
      </c>
      <c r="K17" s="55">
        <f t="shared" si="2"/>
        <v>9848.3359356673154</v>
      </c>
      <c r="L17" s="55">
        <f t="shared" si="3"/>
        <v>17872.396363946922</v>
      </c>
      <c r="M17" s="55">
        <f t="shared" si="4"/>
        <v>4646.5365609629316</v>
      </c>
      <c r="N17" s="55">
        <f t="shared" si="5"/>
        <v>9940.8995182500803</v>
      </c>
      <c r="O17" s="55">
        <f t="shared" si="6"/>
        <v>15861.748843055631</v>
      </c>
    </row>
    <row r="18" spans="1:15" x14ac:dyDescent="0.2">
      <c r="A18" s="50">
        <v>2041</v>
      </c>
      <c r="B18" s="51">
        <v>3628.7872601535009</v>
      </c>
      <c r="C18" s="51">
        <v>6184.2230952617956</v>
      </c>
      <c r="D18" s="51">
        <v>11233.003412843978</v>
      </c>
      <c r="E18" s="51">
        <v>2921.9085155617295</v>
      </c>
      <c r="F18" s="51">
        <v>6195.0621630452142</v>
      </c>
      <c r="G18" s="51">
        <v>9918.9011979639818</v>
      </c>
      <c r="I18" s="50">
        <v>2041</v>
      </c>
      <c r="J18" s="55">
        <f t="shared" si="1"/>
        <v>5801.1614271257249</v>
      </c>
      <c r="K18" s="55">
        <f t="shared" si="2"/>
        <v>9886.409399336133</v>
      </c>
      <c r="L18" s="55">
        <f t="shared" si="3"/>
        <v>17957.642991340748</v>
      </c>
      <c r="M18" s="55">
        <f t="shared" si="4"/>
        <v>4671.1095908526395</v>
      </c>
      <c r="N18" s="55">
        <f t="shared" si="5"/>
        <v>9903.7372770603597</v>
      </c>
      <c r="O18" s="55">
        <f t="shared" si="6"/>
        <v>15856.853241560861</v>
      </c>
    </row>
    <row r="19" spans="1:15" x14ac:dyDescent="0.2">
      <c r="A19" s="50">
        <v>2042</v>
      </c>
      <c r="B19" s="51">
        <v>3507.8276848150508</v>
      </c>
      <c r="C19" s="51">
        <v>6054.028924835231</v>
      </c>
      <c r="D19" s="51">
        <v>11006.835558894099</v>
      </c>
      <c r="E19" s="51">
        <v>2864.6161917271857</v>
      </c>
      <c r="F19" s="51">
        <v>6016.358446803526</v>
      </c>
      <c r="G19" s="51">
        <v>9667.7897752307163</v>
      </c>
      <c r="I19" s="50">
        <v>2042</v>
      </c>
      <c r="J19" s="55">
        <f t="shared" si="1"/>
        <v>5747.9841140437384</v>
      </c>
      <c r="K19" s="55">
        <f t="shared" si="2"/>
        <v>9920.231326228597</v>
      </c>
      <c r="L19" s="55">
        <f t="shared" si="3"/>
        <v>18035.981702376797</v>
      </c>
      <c r="M19" s="55">
        <f t="shared" si="4"/>
        <v>4694.0071868862306</v>
      </c>
      <c r="N19" s="55">
        <f t="shared" si="5"/>
        <v>9858.5038616122474</v>
      </c>
      <c r="O19" s="55">
        <f t="shared" si="6"/>
        <v>15841.799266964439</v>
      </c>
    </row>
    <row r="20" spans="1:15" x14ac:dyDescent="0.2">
      <c r="A20" s="50">
        <v>2043</v>
      </c>
      <c r="B20" s="51">
        <v>3386.8681094766007</v>
      </c>
      <c r="C20" s="51">
        <v>5923.8347544086673</v>
      </c>
      <c r="D20" s="51">
        <v>10780.667704944221</v>
      </c>
      <c r="E20" s="51">
        <v>2807.3238678926418</v>
      </c>
      <c r="F20" s="51">
        <v>5837.6547305618369</v>
      </c>
      <c r="G20" s="51">
        <v>9416.6783524974508</v>
      </c>
      <c r="I20" s="50">
        <v>2043</v>
      </c>
      <c r="J20" s="55">
        <f t="shared" si="1"/>
        <v>5688.5222094156989</v>
      </c>
      <c r="K20" s="55">
        <f t="shared" si="2"/>
        <v>9949.5653435911008</v>
      </c>
      <c r="L20" s="55">
        <f t="shared" si="3"/>
        <v>18107.013822095058</v>
      </c>
      <c r="M20" s="55">
        <f t="shared" si="4"/>
        <v>4715.1302192272178</v>
      </c>
      <c r="N20" s="55">
        <f t="shared" si="5"/>
        <v>9804.8189395935642</v>
      </c>
      <c r="O20" s="55">
        <f t="shared" si="6"/>
        <v>15816.082060362223</v>
      </c>
    </row>
    <row r="21" spans="1:15" x14ac:dyDescent="0.2">
      <c r="A21" s="50">
        <v>2044</v>
      </c>
      <c r="B21" s="51">
        <v>3265.908534138151</v>
      </c>
      <c r="C21" s="51">
        <v>5793.6405839821027</v>
      </c>
      <c r="D21" s="51">
        <v>10554.499850994342</v>
      </c>
      <c r="E21" s="51">
        <v>2750.031544058098</v>
      </c>
      <c r="F21" s="51">
        <v>5658.9510143201478</v>
      </c>
      <c r="G21" s="51">
        <v>9165.5669297641853</v>
      </c>
      <c r="I21" s="50">
        <v>2044</v>
      </c>
      <c r="J21" s="55">
        <f t="shared" si="1"/>
        <v>5622.494719484981</v>
      </c>
      <c r="K21" s="55">
        <f t="shared" si="2"/>
        <v>9974.1659172428353</v>
      </c>
      <c r="L21" s="55">
        <f t="shared" si="3"/>
        <v>18170.325059235249</v>
      </c>
      <c r="M21" s="55">
        <f t="shared" si="4"/>
        <v>4734.3756486934508</v>
      </c>
      <c r="N21" s="55">
        <f t="shared" si="5"/>
        <v>9742.2882065604426</v>
      </c>
      <c r="O21" s="55">
        <f t="shared" si="6"/>
        <v>15779.177868888044</v>
      </c>
    </row>
    <row r="22" spans="1:15" x14ac:dyDescent="0.2">
      <c r="A22" s="50">
        <v>2045</v>
      </c>
      <c r="B22" s="51">
        <v>3144.9489587997009</v>
      </c>
      <c r="C22" s="51">
        <v>5663.446413555539</v>
      </c>
      <c r="D22" s="51">
        <v>10328.331997044463</v>
      </c>
      <c r="E22" s="51">
        <v>2692.7392202235546</v>
      </c>
      <c r="F22" s="51">
        <v>5480.2472980784587</v>
      </c>
      <c r="G22" s="51">
        <v>8914.4555070309198</v>
      </c>
      <c r="I22" s="50">
        <v>2045</v>
      </c>
      <c r="J22" s="55">
        <f t="shared" si="1"/>
        <v>5549.6105286768425</v>
      </c>
      <c r="K22" s="55">
        <f t="shared" si="2"/>
        <v>9993.7780412374159</v>
      </c>
      <c r="L22" s="55">
        <f t="shared" si="3"/>
        <v>18225.484974593644</v>
      </c>
      <c r="M22" s="55">
        <f t="shared" si="4"/>
        <v>4751.6363932459799</v>
      </c>
      <c r="N22" s="55">
        <f t="shared" si="5"/>
        <v>9670.5029250384177</v>
      </c>
      <c r="O22" s="55">
        <f t="shared" si="6"/>
        <v>15730.543416552429</v>
      </c>
    </row>
    <row r="23" spans="1:15" x14ac:dyDescent="0.2">
      <c r="A23" s="50">
        <v>2046</v>
      </c>
      <c r="B23" s="51">
        <v>3084.4691711304758</v>
      </c>
      <c r="C23" s="51">
        <v>5533.2522431289754</v>
      </c>
      <c r="D23" s="51">
        <v>10102.164143094584</v>
      </c>
      <c r="E23" s="51">
        <v>2635.4468963890108</v>
      </c>
      <c r="F23" s="51">
        <v>5361.1114872506669</v>
      </c>
      <c r="G23" s="51">
        <v>8726.1219399809706</v>
      </c>
      <c r="I23" s="50">
        <v>2046</v>
      </c>
      <c r="J23" s="55">
        <f t="shared" si="1"/>
        <v>5578.9594305111905</v>
      </c>
      <c r="K23" s="55">
        <f t="shared" si="2"/>
        <v>10008.136917733445</v>
      </c>
      <c r="L23" s="55">
        <f t="shared" si="3"/>
        <v>18272.046432557931</v>
      </c>
      <c r="M23" s="55">
        <f t="shared" si="4"/>
        <v>4766.8011902457001</v>
      </c>
      <c r="N23" s="55">
        <f t="shared" si="5"/>
        <v>9696.7814655955881</v>
      </c>
      <c r="O23" s="55">
        <f t="shared" si="6"/>
        <v>15783.163192065544</v>
      </c>
    </row>
    <row r="24" spans="1:15" x14ac:dyDescent="0.2">
      <c r="A24" s="50">
        <v>2047</v>
      </c>
      <c r="B24" s="51">
        <v>3023.9893834612508</v>
      </c>
      <c r="C24" s="51">
        <v>5403.0580727024108</v>
      </c>
      <c r="D24" s="51">
        <v>9875.9962891447067</v>
      </c>
      <c r="E24" s="51">
        <v>2578.154572554467</v>
      </c>
      <c r="F24" s="51">
        <v>5241.9756764228741</v>
      </c>
      <c r="G24" s="51">
        <v>8537.7883729310233</v>
      </c>
      <c r="I24" s="50">
        <v>2047</v>
      </c>
      <c r="J24" s="55">
        <f t="shared" si="1"/>
        <v>5606.3072708568334</v>
      </c>
      <c r="K24" s="55">
        <f t="shared" si="2"/>
        <v>10016.967626778502</v>
      </c>
      <c r="L24" s="55">
        <f t="shared" si="3"/>
        <v>18309.545035311316</v>
      </c>
      <c r="M24" s="55">
        <f t="shared" si="4"/>
        <v>4779.7544543496278</v>
      </c>
      <c r="N24" s="55">
        <f t="shared" si="5"/>
        <v>9718.3298688524646</v>
      </c>
      <c r="O24" s="55">
        <f t="shared" si="6"/>
        <v>15828.582366718971</v>
      </c>
    </row>
    <row r="25" spans="1:15" x14ac:dyDescent="0.2">
      <c r="A25" s="50">
        <v>2048</v>
      </c>
      <c r="B25" s="51">
        <v>2963.5095957920257</v>
      </c>
      <c r="C25" s="51">
        <v>5272.8639022758471</v>
      </c>
      <c r="D25" s="51">
        <v>9649.8284351948278</v>
      </c>
      <c r="E25" s="51">
        <v>2520.8622487199232</v>
      </c>
      <c r="F25" s="51">
        <v>5122.8398655950814</v>
      </c>
      <c r="G25" s="51">
        <v>8349.4548058810742</v>
      </c>
      <c r="I25" s="50">
        <v>2048</v>
      </c>
      <c r="J25" s="55">
        <f t="shared" si="1"/>
        <v>5631.5356535756882</v>
      </c>
      <c r="K25" s="55">
        <f t="shared" si="2"/>
        <v>10019.984785702231</v>
      </c>
      <c r="L25" s="55">
        <f t="shared" si="3"/>
        <v>18337.498539182019</v>
      </c>
      <c r="M25" s="55">
        <f t="shared" si="4"/>
        <v>4790.3761309148485</v>
      </c>
      <c r="N25" s="55">
        <f t="shared" si="5"/>
        <v>9734.8952038561911</v>
      </c>
      <c r="O25" s="55">
        <f t="shared" si="6"/>
        <v>15866.408023110025</v>
      </c>
    </row>
    <row r="26" spans="1:15" x14ac:dyDescent="0.2">
      <c r="A26" s="50">
        <v>2049</v>
      </c>
      <c r="B26" s="51">
        <v>2903.0298081228007</v>
      </c>
      <c r="C26" s="51">
        <v>5142.6697318492825</v>
      </c>
      <c r="D26" s="51">
        <v>9423.6605812449488</v>
      </c>
      <c r="E26" s="51">
        <v>2463.5699248853798</v>
      </c>
      <c r="F26" s="51">
        <v>5003.7040547672887</v>
      </c>
      <c r="G26" s="51">
        <v>8161.1212388311242</v>
      </c>
      <c r="I26" s="50">
        <v>2049</v>
      </c>
      <c r="J26" s="55">
        <f t="shared" si="1"/>
        <v>5654.5215133862011</v>
      </c>
      <c r="K26" s="55">
        <f t="shared" si="2"/>
        <v>10016.892197805408</v>
      </c>
      <c r="L26" s="55">
        <f t="shared" si="3"/>
        <v>18355.406252599187</v>
      </c>
      <c r="M26" s="55">
        <f t="shared" si="4"/>
        <v>4798.5415447743635</v>
      </c>
      <c r="N26" s="55">
        <f t="shared" si="5"/>
        <v>9746.214849442069</v>
      </c>
      <c r="O26" s="55">
        <f t="shared" si="6"/>
        <v>15896.232098341434</v>
      </c>
    </row>
    <row r="27" spans="1:15" x14ac:dyDescent="0.2">
      <c r="A27" s="50">
        <v>2050</v>
      </c>
      <c r="B27" s="51">
        <v>2842.5500204535756</v>
      </c>
      <c r="C27" s="51">
        <v>5012.4755614227188</v>
      </c>
      <c r="D27" s="51">
        <v>9197.4927272950699</v>
      </c>
      <c r="E27" s="51">
        <v>2406.277601050836</v>
      </c>
      <c r="F27" s="51">
        <v>4884.5682439394959</v>
      </c>
      <c r="G27" s="51">
        <v>7972.787671781175</v>
      </c>
      <c r="I27" s="50">
        <v>2050</v>
      </c>
      <c r="J27" s="55">
        <f t="shared" si="1"/>
        <v>5675.1369564037541</v>
      </c>
      <c r="K27" s="55">
        <f t="shared" si="2"/>
        <v>10007.382490022681</v>
      </c>
      <c r="L27" s="55">
        <f t="shared" si="3"/>
        <v>18362.748415100225</v>
      </c>
      <c r="M27" s="55">
        <f t="shared" si="4"/>
        <v>4804.1212442450305</v>
      </c>
      <c r="N27" s="55">
        <f t="shared" si="5"/>
        <v>9752.0161678048316</v>
      </c>
      <c r="O27" s="55">
        <f>G27*(1+$D$4)^($I27-2022)</f>
        <v>15917.630872319969</v>
      </c>
    </row>
    <row r="29" spans="1:15" x14ac:dyDescent="0.2">
      <c r="M29" s="55"/>
    </row>
  </sheetData>
  <hyperlinks>
    <hyperlink ref="A2" r:id="rId1" xr:uid="{00000000-0004-0000-0500-00000000000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31"/>
  <sheetViews>
    <sheetView zoomScale="110" zoomScaleNormal="110" workbookViewId="0">
      <selection activeCell="H11" sqref="H11"/>
    </sheetView>
  </sheetViews>
  <sheetFormatPr baseColWidth="10" defaultColWidth="8.83203125" defaultRowHeight="15" x14ac:dyDescent="0.2"/>
  <cols>
    <col min="1" max="16384" width="8.83203125" style="31"/>
  </cols>
  <sheetData>
    <row r="1" spans="1:4" x14ac:dyDescent="0.2">
      <c r="A1" s="85" t="s">
        <v>87</v>
      </c>
    </row>
    <row r="2" spans="1:4" ht="16" x14ac:dyDescent="0.2">
      <c r="A2" s="86" t="s">
        <v>88</v>
      </c>
    </row>
    <row r="4" spans="1:4" x14ac:dyDescent="0.2">
      <c r="B4" s="31" t="s">
        <v>38</v>
      </c>
      <c r="C4" s="31" t="s">
        <v>39</v>
      </c>
      <c r="D4" s="31" t="s">
        <v>40</v>
      </c>
    </row>
    <row r="5" spans="1:4" x14ac:dyDescent="0.2">
      <c r="A5" s="31">
        <v>2024</v>
      </c>
      <c r="B5" s="31">
        <v>3.0823117338003501</v>
      </c>
      <c r="C5" s="31">
        <v>3.5306479859894901</v>
      </c>
      <c r="D5" s="31">
        <v>3.9229422066549899</v>
      </c>
    </row>
    <row r="6" spans="1:4" x14ac:dyDescent="0.2">
      <c r="A6" s="31">
        <v>2025</v>
      </c>
      <c r="B6" s="31">
        <v>3.25043782837127</v>
      </c>
      <c r="C6" s="31">
        <v>4.14711033274956</v>
      </c>
      <c r="D6" s="31">
        <v>4.9036777583187297</v>
      </c>
    </row>
    <row r="7" spans="1:4" x14ac:dyDescent="0.2">
      <c r="A7" s="31">
        <v>2026</v>
      </c>
      <c r="B7" s="31">
        <v>3.1103327495621702</v>
      </c>
      <c r="C7" s="31">
        <v>4.2872154115586696</v>
      </c>
      <c r="D7" s="31">
        <v>5.3239929947460602</v>
      </c>
    </row>
    <row r="8" spans="1:4" x14ac:dyDescent="0.2">
      <c r="A8" s="31">
        <v>2027</v>
      </c>
      <c r="B8" s="31">
        <v>2.80210157618213</v>
      </c>
      <c r="C8" s="31">
        <v>4.2872154115586696</v>
      </c>
      <c r="D8" s="31">
        <v>5.4921190893169802</v>
      </c>
    </row>
    <row r="9" spans="1:4" x14ac:dyDescent="0.2">
      <c r="A9" s="31">
        <v>2028</v>
      </c>
      <c r="B9" s="31">
        <v>2.4658493870402798</v>
      </c>
      <c r="C9" s="31">
        <v>4.3152364273204897</v>
      </c>
      <c r="D9" s="31">
        <v>5.6322241681260898</v>
      </c>
    </row>
    <row r="10" spans="1:4" x14ac:dyDescent="0.2">
      <c r="A10" s="31">
        <v>2029</v>
      </c>
      <c r="B10" s="31">
        <v>2.5218914185639201</v>
      </c>
      <c r="C10" s="31">
        <v>4.3152364273204897</v>
      </c>
      <c r="D10" s="31">
        <v>6.0245183887915896</v>
      </c>
    </row>
    <row r="11" spans="1:4" x14ac:dyDescent="0.2">
      <c r="A11" s="31">
        <v>2030</v>
      </c>
      <c r="B11" s="31">
        <v>2.8301225919439501</v>
      </c>
      <c r="C11" s="31">
        <v>4.2591943957968397</v>
      </c>
      <c r="D11" s="31">
        <v>6.36077057793345</v>
      </c>
    </row>
    <row r="12" spans="1:4" x14ac:dyDescent="0.2">
      <c r="A12" s="31">
        <v>2031</v>
      </c>
      <c r="B12" s="31">
        <v>3.4465849387040199</v>
      </c>
      <c r="C12" s="31">
        <v>4.2591943957968397</v>
      </c>
      <c r="D12" s="31">
        <v>6.9211908931698698</v>
      </c>
    </row>
    <row r="13" spans="1:4" x14ac:dyDescent="0.2">
      <c r="A13" s="31">
        <v>2032</v>
      </c>
      <c r="B13" s="31">
        <v>3.8669001751313399</v>
      </c>
      <c r="C13" s="31">
        <v>4.3992994746059502</v>
      </c>
      <c r="D13" s="31">
        <v>7.5096322241681204</v>
      </c>
    </row>
    <row r="14" spans="1:4" x14ac:dyDescent="0.2">
      <c r="A14" s="31">
        <v>2033</v>
      </c>
      <c r="B14" s="31">
        <v>4.0630472854640898</v>
      </c>
      <c r="C14" s="31">
        <v>4.6234676007005202</v>
      </c>
      <c r="D14" s="31">
        <v>7.8458844133099799</v>
      </c>
    </row>
    <row r="15" spans="1:4" x14ac:dyDescent="0.2">
      <c r="A15" s="31">
        <v>2034</v>
      </c>
      <c r="B15" s="31">
        <v>4.14711033274956</v>
      </c>
      <c r="C15" s="31">
        <v>5.01576182136602</v>
      </c>
      <c r="D15" s="31">
        <v>8.3222416812609392</v>
      </c>
    </row>
    <row r="16" spans="1:4" x14ac:dyDescent="0.2">
      <c r="A16" s="31">
        <v>2035</v>
      </c>
      <c r="B16" s="31">
        <v>4.2591943957968397</v>
      </c>
      <c r="C16" s="31">
        <v>5.2679509632224102</v>
      </c>
      <c r="D16" s="31">
        <v>8.6304728546409795</v>
      </c>
    </row>
    <row r="17" spans="1:4" x14ac:dyDescent="0.2">
      <c r="A17" s="31">
        <v>2036</v>
      </c>
      <c r="B17" s="31">
        <v>4.2872154115586696</v>
      </c>
      <c r="C17" s="31">
        <v>5.4640980735551601</v>
      </c>
      <c r="D17" s="31">
        <v>9.0227670753064793</v>
      </c>
    </row>
    <row r="18" spans="1:4" x14ac:dyDescent="0.2">
      <c r="A18" s="31">
        <v>2037</v>
      </c>
      <c r="B18" s="31">
        <v>4.3992994746059502</v>
      </c>
      <c r="C18" s="31">
        <v>5.6322241681260898</v>
      </c>
      <c r="D18" s="31">
        <v>9.2749562171628703</v>
      </c>
    </row>
    <row r="19" spans="1:4" x14ac:dyDescent="0.2">
      <c r="A19" s="31">
        <v>2038</v>
      </c>
      <c r="B19" s="31">
        <v>4.4833625218914097</v>
      </c>
      <c r="C19" s="31">
        <v>5.9404553415061301</v>
      </c>
      <c r="D19" s="31">
        <v>9.5551663747810807</v>
      </c>
    </row>
    <row r="20" spans="1:4" x14ac:dyDescent="0.2">
      <c r="A20" s="31">
        <v>2039</v>
      </c>
      <c r="B20" s="31">
        <v>4.6234676007005202</v>
      </c>
      <c r="C20" s="31">
        <v>6.0525394045534098</v>
      </c>
      <c r="D20" s="31">
        <v>9.9754816112083997</v>
      </c>
    </row>
    <row r="21" spans="1:4" x14ac:dyDescent="0.2">
      <c r="A21" s="31">
        <v>2040</v>
      </c>
      <c r="B21" s="31">
        <v>4.8476357267950902</v>
      </c>
      <c r="C21" s="31">
        <v>6.4448336252189096</v>
      </c>
      <c r="D21" s="31">
        <v>10.311733800350201</v>
      </c>
    </row>
    <row r="22" spans="1:4" x14ac:dyDescent="0.2">
      <c r="A22" s="31">
        <v>2041</v>
      </c>
      <c r="B22" s="31">
        <v>5.01576182136602</v>
      </c>
      <c r="C22" s="31">
        <v>6.75306479859894</v>
      </c>
      <c r="D22" s="31">
        <v>10.6199649737302</v>
      </c>
    </row>
    <row r="23" spans="1:4" x14ac:dyDescent="0.2">
      <c r="A23" s="31">
        <v>2042</v>
      </c>
      <c r="B23" s="31">
        <v>5.0718038528896603</v>
      </c>
      <c r="C23" s="31">
        <v>6.9211908931698698</v>
      </c>
      <c r="D23" s="31">
        <v>10.8441330998248</v>
      </c>
    </row>
    <row r="24" spans="1:4" x14ac:dyDescent="0.2">
      <c r="A24" s="31">
        <v>2043</v>
      </c>
      <c r="B24" s="31">
        <v>5.2119089316987699</v>
      </c>
      <c r="C24" s="31">
        <v>7.0893169877408004</v>
      </c>
      <c r="D24" s="31">
        <v>11.124343257443</v>
      </c>
    </row>
    <row r="25" spans="1:4" x14ac:dyDescent="0.2">
      <c r="A25" s="31">
        <v>2044</v>
      </c>
      <c r="B25" s="31">
        <v>5.5201401050788004</v>
      </c>
      <c r="C25" s="31">
        <v>7.4255691768826599</v>
      </c>
      <c r="D25" s="31">
        <v>11.8528896672504</v>
      </c>
    </row>
    <row r="26" spans="1:4" x14ac:dyDescent="0.2">
      <c r="A26" s="31">
        <v>2045</v>
      </c>
      <c r="B26" s="31">
        <v>5.6882661996497301</v>
      </c>
      <c r="C26" s="31">
        <v>7.7338003502626904</v>
      </c>
      <c r="D26" s="31">
        <v>12.2732049036777</v>
      </c>
    </row>
    <row r="27" spans="1:4" x14ac:dyDescent="0.2">
      <c r="A27" s="31">
        <v>2046</v>
      </c>
      <c r="B27" s="31">
        <v>5.7723292469352003</v>
      </c>
      <c r="C27" s="31">
        <v>7.9299474605954403</v>
      </c>
      <c r="D27" s="31">
        <v>12.6374781085814</v>
      </c>
    </row>
    <row r="28" spans="1:4" x14ac:dyDescent="0.2">
      <c r="A28" s="31">
        <v>2047</v>
      </c>
      <c r="B28" s="31">
        <v>6.0525394045534098</v>
      </c>
      <c r="C28" s="31">
        <v>8.1821366024518305</v>
      </c>
      <c r="D28" s="31">
        <v>13.197898423817801</v>
      </c>
    </row>
    <row r="29" spans="1:4" x14ac:dyDescent="0.2">
      <c r="A29" s="31">
        <v>2048</v>
      </c>
      <c r="B29" s="31">
        <v>6.3327495621716201</v>
      </c>
      <c r="C29" s="31">
        <v>8.4903677758318707</v>
      </c>
      <c r="D29" s="31">
        <v>13.8704028021015</v>
      </c>
    </row>
    <row r="30" spans="1:4" x14ac:dyDescent="0.2">
      <c r="A30" s="31">
        <v>2049</v>
      </c>
      <c r="B30" s="31">
        <v>6.5849387040280201</v>
      </c>
      <c r="C30" s="31">
        <v>8.8266199649737302</v>
      </c>
      <c r="D30" s="31">
        <v>14.7950963222416</v>
      </c>
    </row>
    <row r="31" spans="1:4" x14ac:dyDescent="0.2">
      <c r="A31" s="31">
        <v>2050</v>
      </c>
      <c r="B31" s="31">
        <v>6.8931698774080497</v>
      </c>
      <c r="C31" s="31">
        <v>9.3309982486865106</v>
      </c>
      <c r="D31" s="31">
        <v>15.831873905428999</v>
      </c>
    </row>
  </sheetData>
  <hyperlinks>
    <hyperlink ref="A2" r:id="rId1" xr:uid="{00000000-0004-0000-0600-000000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README</vt:lpstr>
      <vt:lpstr>Main</vt:lpstr>
      <vt:lpstr>Load</vt:lpstr>
      <vt:lpstr>Existing Capacity</vt:lpstr>
      <vt:lpstr>PS - Relative Buildout</vt:lpstr>
      <vt:lpstr>PS Relative Buildout- All Yrs</vt:lpstr>
      <vt:lpstr>Nuclear Capex</vt:lpstr>
      <vt:lpstr>Projected NG Prices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Joseph F. DeCarolis</dc:creator>
  <cp:lastModifiedBy>Joseph F. DeCarolis</cp:lastModifiedBy>
  <dcterms:created xsi:type="dcterms:W3CDTF">2025-04-14T18:39:39Z</dcterms:created>
  <dcterms:modified xsi:type="dcterms:W3CDTF">2025-07-08T13:31:20Z</dcterms:modified>
</cp:coreProperties>
</file>