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commentsmeta11"/>
  <Override ContentType="application/binary" PartName="/xl/commentsmeta12"/>
  <Override ContentType="application/binary" PartName="/xl/commentsmeta10"/>
  <Override ContentType="application/binary" PartName="/xl/commentsmeta4"/>
  <Override ContentType="application/binary" PartName="/xl/commentsmeta5"/>
  <Override ContentType="application/binary" PartName="/xl/commentsmeta2"/>
  <Override ContentType="application/binary" PartName="/xl/commentsmeta3"/>
  <Override ContentType="application/binary" PartName="/xl/commentsmeta0"/>
  <Override ContentType="application/binary" PartName="/xl/commentsmeta1"/>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Symbols-Glossary" sheetId="2" r:id="rId5"/>
    <sheet state="visible" name="Summary" sheetId="3" r:id="rId6"/>
    <sheet state="visible" name="Summary Scope 1" sheetId="4" r:id="rId7"/>
    <sheet state="visible" name="Summary Scope 2" sheetId="5" r:id="rId8"/>
    <sheet state="visible" name="Summary Scope 3" sheetId="6" r:id="rId9"/>
    <sheet state="visible" name="Scope1A Stationary" sheetId="7" r:id="rId10"/>
    <sheet state="visible" name="Scope1A Stationary sources" sheetId="8" r:id="rId11"/>
    <sheet state="visible" name="Biomass Accounting" sheetId="9" r:id="rId12"/>
    <sheet state="visible" name="Scope1B  Mobile" sheetId="10" r:id="rId13"/>
    <sheet state="visible" name="Scope1B Mobile sources" sheetId="11" r:id="rId14"/>
    <sheet state="visible" name="Scope2 Electricity" sheetId="12" r:id="rId15"/>
    <sheet state="visible" name="Scope2 Electric sources" sheetId="13" r:id="rId16"/>
    <sheet state="visible" name="Renewable Energy" sheetId="14" r:id="rId17"/>
    <sheet state="visible" name="Renewable Energy Sources" sheetId="15" r:id="rId18"/>
    <sheet state="visible" name="Scope 2 Electricity Updated " sheetId="16" r:id="rId19"/>
    <sheet state="visible" name="Scope3 Travel" sheetId="17" r:id="rId20"/>
    <sheet state="visible" name="Scope3 Travel sources" sheetId="18" r:id="rId21"/>
    <sheet state="visible" name="Scope 3 Travel Sources for FY19" sheetId="19" r:id="rId22"/>
    <sheet state="visible" name="Scope3 Landfill Methane" sheetId="20" r:id="rId23"/>
    <sheet state="visible" name="Scope3 Landfill Meth sources" sheetId="21" r:id="rId24"/>
    <sheet state="visible" name="Offsets" sheetId="22" r:id="rId25"/>
    <sheet state="visible" name="Offsets (sources)" sheetId="23" r:id="rId26"/>
    <sheet state="visible" name="EmployeeCommute" sheetId="24" r:id="rId27"/>
    <sheet state="visible" name="EmployeeCommute sources" sheetId="25" r:id="rId28"/>
    <sheet state="visible" name="EmployeeCommuteRevised" sheetId="26" r:id="rId29"/>
    <sheet state="visible" name="EmployeeCommuteRevised sources" sheetId="27" r:id="rId30"/>
    <sheet state="visible" name="Normalization Factors" sheetId="28" r:id="rId31"/>
    <sheet state="visible" name="Normalization sources" sheetId="29" r:id="rId32"/>
    <sheet state="visible" name="Edits Log" sheetId="30" r:id="rId33"/>
    <sheet state="visible" name="FY 02-06 reference" sheetId="31" r:id="rId34"/>
    <sheet state="visible" name="Sheet1" sheetId="32" r:id="rId35"/>
    <sheet state="visible" name="Sheet2" sheetId="33" r:id="rId36"/>
  </sheets>
  <definedNames/>
  <calcPr/>
  <extLst>
    <ext uri="GoogleSheetsCustomDataVersion2">
      <go:sheetsCustomData xmlns:go="http://customooxmlschemas.google.com/" r:id="rId37" roundtripDataChecksum="JXI0ebfntIo1LXEYSZCAoTFcyRLot0j2dZLoF9i7BL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
      <text>
        <t xml:space="preserve">======
ID#AAABRt54Mks
Billie Borden    (2024-07-18 13:38:38)
S3 EmpCom not included. Offsets subtracted.</t>
      </text>
    </comment>
    <comment authorId="0" ref="A72">
      <text>
        <t xml:space="preserve">======
ID#AAABRt54Mkc
Billie Borden    (2024-07-18 13:38:38)
s3 EmpCom not included</t>
      </text>
    </comment>
    <comment authorId="0" ref="A57">
      <text>
        <t xml:space="preserve">======
ID#AAABRt54Mjs
Billie Borden    (2024-07-18 13:38:38)
Total consists of those emissions for which the college claims responsibility--all but Emp Com, less the total amount of MTCDEs offset.</t>
      </text>
    </comment>
    <comment authorId="0" ref="A34">
      <text>
        <t xml:space="preserve">======
ID#AAABRt54Mjk
Billie Borden    (2024-07-18 13:38:38)
offsets are not subtracted from total</t>
      </text>
    </comment>
    <comment authorId="0" ref="A25">
      <text>
        <t xml:space="preserve">======
ID#AAABRt54MiI
Billie Borden    (2024-07-18 13:38:38)
S3 EmpCom not included. Offsets subtracted.</t>
      </text>
    </comment>
  </commentList>
  <extLst>
    <ext uri="GoogleSheetsCustomDataVersion2">
      <go:sheetsCustomData xmlns:go="http://customooxmlschemas.google.com/" r:id="rId1" roundtripDataSignature="AMtx7mg6R5y6pD4Q8t5ISGEoXp/8msjSBQ=="/>
    </ext>
  </extL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33">
      <text>
        <t xml:space="preserve">======
ID#AAABRt54Mk8
Jason Kowalski    (2024-07-18 13:38:38)
time taken from end of reporting period, eg a 1/04 hire is assumed to be a 2 yr employee in FY0506</t>
      </text>
    </comment>
    <comment authorId="0" ref="A14">
      <text>
        <t xml:space="preserve">======
ID#AAABRt54MkM
Student    (2024-07-18 13:38:38)
one half daily commuter 
miles</t>
      </text>
    </comment>
    <comment authorId="0" ref="A232">
      <text>
        <t xml:space="preserve">======
ID#AAABRt54MjU
Jason Kowalski    (2024-07-18 13:38:38)
No CTO is conservatively assumed for new employees or non-full time employees.</t>
      </text>
    </comment>
    <comment authorId="0" ref="A95">
      <text>
        <t xml:space="preserve">======
ID#AAABRt54Mi4
Student    (2024-07-18 13:38:38)
2.5= half the distance between Middlebury and the farthest town down a direct road: East Middlebury, East on 125 is 5 miles away from Middlebury College.</t>
      </text>
    </comment>
  </commentList>
  <extLst>
    <ext uri="GoogleSheetsCustomDataVersion2">
      <go:sheetsCustomData xmlns:go="http://customooxmlschemas.google.com/" r:id="rId1" roundtripDataSignature="AMtx7mh/9N1p0h7xIRR/xATMEW09NOzYqg=="/>
    </ext>
  </extL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30">
      <text>
        <t xml:space="preserve">======
ID#AAABRt54MlA
Student    (2024-07-18 13:38:38)
2.5= half the distance between Middlebury and the farthest town down a direct road: East Middlebury, East on 125 is 5 miles away from Middlebury College.</t>
      </text>
    </comment>
    <comment authorId="0" ref="A75">
      <text>
        <t xml:space="preserve">======
ID#AAABRt54Mk4
Student    (2024-07-18 13:38:38)
No CTO is conservatively assumed for new employees or non-full time employees.</t>
      </text>
    </comment>
    <comment authorId="0" ref="A88">
      <text>
        <t xml:space="preserve">======
ID#AAABRt54Mko
Student    (2024-07-18 13:38:38)
one half daily commuter 
miles</t>
      </text>
    </comment>
    <comment authorId="0" ref="A76">
      <text>
        <t xml:space="preserve">======
ID#AAABRt54MjY
Student    (2024-07-18 13:38:38)
time taken from end of reporting period, eg a 1/04 hire is assumed to be a 2 yr employee in FY0506</t>
      </text>
    </comment>
  </commentList>
  <extLst>
    <ext uri="GoogleSheetsCustomDataVersion2">
      <go:sheetsCustomData xmlns:go="http://customooxmlschemas.google.com/" r:id="rId1" roundtripDataSignature="AMtx7mgDsknMXYEn48iT69S5wS1BuIFdkA=="/>
    </ext>
  </extL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2">
      <text>
        <t xml:space="preserve">======
ID#AAABRt54MkY
Administrator    (2024-07-18 13:38:38)
Billie Borden: This number was taken off a spreadsheet that Ian Sanders-Fleming worked on in July 07. It should not be considered final because we do not understand how it was computed. For the time being, this number is the best estimate we have.</t>
      </text>
    </comment>
  </commentList>
  <extLst>
    <ext uri="GoogleSheetsCustomDataVersion2">
      <go:sheetsCustomData xmlns:go="http://customooxmlschemas.google.com/" r:id="rId1" roundtripDataSignature="AMtx7mjEcl5n+qSzVJOz3997bcCUOINomw=="/>
    </ext>
  </extL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3">
      <text>
        <t xml:space="preserve">======
ID#AAABRt54Mis
SG    (2024-07-18 13:38:38)
This number also includes kerosene, since Efs for N2O and CH4 could not be found. The kerosene is used mainly as an additive for #2 oil during winter months.  Kerosene blends with #2 diesel fuel to keep viscosity low enough to pump when it's very cold. (MM)</t>
      </text>
    </comment>
    <comment authorId="0" ref="G75">
      <text>
        <t xml:space="preserve">======
ID#AAABRt54Mic
Default Profile    (2024-07-18 13:38:38)
is this number due to the biomass plant shutdown?</t>
      </text>
    </comment>
    <comment authorId="0" ref="E33">
      <text>
        <t xml:space="preserve">======
ID#AAABRt54MiU
SG    (2024-07-18 13:38:38)
This number also includes kerosene, since Efs for N2O and CH4 could not be found. The kerosene is used mainly as an additive for #2 oil during winter months.  Kerosene blends with #2 diesel fuel to keep viscosity low enough to pump when it's very cold. (MM)</t>
      </text>
    </comment>
    <comment authorId="0" ref="G36">
      <text>
        <t xml:space="preserve">======
ID#AAABRt54MiM
Default Profile    (2024-07-18 13:38:38)
is this number due to the biomass plant shutdown?</t>
      </text>
    </comment>
  </commentList>
  <extLst>
    <ext uri="GoogleSheetsCustomDataVersion2">
      <go:sheetsCustomData xmlns:go="http://customooxmlschemas.google.com/" r:id="rId1" roundtripDataSignature="AMtx7mjtGat32ciPZ+L5AYZwUsJqUFNvz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0">
      <text>
        <t xml:space="preserve">======
ID#AAABRt54MkU
SG    (2024-07-18 13:38:38)
This number also includes kerosene, since Efs for N2O and CH4 could not be found. The kerosene is used mainly as an additive for #2 oil during winter months.  Kerosene blends with #2 diesel fuel to keep viscosity low enough to pump when it's very cold. (MM)</t>
      </text>
    </comment>
    <comment authorId="0" ref="G34">
      <text>
        <t xml:space="preserve">======
ID#AAABRt54MkI
Default Profile    (2024-07-18 13:38:38)
is this number due to the biomass plant shutdown?</t>
      </text>
    </comment>
    <comment authorId="0" ref="D20">
      <text>
        <t xml:space="preserve">======
ID#AAABRt54MiA
SG    (2024-07-18 13:38:38)
This number also includes kerosene, since Efs for N2O and CH4 could not be found. The kerosene is used mainly as an additive for #2 oil during winter months.  Kerosene blends with #2 diesel fuel to keep viscosity low enough to pump when it's very cold. (MM)</t>
      </text>
    </comment>
  </commentList>
  <extLst>
    <ext uri="GoogleSheetsCustomDataVersion2">
      <go:sheetsCustomData xmlns:go="http://customooxmlschemas.google.com/" r:id="rId1" roundtripDataSignature="AMtx7mgSIw3ejnGiCz+WdX9PtsHl/lGPa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T7">
      <text>
        <t xml:space="preserve">======
ID#AAABRt54Mk0
Byrne, Jack    (2024-07-18 13:38:38)
Byrne, Jack:</t>
      </text>
    </comment>
    <comment authorId="0" ref="E11">
      <text>
        <t xml:space="preserve">======
ID#AAABRt54Mj8
Middlebury College    (2024-07-18 13:38:38)
do we delete or not? Is it significant?</t>
      </text>
    </comment>
    <comment authorId="0" ref="A45">
      <text>
        <t xml:space="preserve">======
ID#AAABRt54MjE
Julian Macrone    (2024-07-18 13:38:38)
Separate figures for distillate and residual oil were not available for 2012</t>
      </text>
    </comment>
    <comment authorId="0" ref="A37">
      <text>
        <t xml:space="preserve">======
ID#AAABRt54Mi8
Julian Macrone    (2024-07-18 13:38:38)
ISO-NE generated sources represent 93% of the total power used in NE - roughly 7.85% is imported over externatl ties.</t>
      </text>
    </comment>
    <comment authorId="0" ref="A12">
      <text>
        <t xml:space="preserve">======
ID#AAABRt54Miw
LIS    (2024-07-18 13:38:38)
Billie Borden: College President's house uses cow power. Address on receipts is 3 South Street.</t>
      </text>
    </comment>
  </commentList>
  <extLst>
    <ext uri="GoogleSheetsCustomDataVersion2">
      <go:sheetsCustomData xmlns:go="http://customooxmlschemas.google.com/" r:id="rId1" roundtripDataSignature="AMtx7mgJyBO+8mHc1Q3haPXrz2FeiRL1pA=="/>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0">
      <text>
        <t xml:space="preserve">======
ID#AAABRt54MjQ
Middlebury College    (2024-07-18 13:38:38)
should be 28 weybrdige st. however is not on the CVPS invoice excel, not even for 08/09, the only year with listed data Check with CVPS [CN11]</t>
      </text>
    </comment>
  </commentList>
  <extLst>
    <ext uri="GoogleSheetsCustomDataVersion2">
      <go:sheetsCustomData xmlns:go="http://customooxmlschemas.google.com/" r:id="rId1" roundtripDataSignature="AMtx7mjTo+ntt+uueuHMRQK/jQbN7GwKmw=="/>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5">
      <text>
        <t xml:space="preserve">======
ID#AAABRt54MkE
Julian Macrone    (2024-07-18 13:38:38)
ISO-NE generated sources represent 93% of the total power used in NE - roughly 7.85% is imported over externatl ties.</t>
      </text>
    </comment>
    <comment authorId="0" ref="A12">
      <text>
        <t xml:space="preserve">======
ID#AAABRt54Mjc
LIS    (2024-07-18 13:38:38)
Billie Borden: College President's house uses cow power. Address on receipts is 3 South Street.</t>
      </text>
    </comment>
    <comment authorId="0" ref="A43">
      <text>
        <t xml:space="preserve">======
ID#AAABRt54MjM
Julian Macrone    (2024-07-18 13:38:38)
Separate figures for distillate and residual oil were not available for 2012</t>
      </text>
    </comment>
    <comment authorId="0" ref="E11">
      <text>
        <t xml:space="preserve">======
ID#AAABRt54Mio
Middlebury College    (2024-07-18 13:38:38)
do we delete or not? Is it significant?</t>
      </text>
    </comment>
  </commentList>
  <extLst>
    <ext uri="GoogleSheetsCustomDataVersion2">
      <go:sheetsCustomData xmlns:go="http://customooxmlschemas.google.com/" r:id="rId1" roundtripDataSignature="AMtx7mjOsKB6QXno7hOtPF3K8tZ0T84A8w=="/>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9">
      <text>
        <t xml:space="preserve">======
ID#AAABRt54MlI
Middlebury College    (2024-07-18 13:38:38)
this is supposed to be in cents, if adding EIA "change from year ago value" convert that into cents, not dollars and add [CN11]</t>
      </text>
    </comment>
    <comment authorId="0" ref="H97">
      <text>
        <t xml:space="preserve">======
ID#AAABRt54MlE
Middlebury College    (2024-07-18 13:38:38)
Numbers only available up to 2009</t>
      </text>
    </comment>
    <comment authorId="0" ref="A98">
      <text>
        <t xml:space="preserve">======
ID#AAABRt54Mkw
Billie Borden    (2024-07-18 13:38:38)
The Bureau of Transportation Statistics releases information on a calendar-year basis, not a fiscal-year basis. For this inventory, the statistics for the first half of the fiscal year are used, (e.g., for FY01-02, statistical information from 2001 is used).</t>
      </text>
    </comment>
    <comment authorId="0" ref="H19">
      <text>
        <t xml:space="preserve">======
ID#AAABRt54Mkk
Julian Macrone    (2024-07-18 13:38:38)
Obtained by taking the mean of weekly gas prisec as listed by eia.gov from 07/11-07/11</t>
      </text>
    </comment>
    <comment authorId="0" ref="I19">
      <text>
        <t xml:space="preserve">======
ID#AAABRt54MkA
Julian Macrone    (2024-07-18 13:38:38)
Obtained by taking the mean of weekly gas prisec as listed by eia.gov from 07/11-07/11</t>
      </text>
    </comment>
    <comment authorId="0" ref="C98">
      <text>
        <t xml:space="preserve">======
ID#AAABRt54Mj0
Shalyn Getz    (2024-07-18 13:38:38)
The 2007 edition of National Transportation Statistics produced by the Bureau of Transportaion Statistics does not include information for 2006. The statistical information from the most recent fiscal year is included in its place.</t>
      </text>
    </comment>
    <comment authorId="0" ref="I97">
      <text>
        <t xml:space="preserve">======
ID#AAABRt54Mjg
Middlebury College    (2024-07-18 13:38:38)
Numbers only available up to 2009</t>
      </text>
    </comment>
    <comment authorId="0" ref="G19">
      <text>
        <t xml:space="preserve">======
ID#AAABRt54MjA
Julian Macrone    (2024-07-18 13:38:38)
Obtained by taking the mean of weekly gas prisec as listed by eia.gov from 07/11-07/11</t>
      </text>
    </comment>
    <comment authorId="0" ref="G97">
      <text>
        <t xml:space="preserve">======
ID#AAABRt54Mi0
Middlebury College    (2024-07-18 13:38:38)
Numbers only available up to 2009</t>
      </text>
    </comment>
    <comment authorId="0" ref="A130">
      <text>
        <t xml:space="preserve">======
ID#AAABRt54Mik
Billie Borden    (2024-07-18 13:38:38)
The Bureau of Transportation Statistics has not updated this data since FY 2001, so that number has continued to be used throughout.</t>
      </text>
    </comment>
    <comment authorId="0" ref="F97">
      <text>
        <t xml:space="preserve">======
ID#AAABRt54Mig
Middlebury College    (2024-07-18 13:38:38)
Numbers only available up to 2009</t>
      </text>
    </comment>
    <comment authorId="0" ref="C97">
      <text>
        <t xml:space="preserve">======
ID#AAABRt54MiY
Shalyn Getz    (2024-07-18 13:38:38)
The 2008 edition of National Transportation Statistics produced by the Bureau of Transportaion Statistics does not include information for 2006. The statistical information from the most recent fiscal year is included in its place.</t>
      </text>
    </comment>
    <comment authorId="0" ref="A97">
      <text>
        <t xml:space="preserve">======
ID#AAABRt54MiQ
Billie Borden    (2024-07-18 13:38:38)
The Bureau of Transportation Statistics releases information on a calendar-year basis, not a fiscal-year basis. For this inventory, the statistics for the first half of the fiscal year are used, (e.g., for FY01-02, statistical information from 2001 is used).</t>
      </text>
    </comment>
    <comment authorId="0" ref="A19">
      <text>
        <t xml:space="preserve">======
ID#AAABRt54MiE
Billie Borden    (2024-07-18 13:38:38)
The U.S. Energy Information Administration provides data on the average retail price of regular gasoline of all formulations on a monthly basis. Data for each month of the fiscal year were average together to yield the most accurate average cost of gasoline during that fiscal year. Data from previous fiscal years were updated using this methodology and souce.</t>
      </text>
    </comment>
  </commentList>
  <extLst>
    <ext uri="GoogleSheetsCustomDataVersion2">
      <go:sheetsCustomData xmlns:go="http://customooxmlschemas.google.com/" r:id="rId1" roundtripDataSignature="AMtx7mi2TXqHk45F8qlTrog8T0vrph1QLw=="/>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1">
      <text>
        <t xml:space="preserve">======
ID#AAABRt54Mj4
Middlebury College    (2024-07-18 13:38:38)
old link failed, if this method does not come up with average, search google for EIA daa on gas prices</t>
      </text>
    </comment>
  </commentList>
  <extLst>
    <ext uri="GoogleSheetsCustomDataVersion2">
      <go:sheetsCustomData xmlns:go="http://customooxmlschemas.google.com/" r:id="rId1" roundtripDataSignature="AMtx7mhtjQnkYxWCpJoLHMEHCpOy0cfOGg=="/>
    </ext>
  </extL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6">
      <text>
        <t xml:space="preserve">======
ID#AAABRt54MkQ
Luke    (2024-07-18 13:38:38)
These numbers are Calendar year 2009, not Fiscal Year 09/10</t>
      </text>
    </comment>
    <comment authorId="0" ref="E23">
      <text>
        <t xml:space="preserve">======
ID#AAABRt54Mjw
Luke    (2024-07-18 13:38:38)
These numbers are Calendar Year 2009, not Fiscal Year 09/10</t>
      </text>
    </comment>
    <comment authorId="0" ref="A40">
      <text>
        <t xml:space="preserve">======
ID#AAABRt54Mjo
Billie Borden    (2024-07-18 13:38:38)
does not include composted waste</t>
      </text>
    </comment>
    <comment authorId="0" ref="A12">
      <text>
        <t xml:space="preserve">======
ID#AAABRt54MjI
Jason Kowalski    (2024-07-18 13:38:38)
This figure represents how much waste Middlebury takes to the Adison County Transfer Station in a given fiscal year</t>
      </text>
    </comment>
  </commentList>
  <extLst>
    <ext uri="GoogleSheetsCustomDataVersion2">
      <go:sheetsCustomData xmlns:go="http://customooxmlschemas.google.com/" r:id="rId1" roundtripDataSignature="AMtx7mgRBwe20V6jP893N0gG719QUexJ/Q=="/>
    </ext>
  </extL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5">
      <text>
        <t xml:space="preserve">======
ID#AAABRt54Mkg
Student    (2024-07-18 13:38:38)
This figure represents how much waste Middlebury takes to the Adison County Transfer Station in a given FY (see docs)</t>
      </text>
    </comment>
  </commentList>
  <extLst>
    <ext uri="GoogleSheetsCustomDataVersion2">
      <go:sheetsCustomData xmlns:go="http://customooxmlschemas.google.com/" r:id="rId1" roundtripDataSignature="AMtx7mgPMGD4w7ldo3QvMvWukIjEAP0/nw=="/>
    </ext>
  </extLst>
</comments>
</file>

<file path=xl/sharedStrings.xml><?xml version="1.0" encoding="utf-8"?>
<sst xmlns="http://schemas.openxmlformats.org/spreadsheetml/2006/main" count="3700" uniqueCount="1678">
  <si>
    <t xml:space="preserve">Middlebury College Annual Greenhouse Gas Inventory </t>
  </si>
  <si>
    <r>
      <rPr>
        <rFont val="Arial"/>
        <b/>
        <i/>
        <color theme="1"/>
        <sz val="14.0"/>
      </rPr>
      <t xml:space="preserve">Middlebury College Office of Sustainbility Integration </t>
    </r>
    <r>
      <rPr>
        <rFont val="Arial"/>
        <b/>
        <i/>
        <color theme="1"/>
        <sz val="12.0"/>
      </rPr>
      <t xml:space="preserve"> </t>
    </r>
    <r>
      <rPr>
        <rFont val="Arial"/>
        <b val="0"/>
        <i/>
        <color theme="1"/>
        <sz val="12.0"/>
      </rPr>
      <t xml:space="preserve">                                                  </t>
    </r>
    <r>
      <rPr>
        <rFont val="Arial"/>
        <b/>
        <i/>
        <color theme="1"/>
        <sz val="12.0"/>
      </rPr>
      <t>Primary</t>
    </r>
    <r>
      <rPr>
        <rFont val="Arial"/>
        <b val="0"/>
        <i/>
        <color theme="1"/>
        <sz val="12.0"/>
      </rPr>
      <t xml:space="preserve"> </t>
    </r>
    <r>
      <rPr>
        <rFont val="Arial"/>
        <b/>
        <i/>
        <color theme="1"/>
        <sz val="12.0"/>
      </rPr>
      <t>Contributors:</t>
    </r>
    <r>
      <rPr>
        <rFont val="Arial"/>
        <b val="0"/>
        <i/>
        <color theme="1"/>
        <sz val="12.0"/>
      </rPr>
      <t xml:space="preserve">  Jason Kowalski '07, Billie Borden '09, Chester Harvey '09, Ian Sanders Fleming '09, Jack Byrne, Director, Sustainability Integration Office, Mike Moser, Assistant Director, Office of Facilities Services.                     </t>
    </r>
    <r>
      <rPr>
        <rFont val="Arial"/>
        <b/>
        <i/>
        <color theme="1"/>
        <sz val="12.0"/>
      </rPr>
      <t xml:space="preserve">Contact: </t>
    </r>
    <r>
      <rPr>
        <rFont val="Arial"/>
        <b val="0"/>
        <i/>
        <color theme="1"/>
        <sz val="12.0"/>
      </rPr>
      <t>Jack Byrne, jmbyrne@middlebury.edu, tel: 802-443-5043</t>
    </r>
  </si>
  <si>
    <t xml:space="preserve">This worksheet provides quick links to data input worksheets as well as source pages. Bracketed initials and dates on the source pages indicate the person who last inputted, updated or checked the data. </t>
  </si>
  <si>
    <t xml:space="preserve">Summary data (General) </t>
  </si>
  <si>
    <t>symbols</t>
  </si>
  <si>
    <t>Summary Scope 1</t>
  </si>
  <si>
    <t>Summary Scope 2</t>
  </si>
  <si>
    <t>Summary Scope 3</t>
  </si>
  <si>
    <t>Scope 1, Part A: Direct Emissions from Stationary Combustion</t>
  </si>
  <si>
    <t>sources</t>
  </si>
  <si>
    <t>Scope 1, Part B: Indirect Emissions from Mobile Combustion</t>
  </si>
  <si>
    <t xml:space="preserve">Scope 2: Indirect Emissions from Electricity Purchases </t>
  </si>
  <si>
    <t>Scope 3, Part A: Indirect Emissions from Outsourced Travel</t>
  </si>
  <si>
    <t>Scope 3, Part B: Indirect Emissions from Waste Stream</t>
  </si>
  <si>
    <t>Renewable Energy</t>
  </si>
  <si>
    <t>Direct Sequestrations, Renewable Energy Credits, and Offsets</t>
  </si>
  <si>
    <t>Indirect Emissions from Regular Commuting</t>
  </si>
  <si>
    <t>Indirect Emissions from Regular Commuting, revised FY09/10 and later</t>
  </si>
  <si>
    <t>Normalization Factors and Results</t>
  </si>
  <si>
    <t>Symbols indicating data providers:</t>
  </si>
  <si>
    <t>*</t>
  </si>
  <si>
    <r>
      <rPr>
        <rFont val="Arial"/>
        <color theme="1"/>
        <sz val="10.0"/>
      </rPr>
      <t xml:space="preserve">Collected annually by Assistant Director of Facilities Services, Central Heating/Utilities: </t>
    </r>
    <r>
      <rPr>
        <rFont val="Arial"/>
        <b/>
        <color theme="1"/>
        <sz val="10.0"/>
      </rPr>
      <t>Mike Moser</t>
    </r>
    <r>
      <rPr>
        <rFont val="Arial"/>
        <color theme="1"/>
        <sz val="10.0"/>
      </rPr>
      <t>.</t>
    </r>
  </si>
  <si>
    <t>†</t>
  </si>
  <si>
    <r>
      <rPr>
        <rFont val="Arial"/>
        <color theme="1"/>
        <sz val="10.0"/>
      </rPr>
      <t xml:space="preserve">Conservatively extrapolated from data based on rental mileage records and the above mi/gal and fuel tank data. Collected annually by </t>
    </r>
    <r>
      <rPr>
        <rFont val="Arial"/>
        <b/>
        <color theme="1"/>
        <sz val="10.0"/>
      </rPr>
      <t>Carol Quenneville</t>
    </r>
    <r>
      <rPr>
        <rFont val="Arial"/>
        <color theme="1"/>
        <sz val="10.0"/>
      </rPr>
      <t>, Vehicle Fleet Coordinator.</t>
    </r>
  </si>
  <si>
    <t>◊</t>
  </si>
  <si>
    <r>
      <rPr>
        <rFont val="Arial"/>
        <color theme="1"/>
        <sz val="10.0"/>
      </rPr>
      <t xml:space="preserve">David Dunn, Cow Power Program Manager, CVPS via Associate Vice President, Middlebury College Facilities Services, </t>
    </r>
    <r>
      <rPr>
        <rFont val="Arial"/>
        <b/>
        <color theme="1"/>
        <sz val="10.0"/>
      </rPr>
      <t>Susan Personnette</t>
    </r>
    <r>
      <rPr>
        <rFont val="Arial"/>
        <color theme="1"/>
        <sz val="10.0"/>
      </rPr>
      <t xml:space="preserve"> </t>
    </r>
  </si>
  <si>
    <t>‡</t>
  </si>
  <si>
    <r>
      <rPr>
        <rFont val="Arial"/>
        <b/>
        <color theme="1"/>
        <sz val="10.0"/>
      </rPr>
      <t>Dean Ouellette</t>
    </r>
    <r>
      <rPr>
        <rFont val="Arial"/>
        <b val="0"/>
        <color theme="1"/>
        <sz val="10.0"/>
      </rPr>
      <t>, Middlebury College Electrical Engineer.</t>
    </r>
  </si>
  <si>
    <t>□</t>
  </si>
  <si>
    <r>
      <rPr>
        <rFont val="Arial"/>
        <color theme="1"/>
        <sz val="10.0"/>
      </rPr>
      <t xml:space="preserve">Collected annually by Middlebury College Budget Director, </t>
    </r>
    <r>
      <rPr>
        <rFont val="Arial"/>
        <b/>
        <color theme="1"/>
        <sz val="10.0"/>
      </rPr>
      <t>Kristen Anderson</t>
    </r>
  </si>
  <si>
    <t>▲</t>
  </si>
  <si>
    <r>
      <rPr>
        <rFont val="Arial"/>
        <color theme="1"/>
        <sz val="10.0"/>
      </rPr>
      <t xml:space="preserve">Data collected annually by Waste Management and Custodial, </t>
    </r>
    <r>
      <rPr>
        <rFont val="Arial"/>
        <b/>
        <color theme="1"/>
        <sz val="10.0"/>
      </rPr>
      <t>Melissa Beckwith, Supervisor</t>
    </r>
  </si>
  <si>
    <t>∞</t>
  </si>
  <si>
    <r>
      <rPr>
        <rFont val="Arial"/>
        <color theme="1"/>
        <sz val="10.0"/>
      </rPr>
      <t xml:space="preserve">Casella Waste Management, </t>
    </r>
    <r>
      <rPr>
        <rFont val="Arial"/>
        <b/>
        <color theme="1"/>
        <sz val="10.0"/>
      </rPr>
      <t>Steve Olsen</t>
    </r>
    <r>
      <rPr>
        <rFont val="Arial"/>
        <color theme="1"/>
        <sz val="10.0"/>
      </rPr>
      <t xml:space="preserve"> 802-388-2915</t>
    </r>
  </si>
  <si>
    <t>●</t>
  </si>
  <si>
    <r>
      <rPr>
        <rFont val="Arial"/>
        <color theme="1"/>
        <sz val="10.0"/>
      </rPr>
      <t xml:space="preserve">Conservatively extrapolated from data on employee residency and relative full time equivalencies collected annually by Human Resources Generalist at Middlebury College, </t>
    </r>
    <r>
      <rPr>
        <rFont val="Arial"/>
        <b/>
        <color theme="1"/>
        <sz val="10.0"/>
      </rPr>
      <t xml:space="preserve">Alexa Euler </t>
    </r>
  </si>
  <si>
    <t>GLOSSARY</t>
  </si>
  <si>
    <r>
      <rPr>
        <rFont val="Times New Roman"/>
        <b/>
        <color theme="1"/>
        <sz val="12.0"/>
      </rPr>
      <t>BTU</t>
    </r>
    <r>
      <rPr>
        <rFont val="Times New Roman"/>
        <b val="0"/>
        <color theme="1"/>
        <sz val="12.0"/>
      </rPr>
      <t xml:space="preserve"> (British Thermal Unit) - the amount of heat required to increase the temperature of a pint of water (which weighs exactly 16 ounces) by one degree Fahrenheit. For example 3412.14 BTUs = 1 kWh, and 1 BTU = 1,055.06 joules. One Million BTU’s can be expressed as MBTU or MMBTU. Middlebury College facilities publications typically use MMBTU to express this quantity.</t>
    </r>
  </si>
  <si>
    <r>
      <rPr>
        <rFont val="Times New Roman"/>
        <b/>
        <color theme="1"/>
        <sz val="12.0"/>
      </rPr>
      <t>CCC</t>
    </r>
    <r>
      <rPr>
        <rFont val="Times New Roman"/>
        <b val="0"/>
        <color theme="1"/>
        <sz val="12.0"/>
      </rPr>
      <t xml:space="preserve"> (Carbon Content Coefficient) – the mass to energy ratio of a fuel source. i.e. the mass of carbon atoms per million BTU’s (MMBTU or MBTU).</t>
    </r>
  </si>
  <si>
    <r>
      <rPr>
        <rFont val="Times New Roman"/>
        <b/>
        <color theme="1"/>
        <sz val="12.0"/>
      </rPr>
      <t xml:space="preserve">EF (Emissions Factor) </t>
    </r>
    <r>
      <rPr>
        <rFont val="Times New Roman"/>
        <b val="0"/>
        <color theme="1"/>
        <sz val="12.0"/>
      </rPr>
      <t>– General name for conversion factors that are calculated experimentally, and can change over time. These need to be updated regularly for the monitoring and reporting system to retain its accuracy.</t>
    </r>
  </si>
  <si>
    <r>
      <rPr>
        <rFont val="Times New Roman"/>
        <b/>
        <color theme="1"/>
        <sz val="12.0"/>
      </rPr>
      <t>GWP (Global Warming Potential)</t>
    </r>
    <r>
      <rPr>
        <rFont val="Times New Roman"/>
        <b val="0"/>
        <color theme="1"/>
        <sz val="12.0"/>
      </rPr>
      <t xml:space="preserve"> is a value based on the amount that a given GHG contributes to Global Warming. All GWP’s are typically based on a 100 yr time horizon, which is somewhat putative, given the 5-200 yr atmospheric life span of a CO2 molecule (IPCC, 2001, “Observed Changes in Globally Well-Mixed Greenhouse Gas Concentrations and Radiative Forcing.” http://www.grida.no/climate/ipcc_tar/wg1/016.htm). For examples of GWP’s see: US EPA. 2006. "Non-CO2 Gasses Economic Analysis and Inventory: Global Warming Potentials and Atmospheric Lifetimes." http://www.epa.gov/nonco2/econ-inv/table.html.</t>
    </r>
  </si>
  <si>
    <t>GHG (Greenhouse Gas)</t>
  </si>
  <si>
    <r>
      <rPr>
        <rFont val="Times New Roman"/>
        <b/>
        <color theme="1"/>
        <sz val="12.0"/>
      </rPr>
      <t xml:space="preserve">HC (Heat Content) </t>
    </r>
    <r>
      <rPr>
        <rFont val="Times New Roman"/>
        <b val="0"/>
        <color theme="1"/>
        <sz val="12.0"/>
      </rPr>
      <t>– the amount of energy (in this case heat) contained in a given mass or volume. Eg. MMBTU/bbl of #6 Fuel oil = 6.287 MMBTU/bbl.</t>
    </r>
  </si>
  <si>
    <r>
      <rPr>
        <rFont val="Times New Roman"/>
        <b/>
        <color theme="1"/>
        <sz val="12.0"/>
      </rPr>
      <t xml:space="preserve">MTCDE (Metric Tons of Carbon Dioxide Equivalent) </t>
    </r>
    <r>
      <rPr>
        <rFont val="Times New Roman"/>
        <b val="0"/>
        <color theme="1"/>
        <sz val="12.0"/>
      </rPr>
      <t xml:space="preserve">– A metric measure used to compare the emissions from various greenhouse gases based upon their global warming potential (GWP).  The carbon dioxide equivalent for a gas is derived by multiplying the tons of the gas by the associated GWP. </t>
    </r>
  </si>
  <si>
    <r>
      <rPr>
        <rFont val="Arial"/>
        <color rgb="FF0000D4"/>
        <sz val="10.0"/>
      </rPr>
      <t>IPCC (Intergovernmental Panel on Climate Change).</t>
    </r>
    <r>
      <rPr>
        <rFont val="Arial"/>
        <color rgb="FF0000D4"/>
        <sz val="10.0"/>
        <u/>
      </rPr>
      <t xml:space="preserve"> – established in 1988 by WMO and UNEP to assess scientific, technical and socio-economic information relevant for the understanding of climate change, its potential impacts and options for adaptation and mitigation: http://www.ipcc.ch/. </t>
    </r>
  </si>
  <si>
    <t>Color Code:</t>
  </si>
  <si>
    <t xml:space="preserve">Annual Dependent Variable: factor that is susceptible to change and absolutely must be </t>
  </si>
  <si>
    <t>updated each reporting period from primary sources.</t>
  </si>
  <si>
    <t>A Midd-specific number that will need to be updated, but not necessarily annually.  In</t>
  </si>
  <si>
    <t>many cases these numbers could be replaced with more comprehensive data.</t>
  </si>
  <si>
    <t>National statistical data that should be updated or checked each year</t>
  </si>
  <si>
    <t>Totals</t>
  </si>
  <si>
    <t>Dynamic factors and coefficients used</t>
  </si>
  <si>
    <t>Middlebury College Annual Greenhouse Gas Inventory: Summary Data</t>
  </si>
  <si>
    <t>Comprehensive Summary:</t>
  </si>
  <si>
    <t>Fiscal Year:</t>
  </si>
  <si>
    <t>Normalized GHG emissions</t>
  </si>
  <si>
    <t>FY 06/07</t>
  </si>
  <si>
    <t>FY 07/08</t>
  </si>
  <si>
    <t>FY 08/09</t>
  </si>
  <si>
    <t>FY 09/10</t>
  </si>
  <si>
    <t>FY 10/11</t>
  </si>
  <si>
    <t>FY 11/12</t>
  </si>
  <si>
    <t>FY 12/13</t>
  </si>
  <si>
    <t>FY 13/14</t>
  </si>
  <si>
    <t>FY 14/15</t>
  </si>
  <si>
    <t>FY 15/16</t>
  </si>
  <si>
    <t>FY16/17</t>
  </si>
  <si>
    <t>FY17/18</t>
  </si>
  <si>
    <t>FY18/19</t>
  </si>
  <si>
    <t>FY19/20</t>
  </si>
  <si>
    <t>FY20/21</t>
  </si>
  <si>
    <t>FY21/22</t>
  </si>
  <si>
    <t>FY22/23</t>
  </si>
  <si>
    <t>MTCDE per FTE Employee and Students</t>
  </si>
  <si>
    <t>MTCDE per gross square footage</t>
  </si>
  <si>
    <t>FY06/07</t>
  </si>
  <si>
    <t>FY07/08</t>
  </si>
  <si>
    <t>FY08/09</t>
  </si>
  <si>
    <t>FY09/10</t>
  </si>
  <si>
    <t>FY10/11</t>
  </si>
  <si>
    <t>FY11/12</t>
  </si>
  <si>
    <t>FY12/13</t>
  </si>
  <si>
    <t>FY13/14</t>
  </si>
  <si>
    <t>FY14/15</t>
  </si>
  <si>
    <t>FY15/16</t>
  </si>
  <si>
    <t>Scope Total</t>
  </si>
  <si>
    <t>MTCDEs</t>
  </si>
  <si>
    <t>Scope 1</t>
  </si>
  <si>
    <t>Scope 2</t>
  </si>
  <si>
    <t>Scope 3</t>
  </si>
  <si>
    <t>Offsets Internal</t>
  </si>
  <si>
    <t>Offsets External</t>
  </si>
  <si>
    <t xml:space="preserve">Total </t>
  </si>
  <si>
    <t>Percent</t>
  </si>
  <si>
    <t>Sub-scope Total</t>
  </si>
  <si>
    <t>S1 Stationary</t>
  </si>
  <si>
    <t>S1 Mobile</t>
  </si>
  <si>
    <t>S2 Electricity</t>
  </si>
  <si>
    <t>S3 Travel</t>
  </si>
  <si>
    <r>
      <rPr>
        <rFont val="Arial"/>
        <color theme="1"/>
        <sz val="10.0"/>
      </rPr>
      <t>S3 Landfill CH</t>
    </r>
    <r>
      <rPr>
        <rFont val="Arial"/>
        <color theme="1"/>
        <sz val="10.0"/>
        <vertAlign val="subscript"/>
      </rPr>
      <t>4</t>
    </r>
  </si>
  <si>
    <t>Offsets (Internal)</t>
  </si>
  <si>
    <t>Offsets (External)</t>
  </si>
  <si>
    <t>Total</t>
  </si>
  <si>
    <r>
      <rPr>
        <rFont val="Arial"/>
        <color theme="1"/>
        <sz val="10.0"/>
      </rPr>
      <t>S3 Landfill CH</t>
    </r>
    <r>
      <rPr>
        <rFont val="Arial"/>
        <color theme="1"/>
        <sz val="10.0"/>
        <vertAlign val="subscript"/>
      </rPr>
      <t>4</t>
    </r>
  </si>
  <si>
    <t>Sub-Scope</t>
  </si>
  <si>
    <t>S1S #6 Oil</t>
  </si>
  <si>
    <t>S1S #2/Diesel</t>
  </si>
  <si>
    <t>S1S Propane</t>
  </si>
  <si>
    <t>S1S Nat Gas</t>
  </si>
  <si>
    <t>S1S Biomass (anthropogenic)</t>
  </si>
  <si>
    <t>S1M Gas</t>
  </si>
  <si>
    <t>S1M Diesel</t>
  </si>
  <si>
    <r>
      <rPr>
        <rFont val="Arial"/>
        <color theme="1"/>
        <sz val="10.0"/>
      </rPr>
      <t>S3 Landfill CH</t>
    </r>
    <r>
      <rPr>
        <rFont val="Arial"/>
        <color theme="1"/>
        <sz val="10.0"/>
        <vertAlign val="subscript"/>
      </rPr>
      <t>4</t>
    </r>
  </si>
  <si>
    <t>Emp Commute</t>
  </si>
  <si>
    <t>Offsets</t>
  </si>
  <si>
    <t>`</t>
  </si>
  <si>
    <t>S1S NatGas</t>
  </si>
  <si>
    <r>
      <rPr>
        <rFont val="Arial"/>
        <color theme="1"/>
        <sz val="10.0"/>
      </rPr>
      <t>S3 Landfill CH</t>
    </r>
    <r>
      <rPr>
        <rFont val="Arial"/>
        <color theme="1"/>
        <sz val="10.0"/>
        <vertAlign val="subscript"/>
      </rPr>
      <t>4</t>
    </r>
  </si>
  <si>
    <t>-</t>
  </si>
  <si>
    <t>MTCDEs by gas:</t>
  </si>
  <si>
    <t>GHG</t>
  </si>
  <si>
    <t>MTCDE</t>
  </si>
  <si>
    <r>
      <rPr>
        <rFont val="Arial"/>
        <color theme="1"/>
        <sz val="10.0"/>
      </rPr>
      <t>CO</t>
    </r>
    <r>
      <rPr>
        <rFont val="Arial"/>
        <color theme="1"/>
        <sz val="10.0"/>
        <vertAlign val="subscript"/>
      </rPr>
      <t>2</t>
    </r>
  </si>
  <si>
    <r>
      <rPr>
        <rFont val="Arial"/>
        <color theme="1"/>
        <sz val="10.0"/>
      </rPr>
      <t>CH</t>
    </r>
    <r>
      <rPr>
        <rFont val="Arial"/>
        <color theme="1"/>
        <sz val="10.0"/>
        <vertAlign val="subscript"/>
      </rPr>
      <t>4</t>
    </r>
  </si>
  <si>
    <r>
      <rPr>
        <rFont val="Arial"/>
        <color theme="1"/>
        <sz val="10.0"/>
      </rPr>
      <t>N</t>
    </r>
    <r>
      <rPr>
        <rFont val="Arial"/>
        <color theme="1"/>
        <sz val="10.0"/>
        <vertAlign val="subscript"/>
      </rPr>
      <t>2</t>
    </r>
    <r>
      <rPr>
        <rFont val="Arial"/>
        <color theme="1"/>
        <sz val="10.0"/>
      </rPr>
      <t>O</t>
    </r>
  </si>
  <si>
    <r>
      <rPr>
        <rFont val="Arial"/>
        <color theme="1"/>
        <sz val="10.0"/>
      </rPr>
      <t>CO</t>
    </r>
    <r>
      <rPr>
        <rFont val="Arial"/>
        <color theme="1"/>
        <sz val="10.0"/>
        <vertAlign val="subscript"/>
      </rPr>
      <t>2</t>
    </r>
  </si>
  <si>
    <r>
      <rPr>
        <rFont val="Arial"/>
        <color theme="1"/>
        <sz val="10.0"/>
      </rPr>
      <t>CH</t>
    </r>
    <r>
      <rPr>
        <rFont val="Arial"/>
        <color theme="1"/>
        <sz val="10.0"/>
        <vertAlign val="subscript"/>
      </rPr>
      <t>4</t>
    </r>
  </si>
  <si>
    <r>
      <rPr>
        <rFont val="Arial"/>
        <color theme="1"/>
        <sz val="10.0"/>
      </rPr>
      <t>N</t>
    </r>
    <r>
      <rPr>
        <rFont val="Arial"/>
        <color theme="1"/>
        <sz val="10.0"/>
        <vertAlign val="subscript"/>
      </rPr>
      <t>2</t>
    </r>
    <r>
      <rPr>
        <rFont val="Arial"/>
        <color theme="1"/>
        <sz val="10.0"/>
      </rPr>
      <t>O</t>
    </r>
  </si>
  <si>
    <t>Middlebury College Annual Greenhouse Gas Inventory: Scope 1 Summary</t>
  </si>
  <si>
    <t>MTCDEs by Fuel Source:</t>
  </si>
  <si>
    <t>Source</t>
  </si>
  <si>
    <t>#6 Fuel Oil</t>
  </si>
  <si>
    <t>#2 and Diesel</t>
  </si>
  <si>
    <t>Propane</t>
  </si>
  <si>
    <t>Natural Gas</t>
  </si>
  <si>
    <t>Anthropogenic Biomass</t>
  </si>
  <si>
    <t>Stationary TOTAL:</t>
  </si>
  <si>
    <t>Gas</t>
  </si>
  <si>
    <t>Diesel</t>
  </si>
  <si>
    <t>Mobile TOTAL:</t>
  </si>
  <si>
    <t>Scope 1 TOTAL:</t>
  </si>
  <si>
    <t>Biogenic emissions (biomass)</t>
  </si>
  <si>
    <t>EPA</t>
  </si>
  <si>
    <t>Extensive Data Stationary</t>
  </si>
  <si>
    <t>Extensive Data Mobile</t>
  </si>
  <si>
    <t>Middlebury College Annual Greenhouse Gas Inventory: Scope 2 Summary</t>
  </si>
  <si>
    <t>MTCDEs by Electricity Source:</t>
  </si>
  <si>
    <t>Co-Generation</t>
  </si>
  <si>
    <t>Wind</t>
  </si>
  <si>
    <t>Solar</t>
  </si>
  <si>
    <r>
      <rPr>
        <rFont val="Arial"/>
        <color theme="1"/>
        <sz val="10.0"/>
      </rPr>
      <t>CH</t>
    </r>
    <r>
      <rPr>
        <rFont val="Arial"/>
        <color theme="1"/>
        <sz val="10.0"/>
        <vertAlign val="subscript"/>
      </rPr>
      <t>4</t>
    </r>
    <r>
      <rPr>
        <rFont val="Arial"/>
        <color theme="1"/>
        <sz val="10.0"/>
      </rPr>
      <t xml:space="preserve"> digestion</t>
    </r>
  </si>
  <si>
    <t>Biomass</t>
  </si>
  <si>
    <t>Hydro</t>
  </si>
  <si>
    <t>Nuclear</t>
  </si>
  <si>
    <t>Coal</t>
  </si>
  <si>
    <t>#1, 2, &amp; 4 Fuel Oil</t>
  </si>
  <si>
    <t>#5 &amp; 6 Fuel Oil</t>
  </si>
  <si>
    <t>Other (assume NPCC grid)</t>
  </si>
  <si>
    <t>Scope 2 TOTAL</t>
  </si>
  <si>
    <t xml:space="preserve">*Note that this table shows MTCDEs. The zeros in columns associated with carbon neutral sources of electricity therefore do not necessarily mean that none of the College's electricity came from that source. </t>
  </si>
  <si>
    <t>Extensive Data Electrcity</t>
  </si>
  <si>
    <t>Middlebury College Annual Greenhouse Gas Inventory: Scope 3 Summary</t>
  </si>
  <si>
    <t>MTCDEs by Scope 3 Source:</t>
  </si>
  <si>
    <t>Sources:</t>
  </si>
  <si>
    <t>Mileage</t>
  </si>
  <si>
    <t>Taxis</t>
  </si>
  <si>
    <t>Bus</t>
  </si>
  <si>
    <t>Airplanes</t>
  </si>
  <si>
    <t>Trains</t>
  </si>
  <si>
    <t>Travel TOTAL:</t>
  </si>
  <si>
    <t>Landfill Methane</t>
  </si>
  <si>
    <r>
      <rPr>
        <rFont val="Arial"/>
        <color theme="1"/>
        <sz val="10.0"/>
      </rPr>
      <t>CH</t>
    </r>
    <r>
      <rPr>
        <rFont val="Arial"/>
        <color theme="1"/>
        <sz val="10.0"/>
        <vertAlign val="subscript"/>
      </rPr>
      <t>4</t>
    </r>
    <r>
      <rPr>
        <rFont val="Arial"/>
        <color theme="1"/>
        <sz val="10.0"/>
      </rPr>
      <t xml:space="preserve"> EF w/out Recovery (MTCE/ton)</t>
    </r>
  </si>
  <si>
    <r>
      <rPr>
        <rFont val="Arial"/>
        <color theme="1"/>
        <sz val="10.0"/>
      </rPr>
      <t>CH</t>
    </r>
    <r>
      <rPr>
        <rFont val="Arial"/>
        <color theme="1"/>
        <sz val="10.0"/>
        <vertAlign val="subscript"/>
      </rPr>
      <t>4</t>
    </r>
    <r>
      <rPr>
        <rFont val="Arial"/>
        <color theme="1"/>
        <sz val="10.0"/>
      </rPr>
      <t xml:space="preserve"> EF w/ Recovery (MTCE/ton)</t>
    </r>
  </si>
  <si>
    <r>
      <rPr>
        <rFont val="Arial"/>
        <color theme="1"/>
        <sz val="10.0"/>
      </rPr>
      <t>CH</t>
    </r>
    <r>
      <rPr>
        <rFont val="Arial"/>
        <color theme="1"/>
        <sz val="10.0"/>
        <vertAlign val="subscript"/>
      </rPr>
      <t>4</t>
    </r>
    <r>
      <rPr>
        <rFont val="Arial"/>
        <color theme="1"/>
        <sz val="10.0"/>
      </rPr>
      <t xml:space="preserve"> EF w/ LFGE (MTCE/ton)</t>
    </r>
  </si>
  <si>
    <t>Short Tons Solid Waste</t>
  </si>
  <si>
    <r>
      <rPr>
        <rFont val="Arial"/>
        <color theme="1"/>
        <sz val="10.0"/>
      </rPr>
      <t>Tonnes CH</t>
    </r>
    <r>
      <rPr>
        <rFont val="Arial"/>
        <color theme="1"/>
        <sz val="10.0"/>
        <vertAlign val="subscript"/>
      </rPr>
      <t>4</t>
    </r>
  </si>
  <si>
    <t>Need to update waste/recycle totals</t>
  </si>
  <si>
    <r>
      <rPr>
        <rFont val="Arial"/>
        <b/>
        <color theme="1"/>
        <sz val="10.0"/>
      </rPr>
      <t>MTCDEs from Landfill CH</t>
    </r>
    <r>
      <rPr>
        <rFont val="Arial"/>
        <b/>
        <color theme="1"/>
        <sz val="10.0"/>
        <vertAlign val="subscript"/>
      </rPr>
      <t>4</t>
    </r>
    <r>
      <rPr>
        <rFont val="Arial"/>
        <b/>
        <color theme="1"/>
        <sz val="10.0"/>
      </rPr>
      <t xml:space="preserve"> </t>
    </r>
  </si>
  <si>
    <t>Scope 3 TOTAL</t>
  </si>
  <si>
    <t>Extensive Data Travel</t>
  </si>
  <si>
    <t>Extensive Data Landfill</t>
  </si>
  <si>
    <t>This section includes emissions from all stationary combustion of fossil fuels purchased by the institution and combusted within the geographic and control boundaries established in the introduction</t>
  </si>
  <si>
    <r>
      <rPr>
        <rFont val="Arial"/>
        <b/>
        <color theme="1"/>
        <sz val="12.0"/>
        <u/>
      </rPr>
      <t>Summary data</t>
    </r>
    <r>
      <rPr>
        <rFont val="Arial"/>
        <b val="0"/>
        <color theme="1"/>
        <sz val="10.0"/>
        <u/>
      </rPr>
      <t xml:space="preserve"> (MTCDE emssions from biomass summarized below, see note below)</t>
    </r>
  </si>
  <si>
    <t>MTCDEs by Fiscal Year</t>
  </si>
  <si>
    <t>FY 16/17</t>
  </si>
  <si>
    <t>FY 17/18</t>
  </si>
  <si>
    <t>FY 18/19</t>
  </si>
  <si>
    <t>FY 19/20</t>
  </si>
  <si>
    <t>FY 20/21</t>
  </si>
  <si>
    <t>FY 21/22</t>
  </si>
  <si>
    <t>FY 22/23</t>
  </si>
  <si>
    <t>Renewable Natural Gas</t>
  </si>
  <si>
    <t>Biomass (Anthropogenic only)</t>
  </si>
  <si>
    <t>TOTAL:</t>
  </si>
  <si>
    <t>Value/EF</t>
  </si>
  <si>
    <r>
      <rPr>
        <rFont val="Arial"/>
        <color theme="1"/>
        <sz val="10.0"/>
      </rPr>
      <t xml:space="preserve">#6 Fuel Oil (gal) </t>
    </r>
    <r>
      <rPr>
        <rFont val="Arial"/>
        <color rgb="FFDD0806"/>
        <sz val="10.0"/>
      </rPr>
      <t>*</t>
    </r>
  </si>
  <si>
    <t>MMBTUs of fuel</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</si>
  <si>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</si>
  <si>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</si>
  <si>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</si>
  <si>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</si>
  <si>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</si>
  <si>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#6 Fuel Oil</t>
  </si>
  <si>
    <t>#2 Fuel Oil / Off Road Diesel</t>
  </si>
  <si>
    <r>
      <rPr>
        <rFont val="Arial"/>
        <color theme="1"/>
        <sz val="10.0"/>
      </rPr>
      <t xml:space="preserve">Straight #2 Fuel Oil (gal) </t>
    </r>
    <r>
      <rPr>
        <rFont val="Arial"/>
        <color rgb="FFDD0806"/>
        <sz val="10.0"/>
      </rPr>
      <t>*</t>
    </r>
  </si>
  <si>
    <r>
      <rPr>
        <rFont val="Arial"/>
        <color theme="1"/>
        <sz val="10.0"/>
      </rPr>
      <t xml:space="preserve">B-20 Bioheat (gal) </t>
    </r>
    <r>
      <rPr>
        <rFont val="Arial"/>
        <color rgb="FFDD0806"/>
        <sz val="10.0"/>
      </rPr>
      <t>*</t>
    </r>
  </si>
  <si>
    <r>
      <rPr>
        <rFont val="Arial"/>
        <color theme="1"/>
        <sz val="10.0"/>
      </rPr>
      <t xml:space="preserve">Off-Road Diesel (inc. blends) </t>
    </r>
    <r>
      <rPr>
        <rFont val="Arial"/>
        <color rgb="FFDD0806"/>
        <sz val="10.0"/>
      </rPr>
      <t>*</t>
    </r>
  </si>
  <si>
    <t>Total Bioheat</t>
  </si>
  <si>
    <t>Total #2 Fuel (gal)</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</si>
  <si>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</si>
  <si>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</si>
  <si>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</si>
  <si>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</si>
  <si>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</si>
  <si>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#2 / diesel</t>
  </si>
  <si>
    <r>
      <rPr>
        <rFont val="Arial"/>
        <color theme="1"/>
        <sz val="10.0"/>
      </rPr>
      <t xml:space="preserve">Propane (gal) </t>
    </r>
    <r>
      <rPr>
        <rFont val="Arial"/>
        <color rgb="FFDD0806"/>
        <sz val="10.0"/>
      </rPr>
      <t>*</t>
    </r>
  </si>
  <si>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</si>
  <si>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</si>
  <si>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</si>
  <si>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</si>
  <si>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</si>
  <si>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propane</t>
  </si>
  <si>
    <t>NatGas (MCF)</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</si>
  <si>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</si>
  <si>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</si>
  <si>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</si>
  <si>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</si>
  <si>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</si>
  <si>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natural gas</t>
  </si>
  <si>
    <t>Renewable Natural Gas/biomethne</t>
  </si>
  <si>
    <t>Renewabkle NatGas (MCF)</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</si>
  <si>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</si>
  <si>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</si>
  <si>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</si>
  <si>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</si>
  <si>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</si>
  <si>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r>
      <rPr>
        <rFont val="Arial"/>
        <b/>
        <color theme="1"/>
        <sz val="12.0"/>
        <u/>
      </rPr>
      <t xml:space="preserve">Biomass </t>
    </r>
    <r>
      <rPr>
        <rFont val="Arial"/>
        <b val="0"/>
        <color theme="1"/>
        <sz val="10.0"/>
        <u/>
      </rPr>
      <t>(Note: CO2 emissions not included in totals per EPA/DOE/GHG Protocol determination that biogenic sources are carbon neutral)</t>
    </r>
  </si>
  <si>
    <t>Chips Gassified (Short Tons)</t>
  </si>
  <si>
    <t>Dry Wood Weight (short tons)</t>
  </si>
  <si>
    <t>CO2 Emissions (kg)</t>
  </si>
  <si>
    <t>CO2 Emissions (Metric Tons)</t>
  </si>
  <si>
    <t>CH4 Emissions (g)</t>
  </si>
  <si>
    <t>CH4 Emissions (Metric Tons)</t>
  </si>
  <si>
    <t>CH4 Emissions (MTCDE)</t>
  </si>
  <si>
    <t>N2O Emissions (g)</t>
  </si>
  <si>
    <t>N2O Emissions (Metric Tons)</t>
  </si>
  <si>
    <t>N2O Emissions (MTCDE)</t>
  </si>
  <si>
    <t>Biogenic Emissions - CO2 (MTCDE)</t>
  </si>
  <si>
    <t>Anthropogenic Emissions - CH4, N20 (MTCDE)</t>
  </si>
  <si>
    <t>ΣMTCDE from wood (EPA)</t>
  </si>
  <si>
    <t>Formulaic numbers:</t>
  </si>
  <si>
    <t>Standard coefficients:</t>
  </si>
  <si>
    <t>barrels/gallon (1/42)</t>
  </si>
  <si>
    <r>
      <rPr>
        <rFont val="Arial"/>
        <b/>
        <i/>
        <color theme="1"/>
        <sz val="10.0"/>
      </rPr>
      <t>tonne/gram (1/1x10</t>
    </r>
    <r>
      <rPr>
        <rFont val="Arial"/>
        <b/>
        <i/>
        <color theme="1"/>
        <sz val="10.0"/>
        <vertAlign val="superscript"/>
      </rPr>
      <t>6</t>
    </r>
    <r>
      <rPr>
        <rFont val="Arial"/>
        <b/>
        <i/>
        <color theme="1"/>
        <sz val="10.0"/>
      </rPr>
      <t>)</t>
    </r>
  </si>
  <si>
    <t>Tonne/kg (1/1,000)</t>
  </si>
  <si>
    <r>
      <rPr>
        <rFont val="Arial"/>
        <b/>
        <color theme="1"/>
        <sz val="10.0"/>
      </rPr>
      <t>CH</t>
    </r>
    <r>
      <rPr>
        <rFont val="Arial"/>
        <b/>
        <color theme="1"/>
        <sz val="10.0"/>
        <vertAlign val="subscript"/>
      </rPr>
      <t>4</t>
    </r>
    <r>
      <rPr>
        <rFont val="Arial"/>
        <b/>
        <color theme="1"/>
        <sz val="10.0"/>
      </rPr>
      <t xml:space="preserve"> GWP</t>
    </r>
  </si>
  <si>
    <t>N2O GWP</t>
  </si>
  <si>
    <t>#6 Fuel Oil:</t>
  </si>
  <si>
    <t>MMBTU/gal #6 EF</t>
  </si>
  <si>
    <r>
      <rPr>
        <rFont val="Arial"/>
        <b/>
        <color theme="1"/>
        <sz val="10.0"/>
      </rPr>
      <t>Tonnes CO</t>
    </r>
    <r>
      <rPr>
        <rFont val="Arial"/>
        <b/>
        <color theme="1"/>
        <sz val="10.0"/>
        <vertAlign val="subscript"/>
      </rPr>
      <t>2</t>
    </r>
    <r>
      <rPr>
        <rFont val="Arial"/>
        <b/>
        <color theme="1"/>
        <sz val="10.0"/>
      </rPr>
      <t>/gal #6 EF</t>
    </r>
  </si>
  <si>
    <t>HC (MMBTU/bbl)</t>
  </si>
  <si>
    <t>CCC (kg C/ MMBTU)</t>
  </si>
  <si>
    <t>Fraction Oxidized</t>
  </si>
  <si>
    <r>
      <rPr>
        <rFont val="Arial"/>
        <b/>
        <color theme="1"/>
        <sz val="10.0"/>
      </rPr>
      <t>MW ratio (kg CO</t>
    </r>
    <r>
      <rPr>
        <rFont val="Arial"/>
        <b/>
        <color theme="1"/>
        <sz val="10.0"/>
        <vertAlign val="subscript"/>
      </rPr>
      <t>2</t>
    </r>
    <r>
      <rPr>
        <rFont val="Arial"/>
        <b/>
        <color theme="1"/>
        <sz val="10.0"/>
      </rPr>
      <t>/kg C)</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</si>
  <si>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</si>
  <si>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</si>
  <si>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t>#2 Fuel Oil/Off Road Diesel:</t>
  </si>
  <si>
    <t>MMBTU/gal #2 EF</t>
  </si>
  <si>
    <r>
      <rPr>
        <rFont val="Arial"/>
        <b/>
        <color theme="1"/>
        <sz val="10.0"/>
      </rPr>
      <t>Tonnes CO</t>
    </r>
    <r>
      <rPr>
        <rFont val="Arial"/>
        <b/>
        <color theme="1"/>
        <sz val="10.0"/>
        <vertAlign val="subscript"/>
      </rPr>
      <t>2</t>
    </r>
    <r>
      <rPr>
        <rFont val="Arial"/>
        <b/>
        <color theme="1"/>
        <sz val="10.0"/>
      </rPr>
      <t>/gal #2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</si>
  <si>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</si>
  <si>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</si>
  <si>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t>Propane:</t>
  </si>
  <si>
    <t>MMBTU/gal propane EF</t>
  </si>
  <si>
    <r>
      <rPr>
        <rFont val="Arial"/>
        <b/>
        <color theme="1"/>
        <sz val="10.0"/>
      </rPr>
      <t>Tonnes CO</t>
    </r>
    <r>
      <rPr>
        <rFont val="Arial"/>
        <b/>
        <color theme="1"/>
        <sz val="10.0"/>
        <vertAlign val="subscript"/>
      </rPr>
      <t>2</t>
    </r>
    <r>
      <rPr>
        <rFont val="Arial"/>
        <b/>
        <color theme="1"/>
        <sz val="10.0"/>
      </rPr>
      <t>/gal propane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</si>
  <si>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</si>
  <si>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</si>
  <si>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t>EPA Climate Leaders 2016 Default Emissions factors</t>
  </si>
  <si>
    <t>EPA Factors</t>
  </si>
  <si>
    <t>BERC Factor</t>
  </si>
  <si>
    <t>Fuel</t>
  </si>
  <si>
    <t>Heat Content (HHV)</t>
  </si>
  <si>
    <t>MMBTU/lb wood EF</t>
  </si>
  <si>
    <t>(mmBtu/ton)</t>
  </si>
  <si>
    <t>(g CH4/ton)</t>
  </si>
  <si>
    <r>
      <rPr>
        <rFont val="Arial"/>
        <b/>
        <color theme="1"/>
        <sz val="10.0"/>
      </rPr>
      <t>Tonnes CO</t>
    </r>
    <r>
      <rPr>
        <rFont val="Arial"/>
        <b/>
        <color theme="1"/>
        <sz val="10.0"/>
        <vertAlign val="subscript"/>
      </rPr>
      <t>2</t>
    </r>
    <r>
      <rPr>
        <rFont val="Arial"/>
        <b/>
        <color theme="1"/>
        <sz val="10.0"/>
      </rPr>
      <t>/lb wood EF</t>
    </r>
  </si>
  <si>
    <t>BERC</t>
  </si>
  <si>
    <t>HC (MMBTU/ton)</t>
  </si>
  <si>
    <t>at 0% MC</t>
  </si>
  <si>
    <t>Wood and wood Residuals</t>
  </si>
  <si>
    <t>Biomass Energy Resource Center Emissions Factor for Woodchips</t>
  </si>
  <si>
    <r>
      <rPr>
        <rFont val="Arial"/>
        <b/>
        <color theme="1"/>
        <sz val="10.0"/>
      </rPr>
      <t>CH</t>
    </r>
    <r>
      <rPr>
        <rFont val="Arial"/>
        <b/>
        <color theme="1"/>
        <sz val="10.0"/>
        <vertAlign val="subscript"/>
      </rPr>
      <t>4</t>
    </r>
    <r>
      <rPr>
        <rFont val="Arial"/>
        <b/>
        <color theme="1"/>
        <sz val="10.0"/>
      </rPr>
      <t xml:space="preserve"> EF (g gas/MMBTU)</t>
    </r>
  </si>
  <si>
    <t xml:space="preserve"> lbs CO2/mmBtu</t>
  </si>
  <si>
    <r>
      <rPr>
        <rFont val="Arial"/>
        <b/>
        <color theme="1"/>
        <sz val="10.0"/>
      </rPr>
      <t>N</t>
    </r>
    <r>
      <rPr>
        <rFont val="Arial"/>
        <b/>
        <color theme="1"/>
        <sz val="10.0"/>
        <vertAlign val="subscript"/>
      </rPr>
      <t>2</t>
    </r>
    <r>
      <rPr>
        <rFont val="Arial"/>
        <b/>
        <color theme="1"/>
        <sz val="10.0"/>
      </rPr>
      <t>O EF (g gas/MMBTU)</t>
    </r>
  </si>
  <si>
    <t xml:space="preserve">Future metrics </t>
  </si>
  <si>
    <t>Kerosene</t>
  </si>
  <si>
    <t>kgCO2/mmbtu for hardwood at 45% mc</t>
  </si>
  <si>
    <t>Tonnes CO2/gal kerosene EF</t>
  </si>
  <si>
    <t>*From EPA's 'Emisson factors for GHG inventories' 2011</t>
  </si>
  <si>
    <t>tonneCO2/lb wood</t>
  </si>
  <si>
    <t>HC (MMBTU/McF)</t>
  </si>
  <si>
    <t>Tonnes CO2/McF NatGas EF</t>
  </si>
  <si>
    <t>CCC (kg C/MMBTU)</t>
  </si>
  <si>
    <t>Fraction oxidized</t>
  </si>
  <si>
    <t>CH4 EF (g CH4/MMBTU)</t>
  </si>
  <si>
    <t>N2O EF (g N2O/MMBTU)</t>
  </si>
  <si>
    <t>Need to check NG values against RNG values and update if needed.</t>
  </si>
  <si>
    <t>EIA</t>
  </si>
  <si>
    <r>
      <rPr>
        <rFont val="Arial"/>
        <b/>
        <color theme="1"/>
        <sz val="10.0"/>
      </rPr>
      <t>Pounds CO</t>
    </r>
    <r>
      <rPr>
        <rFont val="Arial"/>
        <b/>
        <color theme="1"/>
        <sz val="10.0"/>
        <vertAlign val="subscript"/>
      </rPr>
      <t>2</t>
    </r>
  </si>
  <si>
    <r>
      <rPr>
        <rFont val="Arial"/>
        <b/>
        <color theme="1"/>
        <sz val="10.0"/>
      </rPr>
      <t>Kilograms CO</t>
    </r>
    <r>
      <rPr>
        <rFont val="Arial"/>
        <b/>
        <color theme="1"/>
        <sz val="10.0"/>
        <vertAlign val="subscript"/>
      </rPr>
      <t>2</t>
    </r>
  </si>
  <si>
    <r>
      <rPr>
        <rFont val="Arial"/>
        <b/>
        <color theme="1"/>
        <sz val="10.0"/>
      </rPr>
      <t>Pounds CO</t>
    </r>
    <r>
      <rPr>
        <rFont val="Arial"/>
        <b/>
        <color theme="1"/>
        <sz val="10.0"/>
        <vertAlign val="subscript"/>
      </rPr>
      <t>2</t>
    </r>
  </si>
  <si>
    <r>
      <rPr>
        <rFont val="Arial"/>
        <b/>
        <color theme="1"/>
        <sz val="10.0"/>
      </rPr>
      <t>Kilograms CO</t>
    </r>
    <r>
      <rPr>
        <rFont val="Arial"/>
        <b/>
        <color theme="1"/>
        <sz val="10.0"/>
        <vertAlign val="subscript"/>
      </rPr>
      <t>2</t>
    </r>
  </si>
  <si>
    <r>
      <rPr>
        <rFont val="Arial"/>
        <b/>
        <color theme="1"/>
        <sz val="10.0"/>
      </rPr>
      <t>Carbon Dioxide (CO</t>
    </r>
    <r>
      <rPr>
        <rFont val="Arial"/>
        <b/>
        <color theme="1"/>
        <sz val="10.0"/>
        <vertAlign val="subscript"/>
      </rPr>
      <t>2</t>
    </r>
    <r>
      <rPr>
        <rFont val="Arial"/>
        <b/>
        <color theme="1"/>
        <sz val="10.0"/>
      </rPr>
      <t>) Factors:</t>
    </r>
  </si>
  <si>
    <t>Per Thousand Cubic Feet</t>
  </si>
  <si>
    <t>Per Thousand Cu. Ft.</t>
  </si>
  <si>
    <t>Million Btu</t>
  </si>
  <si>
    <t>https://www.eia.gov/environment/emissions/co2_vol_mass.cfm</t>
  </si>
  <si>
    <t>In 2015, the average heat content of natural gas for the residential, commercial, and industrial sectors was about 1,032 Btu per cf; one Ccf = 103,200 Btu or 1.032 therms; one Mcf = 1.032 MMBtu or 10.32 therms.</t>
  </si>
  <si>
    <t>This section includes emissions from all stationary combustion of fossil fuels purchsed by the institution and combusted within the geographic and control boundaries established in the introduction.</t>
  </si>
  <si>
    <r>
      <rPr>
        <rFont val="Arial"/>
        <b/>
        <color theme="1"/>
        <sz val="10.0"/>
      </rPr>
      <t>Figure S1.1.</t>
    </r>
    <r>
      <rPr>
        <rFont val="Arial"/>
        <b val="0"/>
        <color theme="1"/>
        <sz val="10.0"/>
      </rPr>
      <t xml:space="preserve"> Key for Scope 1 Stationary Carbon Dioxide Calculations. Source: EPA Climate Leaders. 2004. "Core Module Guidance: Direct Emissions from Stationary Combustion Sources." pp 5. &lt;http://www.epa.gov/climateleaders/docs/stationarycombustionguidance.pdf &gt;</t>
    </r>
  </si>
  <si>
    <r>
      <rPr>
        <rFont val="Arial"/>
        <b/>
        <color theme="1"/>
        <sz val="10.0"/>
      </rPr>
      <t>Figure S1.2.</t>
    </r>
    <r>
      <rPr>
        <rFont val="Arial"/>
        <b val="0"/>
        <color theme="1"/>
        <sz val="10.0"/>
      </rPr>
      <t xml:space="preserve"> Key for Scope 1 Stationary Methane and Nitrous Oxide Calculations. Source: EPA Climate Leaders. 2004. "Core Module Guidance: Direct Emissions from Stationary Combustion Sources." pp 7. &lt;http://www.epa.gov/climateleaders/docs/stationarycombustionguidance.pdf &gt;</t>
    </r>
  </si>
  <si>
    <t>Higher heating values (HHV) are used. FY01/02-FY05/06: EPA Climate Leaders. 2008. "Core Module Guidance: Direct Emissions from Stationary Combustion Sources." pp 23. &lt;http://www.epa.gov/climateleaders/documents/resources/stationarycombustionguidance.pdf&gt; [SG 08]</t>
  </si>
  <si>
    <t>EPA Climate Leaders. 2008. "Core Module Guidance: Direct Emissions from Stationary Combustion Sources." pp 23. &lt;http://www.epa.gov/climateleaders/documents/resources/stationarycombustionguidance.pdf&gt; [SG 08]</t>
  </si>
  <si>
    <t>MW ratio (kg CO2/kg C)</t>
  </si>
  <si>
    <t>Mollecular Weights are accepted as chemical standards. Value = ((12.011+2*16.000)/12.011) [BB 07]</t>
  </si>
  <si>
    <r>
      <rPr>
        <rFont val="Arial"/>
        <color theme="1"/>
      </rPr>
      <t>CH</t>
    </r>
    <r>
      <rPr>
        <rFont val="Arial"/>
        <color theme="1"/>
        <sz val="10.0"/>
        <vertAlign val="subscript"/>
      </rPr>
      <t>4</t>
    </r>
    <r>
      <rPr>
        <rFont val="Arial"/>
        <color theme="1"/>
        <sz val="10.0"/>
      </rPr>
      <t xml:space="preserve"> EF (g gas/MMBTU)</t>
    </r>
  </si>
  <si>
    <t>Based on HHV and residential/commercial efficiency. EPA Climate Leaders. 2008. "Core Module Guidance: Direct Emissions from Stationary Combustion Sources." pp 20. &lt;http://www.epa.gov/climateleaders/documents/resources/stationarycombustionguidance.pdf&gt; [SG 08]</t>
  </si>
  <si>
    <r>
      <rPr>
        <rFont val="Arial"/>
        <color theme="1"/>
      </rPr>
      <t>CH</t>
    </r>
    <r>
      <rPr>
        <rFont val="Arial"/>
        <color theme="1"/>
        <sz val="10.0"/>
        <vertAlign val="subscript"/>
      </rPr>
      <t>4</t>
    </r>
    <r>
      <rPr>
        <rFont val="Arial"/>
        <color theme="1"/>
        <sz val="10.0"/>
      </rPr>
      <t xml:space="preserve"> GWP</t>
    </r>
  </si>
  <si>
    <r>
      <rPr>
        <rFont val="Arial"/>
        <color theme="1"/>
        <sz val="10.0"/>
      </rPr>
      <t>Global Warming Potential (GWP) based on 100 yr time horizon: US EPA. 2006. "Non-CO</t>
    </r>
    <r>
      <rPr>
        <rFont val="Arial"/>
        <color theme="1"/>
        <sz val="10.0"/>
        <vertAlign val="subscript"/>
      </rPr>
      <t>2</t>
    </r>
    <r>
      <rPr>
        <rFont val="Arial"/>
        <color theme="1"/>
        <sz val="10.0"/>
      </rPr>
      <t xml:space="preserve"> Gases Economic Analysis and Inventory: Global Warming Potentials and Atmospheric Lifetimes." &lt;</t>
    </r>
    <r>
      <rPr>
        <rFont val="Arial"/>
        <b/>
        <color rgb="FFDD0806"/>
        <sz val="10.0"/>
      </rPr>
      <t>http://www.epa.gov/nonco2/econ-inv/table.html</t>
    </r>
    <r>
      <rPr>
        <rFont val="Arial"/>
        <color theme="1"/>
        <sz val="10.0"/>
      </rPr>
      <t>&gt;  [BB 07]</t>
    </r>
  </si>
  <si>
    <r>
      <rPr>
        <rFont val="Arial"/>
        <color theme="1"/>
      </rPr>
      <t>N</t>
    </r>
    <r>
      <rPr>
        <rFont val="Arial"/>
        <color theme="1"/>
        <sz val="10.0"/>
        <vertAlign val="subscript"/>
      </rPr>
      <t>2</t>
    </r>
    <r>
      <rPr>
        <rFont val="Arial"/>
        <color theme="1"/>
        <sz val="10.0"/>
      </rPr>
      <t>O EF (g gas/MMBTU)</t>
    </r>
  </si>
  <si>
    <t>Based on HHV and industrial efficiency. EPA Climate Leaders. 2004. "Core Module Guidance: Direct Emissions from Stationary Combustion Sources." pp 20. &lt;http://www.epa.gov/climateleaders/documents/resources/stationarycombustionguidance.pdf&gt; [SG 08]</t>
  </si>
  <si>
    <r>
      <rPr>
        <rFont val="Arial"/>
        <color theme="1"/>
      </rPr>
      <t>CH</t>
    </r>
    <r>
      <rPr>
        <rFont val="Arial"/>
        <color theme="1"/>
        <sz val="10.0"/>
        <vertAlign val="subscript"/>
      </rPr>
      <t>4</t>
    </r>
    <r>
      <rPr>
        <rFont val="Arial"/>
        <color theme="1"/>
        <sz val="10.0"/>
      </rPr>
      <t xml:space="preserve"> EF (g gas/MMBTU)</t>
    </r>
  </si>
  <si>
    <t>Based on HHV and industrial efficiency. EPA Climate Leaders. 2008. "Core Module Guidance: Direct Emissions from Stationary Combustion Sources." pp 20. &lt;http://www.epa.gov/climateleaders/documents/resources/stationarycombustionguidance.pdf&gt; [SG 08]</t>
  </si>
  <si>
    <r>
      <rPr>
        <rFont val="Arial"/>
        <color theme="1"/>
      </rPr>
      <t>N</t>
    </r>
    <r>
      <rPr>
        <rFont val="Arial"/>
        <color theme="1"/>
        <sz val="10.0"/>
        <vertAlign val="subscript"/>
      </rPr>
      <t>2</t>
    </r>
    <r>
      <rPr>
        <rFont val="Arial"/>
        <color theme="1"/>
        <sz val="10.0"/>
      </rPr>
      <t>O GWP</t>
    </r>
  </si>
  <si>
    <r>
      <rPr>
        <rFont val="Arial"/>
        <color theme="1"/>
        <sz val="10.0"/>
      </rPr>
      <t>Global Warming Potential (GWP) based on 100 yr time horizon: US EPA. 2006. "Non-CO</t>
    </r>
    <r>
      <rPr>
        <rFont val="Arial"/>
        <color theme="1"/>
        <sz val="10.0"/>
        <vertAlign val="subscript"/>
      </rPr>
      <t>2</t>
    </r>
    <r>
      <rPr>
        <rFont val="Arial"/>
        <color theme="1"/>
        <sz val="10.0"/>
      </rPr>
      <t xml:space="preserve"> Gases Economic Analysis and Inventory: Global Warming Potentials and Atmospheric Lifetimes." </t>
    </r>
    <r>
      <rPr>
        <rFont val="Arial"/>
        <b/>
        <color rgb="FFDD0806"/>
        <sz val="10.0"/>
      </rPr>
      <t>&lt;http://www.epa.gov/nonco2/econ-inv/table.html</t>
    </r>
    <r>
      <rPr>
        <rFont val="Arial"/>
        <color theme="1"/>
        <sz val="10.0"/>
      </rPr>
      <t>&gt; [BB 07]</t>
    </r>
  </si>
  <si>
    <t>Unit Conversion</t>
  </si>
  <si>
    <t>#6 Fuel Oil (gal)</t>
  </si>
  <si>
    <t>Collected annually by Director of Facilities Services, Central Heating/Utilities: Mike Moser and Customer Service Coordinator: Jen Pottinger. [BB 07/AB 09]</t>
  </si>
  <si>
    <t>Calculated from sourced data</t>
  </si>
  <si>
    <t>Tonnes CO2/gal #6 EF</t>
  </si>
  <si>
    <t>Straight #2 Fuel Oil (gal)</t>
  </si>
  <si>
    <t>B-5 Bioheat (gal)</t>
  </si>
  <si>
    <t>B-20 Bioheat (gal)</t>
  </si>
  <si>
    <t>Off-Road Diesel (inc. blends)</t>
  </si>
  <si>
    <t>Tonnes CO2/gal #2 EF</t>
  </si>
  <si>
    <t>Propane (gal)</t>
  </si>
  <si>
    <t>Tonnes CO2/gal propane EF</t>
  </si>
  <si>
    <t>Notes on source reproduction:</t>
  </si>
  <si>
    <t>For #6, #2, and Diesel:</t>
  </si>
  <si>
    <t>HC values were originally published in U.S. Department of Energy, Energy Information Administration. 2003. “Annual Energy Review 2002,” DOE/EIA 0384(2002), Washington, DC, October 2003.</t>
  </si>
  <si>
    <t>Carbon Content Coefficients and Fractions Oxidized were found in US EPA. 2004. “Inventory of U.S. Greenhouse Gas Emissions and Sinks:” 1990-2002, EPA430-R-04-003, U.S. EPA, Washington, DC, April 2004.</t>
  </si>
  <si>
    <t>For Propane:</t>
  </si>
  <si>
    <t>HC and Carbon Content Coefficients values were originally published in Guthrie, V.B. (ed.). 1960 Characteristics of Compounds, Petroleum Products Handbook. New York, NY: Mcgraw Hill. pp 3.</t>
  </si>
  <si>
    <t>Carbon Content Coefficient values and Fractions Oxidized were calculated based on the findings of US EPA. 2004. “Inventory of U.S. Greenhouse Gas Emissions and Sinks:” 1990-2002, EPA430-R-04-003, U.S. EPA, Washington, DC, April 2004.</t>
  </si>
  <si>
    <t>For Biomass:</t>
  </si>
  <si>
    <t>HC, EF and CCC values from:EPA Center for Corporate Climate Leadership: Greenhouse Gas Inventory Guidance
Direct Emissions from Stationary Combustion Sources. June 2016</t>
  </si>
  <si>
    <t>https://www.epa.gov/sites/production/files/2016-03/documents/stationaryemissions_3_2016.pdf</t>
  </si>
  <si>
    <t>and</t>
  </si>
  <si>
    <t> SUMMARY OF CARBON EMISSION IMPACTS OF MODERN WOOD HEATING IN NORTHEASTERN US </t>
  </si>
  <si>
    <t>Biomass Energy Resource Center</t>
  </si>
  <si>
    <t>http://www.biomasscenter.org/pdfs/veic-carbon-emission-and-modern-wood-heating-summary.pdf</t>
  </si>
  <si>
    <t>This 29.58 value is derived by adding the upstream emissions factor of 8.1 with 21.48 (10% of the total 214.8 emissions factor). The approach presented above intends to err on the side of being conservative because, in addition to factoring the upstream emissions, it also acknowledges the possibility that not all wood fuel sourced for any given project may come from forest management that achieves full regeneration within 20-100 years. </t>
  </si>
  <si>
    <t>For 2020 update of biomass calculations by Gabe Desmond '20.5:</t>
  </si>
  <si>
    <t>A few notes:</t>
  </si>
  <si>
    <t>As noted in the document, I feel quite confident in the values for emissions (on site combustion) and upstream. The values for sequestration are much more of an estimate and I wouldn’t recommend you widely use these without such a disclaimer.</t>
  </si>
  <si>
    <t>Beyond the ‘biomass accounting’ tab, I went into the ‘Scope 1A Stationary’ tab and updated the sheet with my new methodology. It’s quite similar to what was there before except it now accounts for the fact that 40% of the weight of the wood is water (as Adam pointed out) and uses slightly more updated EPA factors. This means the emissions are about 40% less than what we had previously calculated.</t>
  </si>
  <si>
    <t>Lastly, because we had not been accounting for anthropogenic (CH4, N20) emissions from biomass up until now (we should have been as biomass is only carbon neutral, not GHG neutral) I went ahead and added an anthropogenic biomass row in the ‘Scope 1A Stationary’ tab. I also went in and added this over to the ‘Summary Scope 1’ and ‘Summary’ tabs so that it is consistent throughout the GHG inventory.</t>
  </si>
  <si>
    <t>Going forward, simply inputting tons of woodchips in the ‘Scope 1A Stationary’ tab is all the needs to be done for proper GHG accounting. The addition upstream and sequestration equations are just in the ‘biomass accounting’ tab for knowledge but we shouldn’t actually report them.</t>
  </si>
  <si>
    <t xml:space="preserve">I’ve also attached the Clean Energy Development Fund’s 2-pager on wood heating in Vermont that Adam sent us. I recommend circulating this if folks have concerns about biomass in the area. It does a great, succinct job of explaining how biomass in VT is renewable and can be done sustainably. Adam said it hasn’t been published yet but it will be posted here eventually: </t>
  </si>
  <si>
    <t>https://publicservice.vermont.gov/renewable_energy/cedf/reports</t>
  </si>
  <si>
    <t>NOTE: While the Combustion and Upstream numbers are in the ball park, the associated sequestrations are an estimate at best. Serious additional research and verification should be done before using the sequestration numbers</t>
  </si>
  <si>
    <t>Biomass Emissions By Fiscal Year</t>
  </si>
  <si>
    <t>FY  15/16</t>
  </si>
  <si>
    <t>Citations/Reasoning</t>
  </si>
  <si>
    <t>NOTE: the FY 18/19 calculations are based on the most recent emissions numbers. Prior years are backwards calculated using many of those same emissions factors. As such, prior years are only meant to be an estimate.</t>
  </si>
  <si>
    <t>Combustion (scope 1) MTCDE</t>
  </si>
  <si>
    <t>Upstream emissions (scope 3) MTCDE</t>
  </si>
  <si>
    <t>Gross Forest Sequestration MTCDE</t>
  </si>
  <si>
    <t>TOTAL MTCDE:</t>
  </si>
  <si>
    <t>Input factors (annual)</t>
  </si>
  <si>
    <t>Tons of chips gassified:</t>
  </si>
  <si>
    <t>Data from Jenn Pottinger</t>
  </si>
  <si>
    <t># of chip deliveries:</t>
  </si>
  <si>
    <t>NOTE: FY 18/19 data is exact. For back-calculated previous years, it is assumed that deliveries contained roughly 30 tons of chips. This means that the exact nmber of trips is an estimate</t>
  </si>
  <si>
    <t>Combustion:</t>
  </si>
  <si>
    <t>Chips gassified at Midd (short tons):</t>
  </si>
  <si>
    <t>input factor</t>
  </si>
  <si>
    <t>assumes water weight of 45%</t>
  </si>
  <si>
    <t>From EPA data</t>
  </si>
  <si>
    <t>https://www.epa.gov/sites/production/files/2015-07/documents/emission-factors_2014.pdf</t>
  </si>
  <si>
    <t>1000 kg in a metric ton</t>
  </si>
  <si>
    <t>1,000,000 g in a metric ton</t>
  </si>
  <si>
    <t>Assumes a 100-year GWP of 25</t>
  </si>
  <si>
    <t>Assumes a 100-year GWP of 298</t>
  </si>
  <si>
    <t>Total MTCDE:</t>
  </si>
  <si>
    <t>Sum of CO2, CH4, and N20</t>
  </si>
  <si>
    <t>Upstream Emissions:</t>
  </si>
  <si>
    <t>From Chris Acker (who’s very in touch with Lathrop logging process).  For a single 30 ton load of chips of Midd:  log cutter operates about ½ hour and consumes 5 gallons of diesel.  Skidder operates for about 1 hour and consumes 5 gallons of diesel.  Assume about 10 gallons to load a log truck in wood and drive truck to Lathrop mill in Bristol, and unload truck at mill.  Assume about 5 gallons to chip 30 tons of logs at mill.  Assume another 5 misc gallons to load chip truck at mill and other parts of operation.  So…. 30 gallons of diesel / 30 tons of chips from harvest to loaded truck at mill ready for delivery to College</t>
  </si>
  <si>
    <t>Number of deliveries (about 30 tons of wood each)</t>
  </si>
  <si>
    <t>Harvesting:</t>
  </si>
  <si>
    <t>Diesel (gallons) used in log cutter operating for 1/2 hour</t>
  </si>
  <si>
    <t>See above note from Acker Excavating</t>
  </si>
  <si>
    <t>Diesel (gallons) used in skidder operating for 1 hour</t>
  </si>
  <si>
    <t>Transportation:</t>
  </si>
  <si>
    <t>Harvest site to Lathrop (diesel gallons)</t>
  </si>
  <si>
    <t>Lathrop to Midd (diesel gallons)</t>
  </si>
  <si>
    <t>Chipping:</t>
  </si>
  <si>
    <t>Chipping 30 tons of logs (diesel gallons)</t>
  </si>
  <si>
    <t>total gallons of diesel per delivery:</t>
  </si>
  <si>
    <t>TOTAL annual diesel consumption (gallons)</t>
  </si>
  <si>
    <t>Metric Ton of CO2 Released</t>
  </si>
  <si>
    <t>https://www.epa.gov/energy/greenhouse-gases-equivalencies-calculator-calculations-and-references</t>
  </si>
  <si>
    <t>Metric Tons of CH4 Released</t>
  </si>
  <si>
    <t>This data uses the emissions factor derived from Middlebury's Scope 1 Stationary combustion sheet. Please see scope 1 methodology for more information</t>
  </si>
  <si>
    <t>MTCDE, CH4</t>
  </si>
  <si>
    <t>Metric Tons of N20 Released</t>
  </si>
  <si>
    <t>Please see above note on scope 1 methodology for more information</t>
  </si>
  <si>
    <t>MTCDE, N20</t>
  </si>
  <si>
    <t>Sequestration:</t>
  </si>
  <si>
    <t>Tons of chips harvested for Midd Biomass:</t>
  </si>
  <si>
    <t>Total harvest in Vermont (cords)</t>
  </si>
  <si>
    <t>https://fpr.vermont.gov/sites/fpr/files/Forest_and_Forestry/Forest_Based_Business/Library/2018%20HARVEST_RPT_FINAL.pdf</t>
  </si>
  <si>
    <t>green tons per cord</t>
  </si>
  <si>
    <t>Total harvest in Vermont (green tons)</t>
  </si>
  <si>
    <t>Percent of VT harvest for Midd:</t>
  </si>
  <si>
    <t>Annual net sequestration in VT MTCDE</t>
  </si>
  <si>
    <t>SEE NOTE FROM ADAM SHERMAN. Only accounts for above ground biomass. From Adam: "this number comes from all 4.5 million acres of timberland in Vermont. In reality, only a subset of this total acreage is under active managment and would see periodic harvest jobs. (needs to exclude 20-35% of timberland area due to high elevations, steep slopes, ownership attitudes, stream buffers, deer yards, etc.)"</t>
  </si>
  <si>
    <t>https://www.fs.fed.us/nrs/pubs/ru/ru_fs119.pdf</t>
  </si>
  <si>
    <t>Relative sequestration to Middlebury's consumption</t>
  </si>
  <si>
    <t>Percent of growth related to harvests:</t>
  </si>
  <si>
    <t>This is a 'maximum' assumption. In reality, it is incredibly difficult to know how much carbon sequestration is a direct result of the wood products industry. From Adam Sherman: "This will require some explaining. I think I understand what is being attempted here. Perhaps a better way is to look at total harvest over the total amanaged acres to assess average per acre harvest intensity and then assign the number acres to Middlebury purpotionate to their consumption."</t>
  </si>
  <si>
    <t>Total Net MTCDE sequestered</t>
  </si>
  <si>
    <t>This is net sequestration (total sequestration - harvests). In other words, this is how much is sequestered AFTER carbon neutrality</t>
  </si>
  <si>
    <t>Total MTCDE in removals</t>
  </si>
  <si>
    <t>Gross sequestration (MTCDE)</t>
  </si>
  <si>
    <t>Scope 1, Part B: Direct Emissions from Mobile Combustion</t>
  </si>
  <si>
    <t>This section includes emissions from all mobile combustion of fossil fuels purchased by the institution combusted within all vehicles owned and controlled by the institution as established in the introduction.</t>
  </si>
  <si>
    <t>Summary data</t>
  </si>
  <si>
    <t>MTCDEs by year</t>
  </si>
  <si>
    <t>FY010/11</t>
  </si>
  <si>
    <t>Gasoline Fueled Vehicles</t>
  </si>
  <si>
    <t>Σ Scope 1 Gas = campus gas + off campus gas</t>
  </si>
  <si>
    <t xml:space="preserve"> </t>
  </si>
  <si>
    <t>On- Campus Gasoline/ 10% Ethanol (gal)</t>
  </si>
  <si>
    <r>
      <rPr>
        <rFont val="Arial"/>
        <color theme="1"/>
        <sz val="10.0"/>
      </rPr>
      <t xml:space="preserve">On-Campus Gasoline (gal) </t>
    </r>
    <r>
      <rPr>
        <rFont val="Arial"/>
        <color rgb="FFDD0806"/>
        <sz val="10.0"/>
      </rPr>
      <t>*</t>
    </r>
  </si>
  <si>
    <t>Total On-Campus Gasoline (gal)</t>
  </si>
  <si>
    <r>
      <rPr>
        <rFont val="Arial"/>
        <b/>
        <color theme="1"/>
        <sz val="10.0"/>
      </rPr>
      <t>Metric Tonnes CO</t>
    </r>
    <r>
      <rPr>
        <rFont val="Arial"/>
        <b/>
        <color theme="1"/>
        <sz val="10.0"/>
        <vertAlign val="subscript"/>
      </rPr>
      <t>2</t>
    </r>
  </si>
  <si>
    <t>Putative Vehicle mi/gal</t>
  </si>
  <si>
    <t>Gas Vehicle Activity miles</t>
  </si>
  <si>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</si>
  <si>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</si>
  <si>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</si>
  <si>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</si>
  <si>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Gasoline</t>
  </si>
  <si>
    <t>Diesel Fueled Vehicles</t>
  </si>
  <si>
    <r>
      <rPr>
        <rFont val="Arial"/>
        <color theme="1"/>
        <sz val="10.0"/>
      </rPr>
      <t xml:space="preserve">Straight on-road diesel (gal) </t>
    </r>
    <r>
      <rPr>
        <rFont val="Arial"/>
        <color rgb="FFDD0806"/>
        <sz val="10.0"/>
      </rPr>
      <t>*</t>
    </r>
  </si>
  <si>
    <r>
      <rPr>
        <rFont val="Arial"/>
        <color theme="1"/>
        <sz val="10.0"/>
      </rPr>
      <t xml:space="preserve">B-20 Biodiesel (gal) </t>
    </r>
    <r>
      <rPr>
        <rFont val="Arial"/>
        <color rgb="FFDD0806"/>
        <sz val="10.0"/>
      </rPr>
      <t>*</t>
    </r>
  </si>
  <si>
    <t>Total Biodiesel</t>
  </si>
  <si>
    <t>Total diesel (gal)</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</si>
  <si>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</si>
  <si>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</si>
  <si>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</si>
  <si>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</si>
  <si>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</si>
  <si>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diesel:</t>
  </si>
  <si>
    <t>tonne/kg (1/1,000)</t>
  </si>
  <si>
    <r>
      <rPr>
        <rFont val="Arial"/>
        <b/>
        <i/>
        <color theme="1"/>
        <sz val="10.0"/>
      </rPr>
      <t>tonne/gram (1/1x10</t>
    </r>
    <r>
      <rPr>
        <rFont val="Arial"/>
        <b/>
        <i/>
        <color theme="1"/>
        <sz val="10.0"/>
        <vertAlign val="superscript"/>
      </rPr>
      <t>6</t>
    </r>
    <r>
      <rPr>
        <rFont val="Arial"/>
        <b/>
        <i/>
        <color theme="1"/>
        <sz val="10.0"/>
      </rPr>
      <t>)</t>
    </r>
  </si>
  <si>
    <r>
      <rPr>
        <rFont val="Arial"/>
        <b/>
        <color theme="1"/>
        <sz val="10.0"/>
      </rPr>
      <t>CH</t>
    </r>
    <r>
      <rPr>
        <rFont val="Arial"/>
        <b/>
        <color theme="1"/>
        <sz val="10.0"/>
        <vertAlign val="subscript"/>
      </rPr>
      <t>4</t>
    </r>
    <r>
      <rPr>
        <rFont val="Arial"/>
        <b/>
        <color theme="1"/>
        <sz val="10.0"/>
      </rPr>
      <t xml:space="preserve"> GWP</t>
    </r>
  </si>
  <si>
    <r>
      <rPr>
        <rFont val="Arial"/>
        <b/>
        <color theme="1"/>
        <sz val="10.0"/>
      </rPr>
      <t>N</t>
    </r>
    <r>
      <rPr>
        <rFont val="Arial"/>
        <b/>
        <color theme="1"/>
        <sz val="10.0"/>
        <vertAlign val="subscript"/>
      </rPr>
      <t>2</t>
    </r>
    <r>
      <rPr>
        <rFont val="Arial"/>
        <b/>
        <color theme="1"/>
        <sz val="10.0"/>
      </rPr>
      <t>O GWP</t>
    </r>
  </si>
  <si>
    <t>Gasoline Fueled Vehicles:</t>
  </si>
  <si>
    <t>MMBTU/gal gas EF</t>
  </si>
  <si>
    <r>
      <rPr>
        <rFont val="Arial"/>
        <b/>
        <color theme="1"/>
        <sz val="10.0"/>
      </rPr>
      <t>Tonnes CO</t>
    </r>
    <r>
      <rPr>
        <rFont val="Arial"/>
        <b/>
        <color theme="1"/>
        <sz val="10.0"/>
        <vertAlign val="subscript"/>
      </rPr>
      <t>2</t>
    </r>
    <r>
      <rPr>
        <rFont val="Arial"/>
        <b/>
        <color theme="1"/>
        <sz val="10.0"/>
      </rPr>
      <t>/gal gas EF</t>
    </r>
  </si>
  <si>
    <r>
      <rPr>
        <rFont val="Arial"/>
        <b/>
        <color theme="1"/>
        <sz val="10.0"/>
      </rPr>
      <t>CH</t>
    </r>
    <r>
      <rPr>
        <rFont val="Arial"/>
        <b/>
        <color theme="1"/>
        <sz val="10.0"/>
        <vertAlign val="subscript"/>
      </rPr>
      <t>4</t>
    </r>
    <r>
      <rPr>
        <rFont val="Arial"/>
        <b/>
        <color theme="1"/>
        <sz val="10.0"/>
      </rPr>
      <t xml:space="preserve"> EF (g gas/mile)</t>
    </r>
  </si>
  <si>
    <r>
      <rPr>
        <rFont val="Arial"/>
        <b/>
        <color theme="1"/>
        <sz val="10.0"/>
      </rPr>
      <t>N</t>
    </r>
    <r>
      <rPr>
        <rFont val="Arial"/>
        <b/>
        <color theme="1"/>
        <sz val="10.0"/>
        <vertAlign val="subscript"/>
      </rPr>
      <t>2</t>
    </r>
    <r>
      <rPr>
        <rFont val="Arial"/>
        <b/>
        <color theme="1"/>
        <sz val="10.0"/>
      </rPr>
      <t>O EF (g gas/mile)</t>
    </r>
  </si>
  <si>
    <r>
      <rPr>
        <rFont val="Arial"/>
        <b/>
        <color theme="1"/>
        <sz val="10.0"/>
      </rPr>
      <t>MW ratio (kg CO</t>
    </r>
    <r>
      <rPr>
        <rFont val="Arial"/>
        <b/>
        <color theme="1"/>
        <sz val="10.0"/>
        <vertAlign val="subscript"/>
      </rPr>
      <t>2</t>
    </r>
    <r>
      <rPr>
        <rFont val="Arial"/>
        <b/>
        <color theme="1"/>
        <sz val="10.0"/>
      </rPr>
      <t>/kg C)</t>
    </r>
  </si>
  <si>
    <t>Diesel Fueled Vehicles:</t>
  </si>
  <si>
    <t>MMBTU/gal diesel EF</t>
  </si>
  <si>
    <r>
      <rPr>
        <rFont val="Arial"/>
        <b/>
        <color theme="1"/>
        <sz val="10.0"/>
      </rPr>
      <t>Tonnes CO</t>
    </r>
    <r>
      <rPr>
        <rFont val="Arial"/>
        <b/>
        <color theme="1"/>
        <sz val="10.0"/>
        <vertAlign val="subscript"/>
      </rPr>
      <t>2</t>
    </r>
    <r>
      <rPr>
        <rFont val="Arial"/>
        <b/>
        <color theme="1"/>
        <sz val="10.0"/>
      </rPr>
      <t>/gal diesel EF</t>
    </r>
  </si>
  <si>
    <r>
      <rPr>
        <rFont val="Arial"/>
        <b/>
        <color theme="1"/>
        <sz val="10.0"/>
      </rPr>
      <t>CH</t>
    </r>
    <r>
      <rPr>
        <rFont val="Arial"/>
        <b/>
        <color theme="1"/>
        <sz val="10.0"/>
        <vertAlign val="subscript"/>
      </rPr>
      <t>4</t>
    </r>
    <r>
      <rPr>
        <rFont val="Arial"/>
        <b/>
        <color theme="1"/>
        <sz val="10.0"/>
      </rPr>
      <t xml:space="preserve"> EF (g gas/mile)</t>
    </r>
  </si>
  <si>
    <r>
      <rPr>
        <rFont val="Arial"/>
        <b/>
        <color theme="1"/>
        <sz val="10.0"/>
      </rPr>
      <t>N</t>
    </r>
    <r>
      <rPr>
        <rFont val="Arial"/>
        <b/>
        <color theme="1"/>
        <sz val="10.0"/>
        <vertAlign val="subscript"/>
      </rPr>
      <t>2</t>
    </r>
    <r>
      <rPr>
        <rFont val="Arial"/>
        <b/>
        <color theme="1"/>
        <sz val="10.0"/>
      </rPr>
      <t>O EF (g gas/mile)</t>
    </r>
  </si>
  <si>
    <r>
      <rPr>
        <rFont val="Arial"/>
        <b/>
        <color theme="1"/>
        <sz val="10.0"/>
      </rPr>
      <t>MW ratio (kg CO</t>
    </r>
    <r>
      <rPr>
        <rFont val="Arial"/>
        <b/>
        <color theme="1"/>
        <sz val="10.0"/>
        <vertAlign val="subscript"/>
      </rPr>
      <t>2</t>
    </r>
    <r>
      <rPr>
        <rFont val="Arial"/>
        <b/>
        <color theme="1"/>
        <sz val="10.0"/>
      </rPr>
      <t>/kg C)</t>
    </r>
  </si>
  <si>
    <t>This section includes emissions from all mobile combustion of fossil fuels purchsed by the institution combusted within all vehicles owned and controlled by the institution as established in the introduction.</t>
  </si>
  <si>
    <r>
      <rPr>
        <rFont val="Arial"/>
        <b/>
        <color theme="1"/>
        <sz val="10.0"/>
      </rPr>
      <t>Figure S1.3.</t>
    </r>
    <r>
      <rPr>
        <rFont val="Arial"/>
        <b val="0"/>
        <color theme="1"/>
        <sz val="10.0"/>
      </rPr>
      <t xml:space="preserve"> Key for Scope 1 Mobile Carbon Dioxide Calculations. Source: EPA Climate Leaders. 2004. "Core Module Guidance: Direct Emissions from Mobile Combustion Sources." pp 5. &lt;http://www.epa.gov/climateleaders/docs/mobilesourceguidance.pdf&gt;</t>
    </r>
  </si>
  <si>
    <r>
      <rPr>
        <rFont val="Arial"/>
        <b/>
        <color theme="1"/>
        <sz val="10.0"/>
      </rPr>
      <t xml:space="preserve">Figure S1.4. </t>
    </r>
    <r>
      <rPr>
        <rFont val="Arial"/>
        <b val="0"/>
        <color theme="1"/>
        <sz val="10.0"/>
      </rPr>
      <t>Key for Scope 1 Mobile Methane and Nitrous Oxide Calculations. Source: EPA Climate Leaders. 2004. "Core Module Guidance: Direct Emissions from Mobile Combustion Sources." pp 7. &lt;http://www.epa.gov/climateleaders/docs/mobilesourceguidance.pdf&gt;</t>
    </r>
  </si>
  <si>
    <t>Higher heating values (HHV) are used. EPA Climate Leaders. 2008. "Core Module Guidance: Direct Emissions from Mobile Combustion Sources." pp 30. &lt;http://www.epa.gov/climateleaders/documents/resources/mobilesource_guidance.pdf&gt; [SG 08]</t>
  </si>
  <si>
    <t>EPA Climate Leaders. 2004. "Core Module Guidance: Direct Emissions from Mobile Combustion Sources." pp 30. &lt;http://www.epa.gov/climateleaders/documents/resources/mobilesource_guidance.pdf&gt; [SG 08]</t>
  </si>
  <si>
    <t>Mollecular Weights are accepted as chemical standards. Value = ((12.011+2*16.000)/12.011) [zbb 07]</t>
  </si>
  <si>
    <r>
      <rPr>
        <rFont val="Arial"/>
        <color theme="1"/>
      </rPr>
      <t>CH</t>
    </r>
    <r>
      <rPr>
        <rFont val="Arial"/>
        <color theme="1"/>
        <sz val="10.0"/>
        <vertAlign val="subscript"/>
      </rPr>
      <t>4</t>
    </r>
    <r>
      <rPr>
        <rFont val="Arial"/>
        <color theme="1"/>
        <sz val="10.0"/>
      </rPr>
      <t xml:space="preserve"> EF (g gas/MMBTU)</t>
    </r>
  </si>
  <si>
    <t>Based on 1985-1986 EF's for heavy duty vehicles (most conservative values). EPA Climate Leaders. 2008. "Core Module Guidance: Direct Emissions from Mobile Combustion Sources." pp 25. &lt;http://www.epa.gov/climateleaders/documents/resources/mobilesource_guidance.pdf &gt; [SG 08]</t>
  </si>
  <si>
    <r>
      <rPr>
        <rFont val="Arial"/>
        <color theme="1"/>
      </rPr>
      <t>CH</t>
    </r>
    <r>
      <rPr>
        <rFont val="Arial"/>
        <color theme="1"/>
        <sz val="10.0"/>
        <vertAlign val="subscript"/>
      </rPr>
      <t>4</t>
    </r>
    <r>
      <rPr>
        <rFont val="Arial"/>
        <color theme="1"/>
        <sz val="10.0"/>
      </rPr>
      <t xml:space="preserve"> GWP</t>
    </r>
  </si>
  <si>
    <r>
      <rPr>
        <rFont val="Arial"/>
        <color theme="1"/>
        <sz val="10.0"/>
      </rPr>
      <t>Global Warming Potential (GWP) based on 100 yr time horizon: US EPA. 2006. "Non-CO</t>
    </r>
    <r>
      <rPr>
        <rFont val="Arial"/>
        <color theme="1"/>
        <sz val="10.0"/>
        <vertAlign val="subscript"/>
      </rPr>
      <t>2</t>
    </r>
    <r>
      <rPr>
        <rFont val="Arial"/>
        <color theme="1"/>
        <sz val="10.0"/>
      </rPr>
      <t xml:space="preserve"> Gasses Economic Analysis and Inventory: Global Warming Potentials and Atmospheric Lifetimes." &lt;http://www.epa.gov/nonco2/econ-inv/table.html&gt;  [BB 07]</t>
    </r>
  </si>
  <si>
    <r>
      <rPr>
        <rFont val="Arial"/>
        <color theme="1"/>
      </rPr>
      <t>N</t>
    </r>
    <r>
      <rPr>
        <rFont val="Arial"/>
        <color theme="1"/>
        <sz val="10.0"/>
        <vertAlign val="subscript"/>
      </rPr>
      <t>2</t>
    </r>
    <r>
      <rPr>
        <rFont val="Arial"/>
        <color theme="1"/>
        <sz val="10.0"/>
      </rPr>
      <t>O EF (g gas/MMBTU)</t>
    </r>
  </si>
  <si>
    <t>Based on 1996 EF's for heavy duty vehicles (most conservative values). EPA Climate Leaders. 2008. "Core Module Guidance: Direct Emissions from Mobile Combustion Sources." pp 25. &lt;http://www.epa.gov/climateleaders/documents/resources/mobilesource_guidance.pdf &gt; [SG 08]</t>
  </si>
  <si>
    <r>
      <rPr>
        <rFont val="Arial"/>
        <color theme="1"/>
      </rPr>
      <t>N</t>
    </r>
    <r>
      <rPr>
        <rFont val="Arial"/>
        <color theme="1"/>
        <sz val="10.0"/>
        <vertAlign val="subscript"/>
      </rPr>
      <t>2</t>
    </r>
    <r>
      <rPr>
        <rFont val="Arial"/>
        <color theme="1"/>
        <sz val="10.0"/>
      </rPr>
      <t>O GWP</t>
    </r>
  </si>
  <si>
    <r>
      <rPr>
        <rFont val="Arial"/>
        <color theme="1"/>
        <sz val="10.0"/>
      </rPr>
      <t>Global Warming Potential (GWP) based on 100 yr time horizon: US EPA. 2006. "Non-CO</t>
    </r>
    <r>
      <rPr>
        <rFont val="Arial"/>
        <color theme="1"/>
        <sz val="10.0"/>
        <vertAlign val="subscript"/>
      </rPr>
      <t>2</t>
    </r>
    <r>
      <rPr>
        <rFont val="Arial"/>
        <color theme="1"/>
        <sz val="10.0"/>
      </rPr>
      <t xml:space="preserve"> Gasses Economic Analysis and Inventory: Global Warming Potentials and Atmospheric Lifetimes." &lt;http://www.epa.gov/nonco2/econ-inv/table.html&gt;  [BB 07]</t>
    </r>
  </si>
  <si>
    <t>Factors determining off campus gas calculations:</t>
  </si>
  <si>
    <t>Car tank size (gal)</t>
  </si>
  <si>
    <t>2005-2008 Toyota Camrys used as case studies (6 cyl 3 L): &lt;http://www.fueleconomy.gov/feg/noframes/20932.shtml&gt; [JK 06]</t>
  </si>
  <si>
    <t>Car ave miles/gal</t>
  </si>
  <si>
    <t>15/11-pass. van tank size (gal)</t>
  </si>
  <si>
    <t>2005-2008 Chevrolet 15 passenger vans used as case studies (8 cyl 5.3 L 2WD 15/25 conversion - least efficient): &lt;http://www.fueleconomy.gov/feg/noframes/21193.shtml&gt; [JK 06]</t>
  </si>
  <si>
    <t>15/11-pass. van ave miles/gal</t>
  </si>
  <si>
    <t>2005-2008 Chevrolet 15 passenger vans used as case studies (8 cyl 5.3 L 2WD 15/25 conversion ): &lt;http://www.fueleconomy.gov/feg/noframes/21193.shtml&gt; [JK 06]</t>
  </si>
  <si>
    <t>Mini-van tank size (gal)</t>
  </si>
  <si>
    <t>2004-2008 Dodge Caravans used as case studies (3.8 L): &lt;http://www.fueleconomy.gov/feg/noframes/21230.shtml&gt; [JK 06]</t>
  </si>
  <si>
    <t>Mini-van ave miles/gal</t>
  </si>
  <si>
    <t>Off-Campus Gasoline (gal)</t>
  </si>
  <si>
    <t>Conservatively extrapolated from data based on rental mileage records and the above mi/gal and fuel tank data. Collected annually by Carol Quenneville, Vehicle Fleet Coordinator, Facilities. [SG 08]</t>
  </si>
  <si>
    <t>On-Campus Gasoline (gal)</t>
  </si>
  <si>
    <r>
      <rPr>
        <rFont val="Arial"/>
        <color theme="1"/>
      </rPr>
      <t>Tonnes CO</t>
    </r>
    <r>
      <rPr>
        <rFont val="Arial"/>
        <color theme="1"/>
        <sz val="10.0"/>
        <vertAlign val="subscript"/>
      </rPr>
      <t>2</t>
    </r>
    <r>
      <rPr>
        <rFont val="Arial"/>
        <color theme="1"/>
        <sz val="10.0"/>
      </rPr>
      <t>/gal gas EF</t>
    </r>
  </si>
  <si>
    <t>Putitive Vehicle mi/gal</t>
  </si>
  <si>
    <t>2005-07 Toyota Camrys used as case studies (6 cyl 3 L): &lt;http://www.fueleconomy.gov/feg/noframes/20932.shtml&gt; [JK 06]</t>
  </si>
  <si>
    <t>Straight on-road diesel (gal)</t>
  </si>
  <si>
    <t>B-5 Biodiesel (gal)</t>
  </si>
  <si>
    <t>B-20 Biodiesel (gal)</t>
  </si>
  <si>
    <r>
      <rPr>
        <rFont val="Arial"/>
        <color theme="1"/>
      </rPr>
      <t>Tonnes CO</t>
    </r>
    <r>
      <rPr>
        <rFont val="Arial"/>
        <color theme="1"/>
        <sz val="10.0"/>
        <vertAlign val="subscript"/>
      </rPr>
      <t>2</t>
    </r>
    <r>
      <rPr>
        <rFont val="Arial"/>
        <color theme="1"/>
        <sz val="10.0"/>
      </rPr>
      <t>/gal diesel EF</t>
    </r>
  </si>
  <si>
    <t>Toyota Camrys used as case studies (6 cyl 3 L): &lt;http://www.fueleconomy.gov/feg/noframes/20932.shtml&gt; [JK 06]</t>
  </si>
  <si>
    <t>Methane and Nitrous oxide EF’s are based on highway vehicle EFs taken directly from US EPA. 2004. “Inventory of U.S. Greenhouse Gas Emissions and Sinks:” 1990-2002, EPA430-R-04-003, U.S. EPA, Washington, DC, April 2004, as are CCC’s and FO factors. FO values of .99 are also recommended by  IPCC guidelines.</t>
  </si>
  <si>
    <t>HC values were originally published in U.S. Department of Energy, Energy Information Administration. 2003. “Annual Energy Review 2002,” DOE/EIA 0384(2002), , Washington, DC, October 2003.</t>
  </si>
  <si>
    <t>Scope 2: Indirect Emissions from Electricity Purchases</t>
  </si>
  <si>
    <t>This section includes emissions from all stationary combustion of fossil fuels done in direct proportion to an energy source purchased by the institution; i.e. purchased electricity and steam generated outside the geographic/control boundaries set in the introduction, yet consumed within them.</t>
  </si>
  <si>
    <t>Calculating kWH of Carbon Emitting Electricity Sources</t>
  </si>
  <si>
    <t>Value</t>
  </si>
  <si>
    <r>
      <rPr>
        <rFont val="Arial"/>
        <color theme="1"/>
        <sz val="10.0"/>
      </rPr>
      <t xml:space="preserve">Total kWh from GMP </t>
    </r>
    <r>
      <rPr>
        <rFont val="Arial"/>
        <color rgb="FFDD0806"/>
        <sz val="10.0"/>
      </rPr>
      <t>*</t>
    </r>
  </si>
  <si>
    <r>
      <rPr>
        <rFont val="Arial"/>
        <color theme="1"/>
        <sz val="10.0"/>
      </rPr>
      <t xml:space="preserve">GMP kWh excluded </t>
    </r>
    <r>
      <rPr>
        <rFont val="Arial"/>
        <color rgb="FFDD0806"/>
        <sz val="10.0"/>
      </rPr>
      <t>*</t>
    </r>
  </si>
  <si>
    <r>
      <rPr>
        <rFont val="Arial"/>
        <color theme="1"/>
        <sz val="10.0"/>
      </rPr>
      <t>GMP kWh from CH</t>
    </r>
    <r>
      <rPr>
        <rFont val="Arial"/>
        <color theme="1"/>
        <sz val="10.0"/>
        <vertAlign val="subscript"/>
      </rPr>
      <t>4</t>
    </r>
    <r>
      <rPr>
        <rFont val="Arial"/>
        <color theme="1"/>
        <sz val="10.0"/>
      </rPr>
      <t xml:space="preserve"> dig.(Cowpower) </t>
    </r>
    <r>
      <rPr>
        <rFont val="Arial"/>
        <color rgb="FFDD0806"/>
        <sz val="10.0"/>
      </rPr>
      <t>◊</t>
    </r>
  </si>
  <si>
    <r>
      <rPr>
        <rFont val="Arial"/>
        <color theme="1"/>
        <sz val="10.0"/>
      </rPr>
      <t xml:space="preserve">on-campus co-gen kWH </t>
    </r>
    <r>
      <rPr>
        <rFont val="Arial"/>
        <color rgb="FFDD0806"/>
        <sz val="10.0"/>
      </rPr>
      <t>*</t>
    </r>
  </si>
  <si>
    <r>
      <rPr>
        <rFont val="Arial"/>
        <color theme="1"/>
        <sz val="10.0"/>
      </rPr>
      <t xml:space="preserve">on-campus wind kWH </t>
    </r>
    <r>
      <rPr>
        <rFont val="Arial"/>
        <color rgb="FFDD0806"/>
        <sz val="10.0"/>
      </rPr>
      <t>‡</t>
    </r>
  </si>
  <si>
    <r>
      <rPr>
        <rFont val="Arial"/>
        <color theme="1"/>
        <sz val="10.0"/>
      </rPr>
      <t xml:space="preserve">on and off-campus solar kWH </t>
    </r>
    <r>
      <rPr>
        <rFont val="Arial"/>
        <color rgb="FFDD0806"/>
        <sz val="10.0"/>
      </rPr>
      <t>‡</t>
    </r>
  </si>
  <si>
    <t>kWh used w/in boundaries</t>
  </si>
  <si>
    <t>on-campus renewable kWh</t>
  </si>
  <si>
    <t>off-campus renewable kWh</t>
  </si>
  <si>
    <t>in bounds kWh from GMP grid</t>
  </si>
  <si>
    <t>GMP* Sources as Percents:</t>
  </si>
  <si>
    <t>% Biomass</t>
  </si>
  <si>
    <t>% Hydro</t>
  </si>
  <si>
    <t>% Cow Power</t>
  </si>
  <si>
    <t>% Nuclear</t>
  </si>
  <si>
    <t>% Natural Gas</t>
  </si>
  <si>
    <t>% Coal</t>
  </si>
  <si>
    <t>% #1, 2, &amp; 4 Fuel Oil</t>
  </si>
  <si>
    <t>% #5 &amp; 6 Fuel Oil</t>
  </si>
  <si>
    <t>% Other (assume ISO-NE Grid)</t>
  </si>
  <si>
    <t>% Wind &amp; Solar</t>
  </si>
  <si>
    <t>%ISO-NE</t>
  </si>
  <si>
    <t>Should be 100:</t>
  </si>
  <si>
    <t>GMP % FF/Nuke</t>
  </si>
  <si>
    <t>GMP % Renew</t>
  </si>
  <si>
    <t>ISO-NE Generated Sources as Percents:</t>
  </si>
  <si>
    <t>% Hydro (River/pondage &amp; pumped)</t>
  </si>
  <si>
    <t>% Oil/gas</t>
  </si>
  <si>
    <t>% Wind &amp; Solar and landfill gas</t>
  </si>
  <si>
    <t>% Other (assume NPCC grid)</t>
  </si>
  <si>
    <t>ISO NE % FF</t>
  </si>
  <si>
    <t>ISO NE % Renew</t>
  </si>
  <si>
    <t>Adjusted Sources as Percents:</t>
  </si>
  <si>
    <t>Net kWh by Source:</t>
  </si>
  <si>
    <r>
      <rPr>
        <rFont val="Arial"/>
        <color theme="1"/>
        <sz val="10.0"/>
      </rPr>
      <t>CH</t>
    </r>
    <r>
      <rPr>
        <rFont val="Arial"/>
        <color theme="1"/>
        <sz val="10.0"/>
        <vertAlign val="subscript"/>
      </rPr>
      <t>4</t>
    </r>
    <r>
      <rPr>
        <rFont val="Arial"/>
        <color theme="1"/>
        <sz val="10.0"/>
      </rPr>
      <t xml:space="preserve"> digestion</t>
    </r>
  </si>
  <si>
    <t>Total kWh:</t>
  </si>
  <si>
    <t>Electricity Sources by Percent</t>
  </si>
  <si>
    <t>Co-Gen</t>
  </si>
  <si>
    <r>
      <rPr>
        <rFont val="Arial"/>
        <color theme="1"/>
        <sz val="10.0"/>
      </rPr>
      <t>CH</t>
    </r>
    <r>
      <rPr>
        <rFont val="Arial"/>
        <color theme="1"/>
        <sz val="10.0"/>
        <vertAlign val="subscript"/>
      </rPr>
      <t>4</t>
    </r>
    <r>
      <rPr>
        <rFont val="Arial"/>
        <color theme="1"/>
        <sz val="10.0"/>
      </rPr>
      <t xml:space="preserve"> digestion</t>
    </r>
  </si>
  <si>
    <t>Renewables</t>
  </si>
  <si>
    <t>FossilFuels</t>
  </si>
  <si>
    <t>%renewable co-gen</t>
  </si>
  <si>
    <t>kWh from Natural Gas</t>
  </si>
  <si>
    <t>MMBTUs of electricity</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</si>
  <si>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</si>
  <si>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</si>
  <si>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</si>
  <si>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</si>
  <si>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</si>
  <si>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Natural Gas</t>
  </si>
  <si>
    <t>kWh from Coal</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</si>
  <si>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</si>
  <si>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</si>
  <si>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</si>
  <si>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</si>
  <si>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</si>
  <si>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Coal</t>
  </si>
  <si>
    <t>kWh from Fuel Oil</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</si>
  <si>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</si>
  <si>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</si>
  <si>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</si>
  <si>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</si>
  <si>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</si>
  <si>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#1, 2, &amp; 4 Oil</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</si>
  <si>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</si>
  <si>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</si>
  <si>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</si>
  <si>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</si>
  <si>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</si>
  <si>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#5 &amp; 6 Oil</t>
  </si>
  <si>
    <t>Other - NPCC New England Grid Assumed</t>
  </si>
  <si>
    <t>kWh from NPCC</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</si>
  <si>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</si>
  <si>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</si>
  <si>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</si>
  <si>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</si>
  <si>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</si>
  <si>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NPCC-NE</t>
  </si>
  <si>
    <r>
      <rPr>
        <rFont val="Arial"/>
        <color theme="1"/>
        <sz val="10.0"/>
      </rPr>
      <t>CH</t>
    </r>
    <r>
      <rPr>
        <rFont val="Arial"/>
        <color theme="1"/>
        <sz val="10.0"/>
        <vertAlign val="subscript"/>
      </rPr>
      <t>4</t>
    </r>
    <r>
      <rPr>
        <rFont val="Arial"/>
        <color theme="1"/>
        <sz val="10.0"/>
      </rPr>
      <t xml:space="preserve"> digestion</t>
    </r>
  </si>
  <si>
    <r>
      <rPr>
        <rFont val="Arial"/>
        <b/>
        <color theme="1"/>
        <sz val="10.0"/>
      </rPr>
      <t>Σ</t>
    </r>
    <r>
      <rPr>
        <rFont val="Arial"/>
        <b/>
        <color theme="1"/>
        <sz val="10.0"/>
      </rPr>
      <t>MTCDE from Electricity:</t>
    </r>
  </si>
  <si>
    <t>MTCDE Sources by Percent</t>
  </si>
  <si>
    <r>
      <rPr>
        <rFont val="Arial"/>
        <color theme="1"/>
        <sz val="10.0"/>
      </rPr>
      <t>CH</t>
    </r>
    <r>
      <rPr>
        <rFont val="Arial"/>
        <color theme="1"/>
        <sz val="10.0"/>
        <vertAlign val="subscript"/>
      </rPr>
      <t>4</t>
    </r>
    <r>
      <rPr>
        <rFont val="Arial"/>
        <color theme="1"/>
        <sz val="10.0"/>
      </rPr>
      <t xml:space="preserve"> digestion</t>
    </r>
  </si>
  <si>
    <t>Should be 100%</t>
  </si>
  <si>
    <t>Formulaic numbers</t>
  </si>
  <si>
    <t>MWh/kWh (1/1000)</t>
  </si>
  <si>
    <t>MMBTU/kWh</t>
  </si>
  <si>
    <r>
      <rPr>
        <rFont val="Arial"/>
        <b/>
        <i/>
        <color theme="1"/>
        <sz val="10.0"/>
      </rPr>
      <t>tonne/gram (1/1x10</t>
    </r>
    <r>
      <rPr>
        <rFont val="Arial"/>
        <b/>
        <i/>
        <color theme="1"/>
        <sz val="10.0"/>
        <vertAlign val="superscript"/>
      </rPr>
      <t>6</t>
    </r>
    <r>
      <rPr>
        <rFont val="Arial"/>
        <b/>
        <i/>
        <color theme="1"/>
        <sz val="10.0"/>
      </rPr>
      <t>)</t>
    </r>
  </si>
  <si>
    <t>tonne/lb (1/2,204.6)</t>
  </si>
  <si>
    <r>
      <rPr>
        <rFont val="Arial"/>
        <b/>
        <color theme="1"/>
        <sz val="10.0"/>
      </rPr>
      <t>CH</t>
    </r>
    <r>
      <rPr>
        <rFont val="Arial"/>
        <b/>
        <color theme="1"/>
        <sz val="10.0"/>
        <vertAlign val="subscript"/>
      </rPr>
      <t>4</t>
    </r>
    <r>
      <rPr>
        <rFont val="Arial"/>
        <b/>
        <color theme="1"/>
        <sz val="10.0"/>
      </rPr>
      <t xml:space="preserve"> GWP</t>
    </r>
  </si>
  <si>
    <r>
      <rPr>
        <rFont val="Arial"/>
        <b/>
        <color theme="1"/>
        <sz val="10.0"/>
      </rPr>
      <t>N</t>
    </r>
    <r>
      <rPr>
        <rFont val="Arial"/>
        <b/>
        <color theme="1"/>
        <sz val="10.0"/>
        <vertAlign val="subscript"/>
      </rPr>
      <t>2</t>
    </r>
    <r>
      <rPr>
        <rFont val="Arial"/>
        <b/>
        <color theme="1"/>
        <sz val="10.0"/>
      </rPr>
      <t>O GWP</t>
    </r>
  </si>
  <si>
    <t>Natural Gas:</t>
  </si>
  <si>
    <r>
      <rPr>
        <rFont val="Arial"/>
        <b/>
        <color theme="1"/>
        <sz val="10.0"/>
      </rPr>
      <t>Tonnes CO</t>
    </r>
    <r>
      <rPr>
        <rFont val="Arial"/>
        <b/>
        <color theme="1"/>
        <sz val="10.0"/>
        <vertAlign val="subscript"/>
      </rPr>
      <t>2</t>
    </r>
    <r>
      <rPr>
        <rFont val="Arial"/>
        <b/>
        <color theme="1"/>
        <sz val="10.0"/>
      </rPr>
      <t>/kWh NG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</si>
  <si>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</si>
  <si>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</si>
  <si>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r>
      <rPr>
        <rFont val="Arial"/>
        <b/>
        <color theme="1"/>
        <sz val="10.0"/>
      </rPr>
      <t>MW ratio (kg CO</t>
    </r>
    <r>
      <rPr>
        <rFont val="Arial"/>
        <b/>
        <color theme="1"/>
        <sz val="10.0"/>
        <vertAlign val="subscript"/>
      </rPr>
      <t>2</t>
    </r>
    <r>
      <rPr>
        <rFont val="Arial"/>
        <b/>
        <color theme="1"/>
        <sz val="10.0"/>
      </rPr>
      <t>/kg C)</t>
    </r>
  </si>
  <si>
    <t>Coal:</t>
  </si>
  <si>
    <r>
      <rPr>
        <rFont val="Arial"/>
        <b/>
        <color theme="1"/>
        <sz val="10.0"/>
      </rPr>
      <t>Tonnes CO</t>
    </r>
    <r>
      <rPr>
        <rFont val="Arial"/>
        <b/>
        <color theme="1"/>
        <sz val="10.0"/>
        <vertAlign val="subscript"/>
      </rPr>
      <t>2</t>
    </r>
    <r>
      <rPr>
        <rFont val="Arial"/>
        <b/>
        <color theme="1"/>
        <sz val="10.0"/>
      </rPr>
      <t>/kWh Coal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</si>
  <si>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</si>
  <si>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</si>
  <si>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r>
      <rPr>
        <rFont val="Arial"/>
        <b/>
        <color theme="1"/>
        <sz val="10.0"/>
      </rPr>
      <t>MW ratio (kg CO</t>
    </r>
    <r>
      <rPr>
        <rFont val="Arial"/>
        <b/>
        <color theme="1"/>
        <sz val="10.0"/>
        <vertAlign val="subscript"/>
      </rPr>
      <t>2</t>
    </r>
    <r>
      <rPr>
        <rFont val="Arial"/>
        <b/>
        <color theme="1"/>
        <sz val="10.0"/>
      </rPr>
      <t>/kg C)</t>
    </r>
  </si>
  <si>
    <t>#!1, 2 $ 4 Fuel Oil:</t>
  </si>
  <si>
    <r>
      <rPr>
        <rFont val="Arial"/>
        <b/>
        <color theme="1"/>
        <sz val="10.0"/>
      </rPr>
      <t>Tonnes CO</t>
    </r>
    <r>
      <rPr>
        <rFont val="Arial"/>
        <b/>
        <color theme="1"/>
        <sz val="10.0"/>
        <vertAlign val="subscript"/>
      </rPr>
      <t>2</t>
    </r>
    <r>
      <rPr>
        <rFont val="Arial"/>
        <b/>
        <color theme="1"/>
        <sz val="10.0"/>
      </rPr>
      <t>/kWh Dis Oil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</si>
  <si>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</si>
  <si>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</si>
  <si>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r>
      <rPr>
        <rFont val="Arial"/>
        <b/>
        <color theme="1"/>
        <sz val="10.0"/>
      </rPr>
      <t>MW ratio (kg CO</t>
    </r>
    <r>
      <rPr>
        <rFont val="Arial"/>
        <b/>
        <color theme="1"/>
        <sz val="10.0"/>
        <vertAlign val="subscript"/>
      </rPr>
      <t>2</t>
    </r>
    <r>
      <rPr>
        <rFont val="Arial"/>
        <b/>
        <color theme="1"/>
        <sz val="10.0"/>
      </rPr>
      <t>/kg C)</t>
    </r>
  </si>
  <si>
    <t>#5 &amp; 6 Fuel Oil:</t>
  </si>
  <si>
    <r>
      <rPr>
        <rFont val="Arial"/>
        <b/>
        <color theme="1"/>
        <sz val="10.0"/>
      </rPr>
      <t>Tonnes CO</t>
    </r>
    <r>
      <rPr>
        <rFont val="Arial"/>
        <b/>
        <color theme="1"/>
        <sz val="10.0"/>
        <vertAlign val="subscript"/>
      </rPr>
      <t>2</t>
    </r>
    <r>
      <rPr>
        <rFont val="Arial"/>
        <b/>
        <color theme="1"/>
        <sz val="10.0"/>
      </rPr>
      <t>/kWh Res Oil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</si>
  <si>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</si>
  <si>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</si>
  <si>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r>
      <rPr>
        <rFont val="Arial"/>
        <b/>
        <color theme="1"/>
        <sz val="10.0"/>
      </rPr>
      <t>MW ratio (kg CO</t>
    </r>
    <r>
      <rPr>
        <rFont val="Arial"/>
        <b/>
        <color theme="1"/>
        <sz val="10.0"/>
        <vertAlign val="subscript"/>
      </rPr>
      <t>2</t>
    </r>
    <r>
      <rPr>
        <rFont val="Arial"/>
        <b/>
        <color theme="1"/>
        <sz val="10.0"/>
      </rPr>
      <t>/kg C)</t>
    </r>
  </si>
  <si>
    <t>Other - NPCC New England Grid Assumed:</t>
  </si>
  <si>
    <r>
      <rPr>
        <rFont val="Arial"/>
        <b/>
        <color theme="1"/>
        <sz val="10.0"/>
      </rPr>
      <t>Tonnes CO</t>
    </r>
    <r>
      <rPr>
        <rFont val="Arial"/>
        <b/>
        <color theme="1"/>
        <sz val="10.0"/>
        <vertAlign val="subscript"/>
      </rPr>
      <t>2</t>
    </r>
    <r>
      <rPr>
        <rFont val="Arial"/>
        <b/>
        <color theme="1"/>
        <sz val="10.0"/>
      </rPr>
      <t>/kWh Res Oil EF</t>
    </r>
  </si>
  <si>
    <r>
      <rPr>
        <rFont val="Arial"/>
        <b/>
        <color theme="1"/>
        <sz val="10.0"/>
      </rPr>
      <t>Yr. 2000 EF (lbs CO</t>
    </r>
    <r>
      <rPr>
        <rFont val="Arial"/>
        <b/>
        <color theme="1"/>
        <sz val="10.0"/>
        <vertAlign val="subscript"/>
      </rPr>
      <t>2</t>
    </r>
    <r>
      <rPr>
        <rFont val="Arial"/>
        <b/>
        <color theme="1"/>
        <sz val="10.0"/>
      </rPr>
      <t>/MWh)</t>
    </r>
  </si>
  <si>
    <r>
      <rPr>
        <rFont val="Arial"/>
        <b/>
        <color theme="1"/>
        <sz val="10.0"/>
      </rPr>
      <t>CH</t>
    </r>
    <r>
      <rPr>
        <rFont val="Arial"/>
        <b/>
        <color theme="1"/>
        <sz val="10.0"/>
        <vertAlign val="subscript"/>
      </rPr>
      <t>4</t>
    </r>
    <r>
      <rPr>
        <rFont val="Arial"/>
        <b/>
        <color theme="1"/>
        <sz val="10.0"/>
      </rPr>
      <t xml:space="preserve"> EF (lbs gas/MWh)</t>
    </r>
  </si>
  <si>
    <r>
      <rPr>
        <rFont val="Arial"/>
        <b/>
        <color theme="1"/>
        <sz val="10.0"/>
      </rPr>
      <t>N</t>
    </r>
    <r>
      <rPr>
        <rFont val="Arial"/>
        <b/>
        <color theme="1"/>
        <sz val="10.0"/>
        <vertAlign val="subscript"/>
      </rPr>
      <t>2</t>
    </r>
    <r>
      <rPr>
        <rFont val="Arial"/>
        <b/>
        <color theme="1"/>
        <sz val="10.0"/>
      </rPr>
      <t>O EF (g gas/MMBTU)</t>
    </r>
  </si>
  <si>
    <t>This section includes emissions from all stationary combustion of fossil fuels done in direct proportion to an energy source purchased by the institution; i.e. purchased electricity and steam generated outside the geographic/control boundaries set in the introductin, yet consumed within them.</t>
  </si>
  <si>
    <t>EPA Climate Leaders. 2004. "Core Module Guidance: Direct Emissions from Stationary Combustion Sources." pp 22. &lt;http://www.epa.gov/climateleaders/docs/stationarycombustionguidance.pdf &gt; [JK 06]</t>
  </si>
  <si>
    <r>
      <rPr>
        <rFont val="Arial"/>
        <color theme="1"/>
      </rPr>
      <t>MW ratio (kg CO</t>
    </r>
    <r>
      <rPr>
        <rFont val="Arial"/>
        <color theme="1"/>
        <sz val="10.0"/>
        <vertAlign val="subscript"/>
      </rPr>
      <t>2</t>
    </r>
    <r>
      <rPr>
        <rFont val="Arial"/>
        <color theme="1"/>
        <sz val="10.0"/>
      </rPr>
      <t>/kg C)</t>
    </r>
  </si>
  <si>
    <t>Mollecular Weights are accepted as chemical standards. Value = ((12.011+2*16.000)/12.011) [JK 06]</t>
  </si>
  <si>
    <r>
      <rPr>
        <rFont val="Arial"/>
        <color theme="1"/>
      </rPr>
      <t>CH</t>
    </r>
    <r>
      <rPr>
        <rFont val="Arial"/>
        <color theme="1"/>
        <sz val="10.0"/>
        <vertAlign val="subscript"/>
      </rPr>
      <t>4</t>
    </r>
    <r>
      <rPr>
        <rFont val="Arial"/>
        <color theme="1"/>
        <sz val="10.0"/>
      </rPr>
      <t xml:space="preserve"> EF (g gas/MMBTU)</t>
    </r>
  </si>
  <si>
    <t>Based on HHV and residential/commercial efficiency. EPA Climate Leaders. 2004. "Core Module Guidance: Direct Emissions from Stationary Combustion Sources." pp 20. &lt;http://www.epa.gov/climateleaders/docs/stationarycombustionguidance.pdf &gt; [JK 06]</t>
  </si>
  <si>
    <r>
      <rPr>
        <rFont val="Arial"/>
        <color theme="1"/>
      </rPr>
      <t>CH</t>
    </r>
    <r>
      <rPr>
        <rFont val="Arial"/>
        <color theme="1"/>
        <sz val="10.0"/>
        <vertAlign val="subscript"/>
      </rPr>
      <t>4</t>
    </r>
    <r>
      <rPr>
        <rFont val="Arial"/>
        <color theme="1"/>
        <sz val="10.0"/>
      </rPr>
      <t xml:space="preserve"> GWP</t>
    </r>
  </si>
  <si>
    <r>
      <rPr>
        <rFont val="Arial"/>
        <color theme="1"/>
        <sz val="10.0"/>
      </rPr>
      <t>Global Warming Potential (GWP) based on 100 yr time horizon: US EPA. 2006. "Non-CO</t>
    </r>
    <r>
      <rPr>
        <rFont val="Arial"/>
        <color theme="1"/>
        <sz val="10.0"/>
        <vertAlign val="subscript"/>
      </rPr>
      <t>2</t>
    </r>
    <r>
      <rPr>
        <rFont val="Arial"/>
        <color theme="1"/>
        <sz val="10.0"/>
      </rPr>
      <t xml:space="preserve"> Gasses Economic Analysis and Inventory: Global Warming Potentials and Atmospheric Lifetimes." &lt;http://www.epa.gov/nonco2/econ-inv/table.html&gt;  [BB 07]</t>
    </r>
  </si>
  <si>
    <r>
      <rPr>
        <rFont val="Arial"/>
        <color theme="1"/>
      </rPr>
      <t>N</t>
    </r>
    <r>
      <rPr>
        <rFont val="Arial"/>
        <color theme="1"/>
        <sz val="10.0"/>
        <vertAlign val="subscript"/>
      </rPr>
      <t>2</t>
    </r>
    <r>
      <rPr>
        <rFont val="Arial"/>
        <color theme="1"/>
        <sz val="10.0"/>
      </rPr>
      <t>O EF (g gas/MMBTU)</t>
    </r>
  </si>
  <si>
    <t>Based on HHV and industrial efficiency. EPA Climate Leaders. 2004. "Core Module Guidance: Direct Emissions from Stationary Combustion Sources." pp 20. &lt;http://www.epa.gov/climateleaders/docs/stationarycombustionguidance.pdf &gt; [JK 06]</t>
  </si>
  <si>
    <r>
      <rPr>
        <rFont val="Arial"/>
        <color theme="1"/>
      </rPr>
      <t>N</t>
    </r>
    <r>
      <rPr>
        <rFont val="Arial"/>
        <color theme="1"/>
        <sz val="10.0"/>
        <vertAlign val="subscript"/>
      </rPr>
      <t>2</t>
    </r>
    <r>
      <rPr>
        <rFont val="Arial"/>
        <color theme="1"/>
        <sz val="10.0"/>
      </rPr>
      <t>O GWP</t>
    </r>
  </si>
  <si>
    <r>
      <rPr>
        <rFont val="Arial"/>
        <color theme="1"/>
        <sz val="10.0"/>
      </rPr>
      <t>Global Warming Potential (GWP) based on 100 yr time horizon: US EPA. 2006. "Non-CO</t>
    </r>
    <r>
      <rPr>
        <rFont val="Arial"/>
        <color theme="1"/>
        <sz val="10.0"/>
        <vertAlign val="subscript"/>
      </rPr>
      <t>2</t>
    </r>
    <r>
      <rPr>
        <rFont val="Arial"/>
        <color theme="1"/>
        <sz val="10.0"/>
      </rPr>
      <t xml:space="preserve"> Gasses Economic Analysis and Inventory: Global Warming Potentials and Atmospheric Lifetimes." &lt;http://www.epa.gov/nonco2/econ-inv/table.html&gt;  [BB 07]</t>
    </r>
  </si>
  <si>
    <t>tonne/gram (1/1x106)</t>
  </si>
  <si>
    <t>Tonne/lb (1/2,204.6)</t>
  </si>
  <si>
    <t>Total kWh from GMP</t>
  </si>
  <si>
    <t>Collected annually by Director of Facilities Services, Central Heating/Utilities: Mike Moser and and Customer Service Coordinator: Jen Pottinger. [BB 07]</t>
  </si>
  <si>
    <t>GMP kWh excluded</t>
  </si>
  <si>
    <t>Based on documentation composed by Director of Facilities Services, Central Heating/Utilities, Mike Moser (rental properties excluded from the total kWh purchased) [JK 06]</t>
  </si>
  <si>
    <t>GMP kWh from CH4 dig.</t>
  </si>
  <si>
    <t>David Dunn, Cow Power Program Manager, CVPS via Associate Vice President, Middlebury College Facilities Services, Susan Personnette [JK 06]</t>
  </si>
  <si>
    <t>on-campus co-gen kWH</t>
  </si>
  <si>
    <t>on-campus wind kWH</t>
  </si>
  <si>
    <t>Collected annually by College Electrician, Dean Ouellette [BB 07]</t>
  </si>
  <si>
    <t>on-campus solar kWH</t>
  </si>
  <si>
    <t>GMP Sources as Percents:</t>
  </si>
  <si>
    <t xml:space="preserve">These values can come from Mike Moser or from  Dave Dunn, the </t>
  </si>
  <si>
    <t>Manager of Renewable Project Development at GMP.  Dave can</t>
  </si>
  <si>
    <t xml:space="preserve">be emailed at DDunn@cvps.com. </t>
  </si>
  <si>
    <t>Green Mountain Power. Collected annually by Director of Facilities Services, Central Heating/Utilities, Mike Moser [BB 07]</t>
  </si>
  <si>
    <t>% Other (assume NPCC Grid)</t>
  </si>
  <si>
    <t>ISO-NE Sources as Percents:</t>
  </si>
  <si>
    <t>The values for these percentages are found at &lt;http://www.iso-ne.com/nwsiss/grid_mkts/enrgy_srcs/index-p1.html&gt;.  However, it takes ISO-NE a few months to post the data for the most recent fiscal year.  As a result, one should rely on the most recent fiscal year available to provide placeholder values until data for the desired fiscal year is online.  A table detailing which ISO-NE Sources as Percents correspond with which GHG Inventory Labels can be found in the shared files.</t>
  </si>
  <si>
    <t>ISO New England. "Energy Sources in New England, 2007." &lt;http://www.iso-ne.com/nwsiss/grid_mkts/enrgy_srcs/index-p1.html&gt; [SG 08]</t>
  </si>
  <si>
    <r>
      <rPr>
        <rFont val="Arial"/>
        <color theme="1"/>
      </rPr>
      <t>Tonnes CO</t>
    </r>
    <r>
      <rPr>
        <rFont val="Arial"/>
        <color theme="1"/>
        <sz val="10.0"/>
        <vertAlign val="subscript"/>
      </rPr>
      <t>2</t>
    </r>
    <r>
      <rPr>
        <rFont val="Arial"/>
        <color theme="1"/>
        <sz val="10.0"/>
      </rPr>
      <t>/kWh NG EF</t>
    </r>
  </si>
  <si>
    <r>
      <rPr>
        <rFont val="Arial"/>
        <color theme="1"/>
      </rPr>
      <t>Tonnes CO</t>
    </r>
    <r>
      <rPr>
        <rFont val="Arial"/>
        <color theme="1"/>
        <sz val="10.0"/>
        <vertAlign val="subscript"/>
      </rPr>
      <t>2</t>
    </r>
    <r>
      <rPr>
        <rFont val="Arial"/>
        <color theme="1"/>
        <sz val="10.0"/>
      </rPr>
      <t>/kWh Coal EF</t>
    </r>
  </si>
  <si>
    <r>
      <rPr>
        <rFont val="Arial"/>
        <color theme="1"/>
      </rPr>
      <t>Tonnes CO</t>
    </r>
    <r>
      <rPr>
        <rFont val="Arial"/>
        <color theme="1"/>
        <sz val="10.0"/>
        <vertAlign val="subscript"/>
      </rPr>
      <t>2</t>
    </r>
    <r>
      <rPr>
        <rFont val="Arial"/>
        <color theme="1"/>
        <sz val="10.0"/>
      </rPr>
      <t>/kWh Dis Oil EF</t>
    </r>
  </si>
  <si>
    <r>
      <rPr>
        <rFont val="Arial"/>
        <color theme="1"/>
      </rPr>
      <t>Tonnes CO</t>
    </r>
    <r>
      <rPr>
        <rFont val="Arial"/>
        <color theme="1"/>
        <sz val="10.0"/>
        <vertAlign val="subscript"/>
      </rPr>
      <t>2</t>
    </r>
    <r>
      <rPr>
        <rFont val="Arial"/>
        <color theme="1"/>
        <sz val="10.0"/>
      </rPr>
      <t>/kWh Res Oil EF</t>
    </r>
  </si>
  <si>
    <r>
      <rPr>
        <rFont val="Arial"/>
        <color theme="1"/>
      </rPr>
      <t>Yr. 2000 EF (lbs CO</t>
    </r>
    <r>
      <rPr>
        <rFont val="Arial"/>
        <color theme="1"/>
        <sz val="10.0"/>
        <vertAlign val="subscript"/>
      </rPr>
      <t>2</t>
    </r>
    <r>
      <rPr>
        <rFont val="Arial"/>
        <color theme="1"/>
        <sz val="10.0"/>
      </rPr>
      <t>/MWh)</t>
    </r>
  </si>
  <si>
    <t>emissions rate for the yr. 2000. EPA Climate Leaders. 2004. "Core Module Guidance: Indirect Emissions from Purchases/Sales of Electricity and Steam." pp 22. &lt;http://www.epa.gov/climateleaders/docs/indirectelectricityguidance.pdf&gt; [JK 06]</t>
  </si>
  <si>
    <r>
      <rPr>
        <rFont val="Arial"/>
        <color theme="1"/>
      </rPr>
      <t>Tonnes CO</t>
    </r>
    <r>
      <rPr>
        <rFont val="Arial"/>
        <color theme="1"/>
        <sz val="10.0"/>
        <vertAlign val="subscript"/>
      </rPr>
      <t>2</t>
    </r>
    <r>
      <rPr>
        <rFont val="Arial"/>
        <color theme="1"/>
        <sz val="10.0"/>
      </rPr>
      <t>/kWh Res Oil EF</t>
    </r>
  </si>
  <si>
    <t>For Natural Gas #6, #2, and Diesel:</t>
  </si>
  <si>
    <t xml:space="preserve">Carbon Content Coefficients and Fractions Oxidized were found in US EPA. 2004. “Inventory of U.S. Greenhouse Gas Emissions and Sinks:” 1990-2002, EPA430-R-04-003, U.S. EPA, Washington, DC, April 2004. </t>
  </si>
  <si>
    <t>For Coal:</t>
  </si>
  <si>
    <t>Carbon Content Coefficients and HC were found in DOE/EIA. 2002. "Documentation for Emissions of Greenhouse Gasses in the United States 2002," DOE/EIA-0638(2002), Energy Information Administration, Office of Integrated Analysis and Forecasting, U.S. Department of Energy, January 2004.</t>
  </si>
  <si>
    <t>Fractions Oxidized were found in U.S. Department of Energy, Energy Information Administration. 2003. “Annual Energy Review 2002,” DOE/EIA 0384(2002), , Washington, DC, October 2003.</t>
  </si>
  <si>
    <t>This section provides an overview of the Renewable Energy sources utilized by Middlebury College</t>
  </si>
  <si>
    <t>each fiscal year, however they do not quantitatively factor into the GHG inventory.</t>
  </si>
  <si>
    <t>FT19/20</t>
  </si>
  <si>
    <t>Biomass Energy Plant</t>
  </si>
  <si>
    <t>Wood Chips (Tons)</t>
  </si>
  <si>
    <t>On-campus Solar and Wind Generation</t>
  </si>
  <si>
    <t>Farrell House PV Production (kWh)</t>
  </si>
  <si>
    <t>Hillcrest PV Production (kWh) (November 2008)</t>
  </si>
  <si>
    <t>Rt. 125 Solar Farm (April 2012)</t>
  </si>
  <si>
    <t>Self Reliance</t>
  </si>
  <si>
    <t>President's House</t>
  </si>
  <si>
    <t>InSite</t>
  </si>
  <si>
    <t>Total On Campus Solar</t>
  </si>
  <si>
    <t>Off-campus Solar and Wind Generation</t>
  </si>
  <si>
    <t>South Ridge Solar Project (S. Middelbury Dec. 2013)</t>
  </si>
  <si>
    <t>Wilber Farm Solar Project (December 2016) (Pittsford, VT 500kW)</t>
  </si>
  <si>
    <t>Total Off Campus Solar</t>
  </si>
  <si>
    <t>TOTAL Solar</t>
  </si>
  <si>
    <t>On-Campus Wind Generation</t>
  </si>
  <si>
    <t>Middlebury Recycling Center Wind Turbine (kWh)</t>
  </si>
  <si>
    <t>Total Wind</t>
  </si>
  <si>
    <t>Solar Thermal</t>
  </si>
  <si>
    <t>107 Shannon St. System 1 (BTU/year)</t>
  </si>
  <si>
    <t>NA</t>
  </si>
  <si>
    <t>107 Shannon St. System 2 (BTU/year)</t>
  </si>
  <si>
    <t>#2 Fuel Oil Equivalent (gal)</t>
  </si>
  <si>
    <t>Bioheat</t>
  </si>
  <si>
    <r>
      <rPr>
        <rFont val="Arial"/>
        <color theme="1"/>
        <sz val="10.0"/>
      </rPr>
      <t xml:space="preserve">B-20 Bioheat (gal) </t>
    </r>
    <r>
      <rPr>
        <rFont val="Arial"/>
        <color rgb="FFDD0806"/>
        <sz val="10.0"/>
      </rPr>
      <t>*</t>
    </r>
  </si>
  <si>
    <t>Not used any more</t>
  </si>
  <si>
    <t>Cow Power</t>
  </si>
  <si>
    <t>3 South Street (President's House) kWh</t>
  </si>
  <si>
    <t>Weybridge House kWh</t>
  </si>
  <si>
    <t>Total Cow Power</t>
  </si>
  <si>
    <t>note FY 12 est. based on previous years</t>
  </si>
  <si>
    <t xml:space="preserve">This section provides an overview of the Renewable Energy sources utilized by Middlebury College </t>
  </si>
  <si>
    <t>each fiscal year.</t>
  </si>
  <si>
    <t>Collected annually from Director of Facilities Services, Central</t>
  </si>
  <si>
    <t xml:space="preserve">Heating/Utilities: Mike Moser and Facilities Customer Service Coordinator: </t>
  </si>
  <si>
    <t>Jen Pottinger. [AB 09]</t>
  </si>
  <si>
    <t>Collected annually from College Electrician, Dean Ouellette. [AB 09]</t>
  </si>
  <si>
    <t>Hillcrest PV Production (kWh)</t>
  </si>
  <si>
    <t>Same as above. [AB 09]</t>
  </si>
  <si>
    <t>On-Campus Wind Generation (kWh)</t>
  </si>
  <si>
    <t>Same as above. [AB 09] or http://www.vtwindprogram.org/static/vtwindprogram/wind.php?site=4191</t>
  </si>
  <si>
    <r>
      <rPr>
        <rFont val="Arial"/>
        <color theme="1"/>
        <sz val="10.0"/>
      </rPr>
      <t xml:space="preserve">B-5 Bioheat (gal) </t>
    </r>
    <r>
      <rPr>
        <rFont val="Arial"/>
        <color rgb="FFDD0806"/>
        <sz val="10.0"/>
      </rPr>
      <t>*</t>
    </r>
  </si>
  <si>
    <t>Heating/Utilities: Mike Moser and Facilities Customer Service Coordinator:</t>
  </si>
  <si>
    <r>
      <rPr>
        <rFont val="Arial"/>
        <color theme="1"/>
        <sz val="10.0"/>
      </rPr>
      <t xml:space="preserve">B-20 Bioheat (gal) </t>
    </r>
    <r>
      <rPr>
        <rFont val="Arial"/>
        <color rgb="FFDD0806"/>
        <sz val="10.0"/>
      </rPr>
      <t>*</t>
    </r>
  </si>
  <si>
    <t>722lbs / mwh</t>
  </si>
  <si>
    <t>21566 mwh</t>
  </si>
  <si>
    <r>
      <rPr>
        <rFont val="Arial"/>
        <color theme="1"/>
        <sz val="10.0"/>
      </rPr>
      <t xml:space="preserve">Total kWh from GMP </t>
    </r>
    <r>
      <rPr>
        <rFont val="Arial"/>
        <color rgb="FFDD0806"/>
        <sz val="10.0"/>
      </rPr>
      <t>*</t>
    </r>
  </si>
  <si>
    <t>fy15</t>
  </si>
  <si>
    <t>purch elec btu</t>
  </si>
  <si>
    <r>
      <rPr>
        <rFont val="Arial"/>
        <color theme="1"/>
        <sz val="10.0"/>
      </rPr>
      <t xml:space="preserve">GMP kWh excluded </t>
    </r>
    <r>
      <rPr>
        <rFont val="Arial"/>
        <color rgb="FFDD0806"/>
        <sz val="10.0"/>
      </rPr>
      <t>*</t>
    </r>
  </si>
  <si>
    <t>fy07</t>
  </si>
  <si>
    <r>
      <rPr>
        <rFont val="Arial"/>
        <color theme="1"/>
        <sz val="10.0"/>
      </rPr>
      <t>GMP kWh from CH</t>
    </r>
    <r>
      <rPr>
        <rFont val="Arial"/>
        <color theme="1"/>
        <sz val="10.0"/>
        <vertAlign val="subscript"/>
      </rPr>
      <t>4</t>
    </r>
    <r>
      <rPr>
        <rFont val="Arial"/>
        <color theme="1"/>
        <sz val="10.0"/>
      </rPr>
      <t xml:space="preserve"> dig. </t>
    </r>
    <r>
      <rPr>
        <rFont val="Arial"/>
        <color rgb="FFDD0806"/>
        <sz val="10.0"/>
      </rPr>
      <t>◊</t>
    </r>
  </si>
  <si>
    <t>renew</t>
  </si>
  <si>
    <r>
      <rPr>
        <rFont val="Arial"/>
        <color theme="1"/>
        <sz val="10.0"/>
      </rPr>
      <t xml:space="preserve">on-campus co-gen kWH </t>
    </r>
    <r>
      <rPr>
        <rFont val="Arial"/>
        <color rgb="FFDD0806"/>
        <sz val="10.0"/>
      </rPr>
      <t>*</t>
    </r>
  </si>
  <si>
    <r>
      <rPr>
        <rFont val="Arial"/>
        <color theme="1"/>
        <sz val="10.0"/>
      </rPr>
      <t xml:space="preserve">on-campus wind kWH </t>
    </r>
    <r>
      <rPr>
        <rFont val="Arial"/>
        <color rgb="FFDD0806"/>
        <sz val="10.0"/>
      </rPr>
      <t>‡</t>
    </r>
  </si>
  <si>
    <r>
      <rPr>
        <rFont val="Arial"/>
        <color theme="1"/>
        <sz val="10.0"/>
      </rPr>
      <t xml:space="preserve">on-campus solar kWH </t>
    </r>
    <r>
      <rPr>
        <rFont val="Arial"/>
        <color rgb="FFDD0806"/>
        <sz val="10.0"/>
      </rPr>
      <t>‡</t>
    </r>
  </si>
  <si>
    <t>solar</t>
  </si>
  <si>
    <t xml:space="preserve">biomass </t>
  </si>
  <si>
    <t>hydro</t>
  </si>
  <si>
    <t>natgas</t>
  </si>
  <si>
    <t>nuclear</t>
  </si>
  <si>
    <t>.</t>
  </si>
  <si>
    <t>GMP report says system mix is 41% natural gas, 30% nuclear and 9% hydro. 20% is not accounted for. Distributed 15% to hat</t>
  </si>
  <si>
    <t>=</t>
  </si>
  <si>
    <r>
      <rPr>
        <rFont val="Arial"/>
        <color theme="1"/>
        <sz val="10.0"/>
      </rPr>
      <t>CH</t>
    </r>
    <r>
      <rPr>
        <rFont val="Arial"/>
        <color theme="1"/>
        <sz val="10.0"/>
        <vertAlign val="subscript"/>
      </rPr>
      <t>4</t>
    </r>
    <r>
      <rPr>
        <rFont val="Arial"/>
        <color theme="1"/>
        <sz val="10.0"/>
      </rPr>
      <t xml:space="preserve"> digestion</t>
    </r>
  </si>
  <si>
    <r>
      <rPr>
        <rFont val="Arial"/>
        <color theme="1"/>
        <sz val="10.0"/>
      </rPr>
      <t>CH</t>
    </r>
    <r>
      <rPr>
        <rFont val="Arial"/>
        <color theme="1"/>
        <sz val="10.0"/>
        <vertAlign val="subscript"/>
      </rPr>
      <t>4</t>
    </r>
    <r>
      <rPr>
        <rFont val="Arial"/>
        <color theme="1"/>
        <sz val="10.0"/>
      </rPr>
      <t xml:space="preserve"> digestion</t>
    </r>
  </si>
  <si>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</si>
  <si>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</si>
  <si>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</si>
  <si>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</si>
  <si>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</si>
  <si>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r>
      <rPr>
        <rFont val="Arial"/>
        <b/>
        <color theme="1"/>
        <sz val="10.0"/>
      </rPr>
      <t>Metric Tonnes CO</t>
    </r>
    <r>
      <rPr>
        <rFont val="Arial"/>
        <b/>
        <color theme="1"/>
        <sz val="10.0"/>
        <vertAlign val="subscript"/>
      </rPr>
      <t>2</t>
    </r>
  </si>
  <si>
    <t>Co2</t>
  </si>
  <si>
    <r>
      <rPr>
        <rFont val="Arial"/>
        <color theme="1"/>
        <sz val="10.0"/>
      </rPr>
      <t>Tonnes CH</t>
    </r>
    <r>
      <rPr>
        <rFont val="Arial"/>
        <color theme="1"/>
        <sz val="10.0"/>
        <vertAlign val="subscript"/>
      </rPr>
      <t>4</t>
    </r>
  </si>
  <si>
    <t>N2O</t>
  </si>
  <si>
    <r>
      <rPr>
        <rFont val="Arial"/>
        <b/>
        <color theme="1"/>
        <sz val="10.0"/>
      </rPr>
      <t>MTCDE from CH</t>
    </r>
    <r>
      <rPr>
        <rFont val="Arial"/>
        <b/>
        <color theme="1"/>
        <sz val="10.0"/>
        <vertAlign val="subscript"/>
      </rPr>
      <t>4</t>
    </r>
  </si>
  <si>
    <t>CH4</t>
  </si>
  <si>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</si>
  <si>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</si>
  <si>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</si>
  <si>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</si>
  <si>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</si>
  <si>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</si>
  <si>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</si>
  <si>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</si>
  <si>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</si>
  <si>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</si>
  <si>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</si>
  <si>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</si>
  <si>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</si>
  <si>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</si>
  <si>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</si>
  <si>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</si>
  <si>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</si>
  <si>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r>
      <rPr>
        <rFont val="Arial"/>
        <color theme="1"/>
        <sz val="10.0"/>
      </rPr>
      <t>CH</t>
    </r>
    <r>
      <rPr>
        <rFont val="Arial"/>
        <color theme="1"/>
        <sz val="10.0"/>
        <vertAlign val="subscript"/>
      </rPr>
      <t>4</t>
    </r>
    <r>
      <rPr>
        <rFont val="Arial"/>
        <color theme="1"/>
        <sz val="10.0"/>
      </rPr>
      <t xml:space="preserve"> digestion</t>
    </r>
  </si>
  <si>
    <r>
      <rPr>
        <rFont val="Arial"/>
        <b/>
        <color theme="1"/>
        <sz val="10.0"/>
      </rPr>
      <t>Σ</t>
    </r>
    <r>
      <rPr>
        <rFont val="Arial"/>
        <b/>
        <color theme="1"/>
        <sz val="10.0"/>
      </rPr>
      <t>MTCDE from Electricity:</t>
    </r>
  </si>
  <si>
    <r>
      <rPr>
        <rFont val="Arial"/>
        <color theme="1"/>
        <sz val="10.0"/>
      </rPr>
      <t>CH</t>
    </r>
    <r>
      <rPr>
        <rFont val="Arial"/>
        <color theme="1"/>
        <sz val="10.0"/>
        <vertAlign val="subscript"/>
      </rPr>
      <t>4</t>
    </r>
    <r>
      <rPr>
        <rFont val="Arial"/>
        <color theme="1"/>
        <sz val="10.0"/>
      </rPr>
      <t xml:space="preserve"> digestion</t>
    </r>
  </si>
  <si>
    <r>
      <rPr>
        <rFont val="Arial"/>
        <b/>
        <i/>
        <color theme="1"/>
        <sz val="10.0"/>
      </rPr>
      <t>tonne/gram (1/1x10</t>
    </r>
    <r>
      <rPr>
        <rFont val="Arial"/>
        <b/>
        <i/>
        <color theme="1"/>
        <sz val="10.0"/>
        <vertAlign val="superscript"/>
      </rPr>
      <t>6</t>
    </r>
    <r>
      <rPr>
        <rFont val="Arial"/>
        <b/>
        <i/>
        <color theme="1"/>
        <sz val="10.0"/>
      </rPr>
      <t>)</t>
    </r>
  </si>
  <si>
    <r>
      <rPr>
        <rFont val="Arial"/>
        <b/>
        <color theme="1"/>
        <sz val="10.0"/>
      </rPr>
      <t>CH</t>
    </r>
    <r>
      <rPr>
        <rFont val="Arial"/>
        <b/>
        <color theme="1"/>
        <sz val="10.0"/>
        <vertAlign val="subscript"/>
      </rPr>
      <t>4</t>
    </r>
    <r>
      <rPr>
        <rFont val="Arial"/>
        <b/>
        <color theme="1"/>
        <sz val="10.0"/>
      </rPr>
      <t xml:space="preserve"> GWP</t>
    </r>
  </si>
  <si>
    <r>
      <rPr>
        <rFont val="Arial"/>
        <b/>
        <color theme="1"/>
        <sz val="10.0"/>
      </rPr>
      <t>N</t>
    </r>
    <r>
      <rPr>
        <rFont val="Arial"/>
        <b/>
        <color theme="1"/>
        <sz val="10.0"/>
        <vertAlign val="subscript"/>
      </rPr>
      <t>2</t>
    </r>
    <r>
      <rPr>
        <rFont val="Arial"/>
        <b/>
        <color theme="1"/>
        <sz val="10.0"/>
      </rPr>
      <t>O GWP</t>
    </r>
  </si>
  <si>
    <r>
      <rPr>
        <rFont val="Arial"/>
        <b/>
        <color theme="1"/>
        <sz val="10.0"/>
      </rPr>
      <t>Tonnes CO</t>
    </r>
    <r>
      <rPr>
        <rFont val="Arial"/>
        <b/>
        <color theme="1"/>
        <sz val="10.0"/>
        <vertAlign val="subscript"/>
      </rPr>
      <t>2</t>
    </r>
    <r>
      <rPr>
        <rFont val="Arial"/>
        <b/>
        <color theme="1"/>
        <sz val="10.0"/>
      </rPr>
      <t>/kWh NG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</si>
  <si>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</si>
  <si>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</si>
  <si>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r>
      <rPr>
        <rFont val="Arial"/>
        <b/>
        <color theme="1"/>
        <sz val="10.0"/>
      </rPr>
      <t>MW ratio (kg CO</t>
    </r>
    <r>
      <rPr>
        <rFont val="Arial"/>
        <b/>
        <color theme="1"/>
        <sz val="10.0"/>
        <vertAlign val="subscript"/>
      </rPr>
      <t>2</t>
    </r>
    <r>
      <rPr>
        <rFont val="Arial"/>
        <b/>
        <color theme="1"/>
        <sz val="10.0"/>
      </rPr>
      <t>/kg C)</t>
    </r>
  </si>
  <si>
    <r>
      <rPr>
        <rFont val="Arial"/>
        <b/>
        <color theme="1"/>
        <sz val="10.0"/>
      </rPr>
      <t>Tonnes CO</t>
    </r>
    <r>
      <rPr>
        <rFont val="Arial"/>
        <b/>
        <color theme="1"/>
        <sz val="10.0"/>
        <vertAlign val="subscript"/>
      </rPr>
      <t>2</t>
    </r>
    <r>
      <rPr>
        <rFont val="Arial"/>
        <b/>
        <color theme="1"/>
        <sz val="10.0"/>
      </rPr>
      <t>/kWh Coal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</si>
  <si>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</si>
  <si>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</si>
  <si>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r>
      <rPr>
        <rFont val="Arial"/>
        <b/>
        <color theme="1"/>
        <sz val="10.0"/>
      </rPr>
      <t>MW ratio (kg CO</t>
    </r>
    <r>
      <rPr>
        <rFont val="Arial"/>
        <b/>
        <color theme="1"/>
        <sz val="10.0"/>
        <vertAlign val="subscript"/>
      </rPr>
      <t>2</t>
    </r>
    <r>
      <rPr>
        <rFont val="Arial"/>
        <b/>
        <color theme="1"/>
        <sz val="10.0"/>
      </rPr>
      <t>/kg C)</t>
    </r>
  </si>
  <si>
    <r>
      <rPr>
        <rFont val="Arial"/>
        <b/>
        <color theme="1"/>
        <sz val="10.0"/>
      </rPr>
      <t>Tonnes CO</t>
    </r>
    <r>
      <rPr>
        <rFont val="Arial"/>
        <b/>
        <color theme="1"/>
        <sz val="10.0"/>
        <vertAlign val="subscript"/>
      </rPr>
      <t>2</t>
    </r>
    <r>
      <rPr>
        <rFont val="Arial"/>
        <b/>
        <color theme="1"/>
        <sz val="10.0"/>
      </rPr>
      <t>/kWh Dis Oil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</si>
  <si>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</si>
  <si>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</si>
  <si>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r>
      <rPr>
        <rFont val="Arial"/>
        <b/>
        <color theme="1"/>
        <sz val="10.0"/>
      </rPr>
      <t>MW ratio (kg CO</t>
    </r>
    <r>
      <rPr>
        <rFont val="Arial"/>
        <b/>
        <color theme="1"/>
        <sz val="10.0"/>
        <vertAlign val="subscript"/>
      </rPr>
      <t>2</t>
    </r>
    <r>
      <rPr>
        <rFont val="Arial"/>
        <b/>
        <color theme="1"/>
        <sz val="10.0"/>
      </rPr>
      <t>/kg C)</t>
    </r>
  </si>
  <si>
    <r>
      <rPr>
        <rFont val="Arial"/>
        <b/>
        <color theme="1"/>
        <sz val="10.0"/>
      </rPr>
      <t>Tonnes CO</t>
    </r>
    <r>
      <rPr>
        <rFont val="Arial"/>
        <b/>
        <color theme="1"/>
        <sz val="10.0"/>
        <vertAlign val="subscript"/>
      </rPr>
      <t>2</t>
    </r>
    <r>
      <rPr>
        <rFont val="Arial"/>
        <b/>
        <color theme="1"/>
        <sz val="10.0"/>
      </rPr>
      <t>/kWh Res Oil EF</t>
    </r>
  </si>
  <si>
    <r>
      <rPr>
        <rFont val="Arial"/>
        <b/>
        <color theme="1"/>
        <sz val="10.0"/>
      </rPr>
      <t>CH</t>
    </r>
    <r>
      <rPr>
        <rFont val="Arial"/>
        <b/>
        <color theme="1"/>
        <sz val="10.0"/>
        <vertAlign val="subscript"/>
      </rPr>
      <t>4</t>
    </r>
    <r>
      <rPr>
        <rFont val="Arial"/>
        <b/>
        <color theme="1"/>
        <sz val="10.0"/>
      </rPr>
      <t xml:space="preserve"> EF (g gas/MMBTU)</t>
    </r>
  </si>
  <si>
    <r>
      <rPr>
        <rFont val="Arial"/>
        <b/>
        <color theme="1"/>
        <sz val="10.0"/>
      </rPr>
      <t>N</t>
    </r>
    <r>
      <rPr>
        <rFont val="Arial"/>
        <b/>
        <color theme="1"/>
        <sz val="10.0"/>
        <vertAlign val="subscript"/>
      </rPr>
      <t>2</t>
    </r>
    <r>
      <rPr>
        <rFont val="Arial"/>
        <b/>
        <color theme="1"/>
        <sz val="10.0"/>
      </rPr>
      <t>O EF (g gas/MMBTU)</t>
    </r>
  </si>
  <si>
    <r>
      <rPr>
        <rFont val="Arial"/>
        <b/>
        <color theme="1"/>
        <sz val="10.0"/>
      </rPr>
      <t>MW ratio (kg CO</t>
    </r>
    <r>
      <rPr>
        <rFont val="Arial"/>
        <b/>
        <color theme="1"/>
        <sz val="10.0"/>
        <vertAlign val="subscript"/>
      </rPr>
      <t>2</t>
    </r>
    <r>
      <rPr>
        <rFont val="Arial"/>
        <b/>
        <color theme="1"/>
        <sz val="10.0"/>
      </rPr>
      <t>/kg C)</t>
    </r>
  </si>
  <si>
    <r>
      <rPr>
        <rFont val="Arial"/>
        <b/>
        <color theme="1"/>
        <sz val="10.0"/>
      </rPr>
      <t>Tonnes CO</t>
    </r>
    <r>
      <rPr>
        <rFont val="Arial"/>
        <b/>
        <color theme="1"/>
        <sz val="10.0"/>
        <vertAlign val="subscript"/>
      </rPr>
      <t>2</t>
    </r>
    <r>
      <rPr>
        <rFont val="Arial"/>
        <b/>
        <color theme="1"/>
        <sz val="10.0"/>
      </rPr>
      <t>/kWh Res Oil EF</t>
    </r>
  </si>
  <si>
    <r>
      <rPr>
        <rFont val="Arial"/>
        <b/>
        <color theme="1"/>
        <sz val="10.0"/>
      </rPr>
      <t>Yr. 2000 EF (lbs CO</t>
    </r>
    <r>
      <rPr>
        <rFont val="Arial"/>
        <b/>
        <color theme="1"/>
        <sz val="10.0"/>
        <vertAlign val="subscript"/>
      </rPr>
      <t>2</t>
    </r>
    <r>
      <rPr>
        <rFont val="Arial"/>
        <b/>
        <color theme="1"/>
        <sz val="10.0"/>
      </rPr>
      <t>/MWh)</t>
    </r>
  </si>
  <si>
    <r>
      <rPr>
        <rFont val="Arial"/>
        <b/>
        <color theme="1"/>
        <sz val="10.0"/>
      </rPr>
      <t>CH</t>
    </r>
    <r>
      <rPr>
        <rFont val="Arial"/>
        <b/>
        <color theme="1"/>
        <sz val="10.0"/>
        <vertAlign val="subscript"/>
      </rPr>
      <t>4</t>
    </r>
    <r>
      <rPr>
        <rFont val="Arial"/>
        <b/>
        <color theme="1"/>
        <sz val="10.0"/>
      </rPr>
      <t xml:space="preserve"> EF (lbs gas/MWh)</t>
    </r>
  </si>
  <si>
    <r>
      <rPr>
        <rFont val="Arial"/>
        <b/>
        <color theme="1"/>
        <sz val="10.0"/>
      </rPr>
      <t>N</t>
    </r>
    <r>
      <rPr>
        <rFont val="Arial"/>
        <b/>
        <color theme="1"/>
        <sz val="10.0"/>
        <vertAlign val="subscript"/>
      </rPr>
      <t>2</t>
    </r>
    <r>
      <rPr>
        <rFont val="Arial"/>
        <b/>
        <color theme="1"/>
        <sz val="10.0"/>
      </rPr>
      <t>O EF (g gas/MMBTU)</t>
    </r>
  </si>
  <si>
    <t>This section includes emissions from all mobile combustion of fossil fuels used in vehicles not owned by the institution, but whose services are directly solicited by the institution.</t>
  </si>
  <si>
    <t>FY 14/15 Updated (5/2016)</t>
  </si>
  <si>
    <r>
      <rPr>
        <rFont val="Arial"/>
        <b/>
        <color theme="1"/>
        <sz val="10.0"/>
      </rPr>
      <t xml:space="preserve">FY 18/19 </t>
    </r>
    <r>
      <rPr>
        <rFont val="Arial"/>
        <b/>
        <color theme="1"/>
        <sz val="8.0"/>
      </rPr>
      <t>(see tab for FY19 Travel Sources</t>
    </r>
  </si>
  <si>
    <t>FY 19/20 TBD</t>
  </si>
  <si>
    <r>
      <rPr>
        <rFont val="Arial"/>
        <b/>
        <color theme="1"/>
        <sz val="10.0"/>
      </rPr>
      <t xml:space="preserve">FY 20/21 </t>
    </r>
    <r>
      <rPr>
        <rFont val="Arial"/>
        <b/>
        <color theme="1"/>
        <sz val="8.0"/>
      </rPr>
      <t>TBD</t>
    </r>
  </si>
  <si>
    <r>
      <rPr>
        <rFont val="Arial"/>
        <b/>
        <color theme="1"/>
        <sz val="10.0"/>
      </rPr>
      <t xml:space="preserve">FY 2/22 </t>
    </r>
    <r>
      <rPr>
        <rFont val="Arial"/>
        <b/>
        <color theme="1"/>
        <sz val="8.0"/>
      </rPr>
      <t>TBD</t>
    </r>
  </si>
  <si>
    <t>Mileage Reimbursement for use of Personal and Rental Cars (Gasoline)</t>
  </si>
  <si>
    <t>FY 14/15 Updated</t>
  </si>
  <si>
    <r>
      <rPr>
        <rFont val="Arial"/>
        <color theme="1"/>
        <sz val="10.0"/>
      </rPr>
      <t xml:space="preserve">Total Reimbursement $ </t>
    </r>
    <r>
      <rPr>
        <rFont val="Arial"/>
        <color rgb="FFDD0806"/>
        <sz val="10.0"/>
      </rPr>
      <t>□</t>
    </r>
  </si>
  <si>
    <t>Annual ave cents/gal</t>
  </si>
  <si>
    <t>Total Reimbursement Gas (gal)</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</si>
  <si>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</si>
  <si>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</si>
  <si>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</si>
  <si>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</si>
  <si>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</si>
  <si>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Mil Reimb.</t>
  </si>
  <si>
    <t>Taxi Emissions (Gasoline)</t>
  </si>
  <si>
    <t>na</t>
  </si>
  <si>
    <r>
      <rPr>
        <rFont val="Arial"/>
        <color theme="1"/>
        <sz val="10.0"/>
      </rPr>
      <t xml:space="preserve">Total Taxi $ </t>
    </r>
    <r>
      <rPr>
        <rFont val="Arial"/>
        <color rgb="FFDD0806"/>
        <sz val="10.0"/>
      </rPr>
      <t>□</t>
    </r>
  </si>
  <si>
    <t>Midd Transit Case Study: Midd =&gt; Burlington</t>
  </si>
  <si>
    <t>Average $/person</t>
  </si>
  <si>
    <t>Average people/trip</t>
  </si>
  <si>
    <t>Average $/trip</t>
  </si>
  <si>
    <t>Mode trip distance (mi)</t>
  </si>
  <si>
    <t>Total Taxi Miles</t>
  </si>
  <si>
    <t>Van mi/gal</t>
  </si>
  <si>
    <t>Total Taxi Gas (gal)</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</si>
  <si>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</si>
  <si>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</si>
  <si>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</si>
  <si>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</si>
  <si>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</si>
  <si>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Taxi Gassoline</t>
  </si>
  <si>
    <t xml:space="preserve">Many of the blue highlighted Midd-specific numbers were used for all fiscal years to calculate emissions. This presents a comparability problem if we update this data for a new fiscal year. If the data were not the same in FY 01/02 as in FY 06/07, but were used just the same, then we cannot update the data for the upcoming fiscal year and expect to see comparable results. It seems that if we want to update blue numbers for a new FY, then we should get historical data and retroactively calculate what emissions were in previous fiscal years given actual circumstances as defined by this data. </t>
  </si>
  <si>
    <t>Bus Emissions (Diesel)</t>
  </si>
  <si>
    <r>
      <rPr>
        <rFont val="Arial"/>
        <color theme="1"/>
        <sz val="10.0"/>
      </rPr>
      <t xml:space="preserve">Total Bus $ </t>
    </r>
    <r>
      <rPr>
        <rFont val="Arial"/>
        <color rgb="FFDD0806"/>
        <sz val="10.0"/>
      </rPr>
      <t>□</t>
    </r>
  </si>
  <si>
    <t>Mode Bus Size (by capacity)</t>
  </si>
  <si>
    <t>Base hourly fee ($/hr)</t>
  </si>
  <si>
    <t>Live Mile charge/mile ($/mi)</t>
  </si>
  <si>
    <t>Dead Mile charge/mile ($/mi)</t>
  </si>
  <si>
    <t>High Emissions/$ Scenario: Midd=&gt;Colby for a 4 Hour Event</t>
  </si>
  <si>
    <t>Live Speed</t>
  </si>
  <si>
    <t>Dead Speed</t>
  </si>
  <si>
    <t>Total Cost</t>
  </si>
  <si>
    <t>Total Gal Diesel Combusted</t>
  </si>
  <si>
    <t>Gal/$ Given the High Em. Scenario</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</si>
  <si>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</si>
  <si>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</si>
  <si>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</si>
  <si>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</si>
  <si>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</si>
  <si>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Bus Travel:</t>
  </si>
  <si>
    <t>Air Travel Emissions</t>
  </si>
  <si>
    <t>Est</t>
  </si>
  <si>
    <t xml:space="preserve">Actuals: </t>
  </si>
  <si>
    <r>
      <rPr>
        <rFont val="Arial"/>
        <color theme="1"/>
        <sz val="10.0"/>
      </rPr>
      <t xml:space="preserve">Total Airline $ </t>
    </r>
    <r>
      <rPr>
        <rFont val="Arial"/>
        <color rgb="FFDD0806"/>
        <sz val="10.0"/>
      </rPr>
      <t>□</t>
    </r>
  </si>
  <si>
    <t>Note FY20 and FY21 air $ expenditures are estimates that assume travel went down by half of FY19 to reflect that no air travel was permitted during the pandemic period of March 2020 to Decmber 2020. Other travel modes were not similarly adjusted.</t>
  </si>
  <si>
    <r>
      <rPr>
        <rFont val="Arial"/>
        <color theme="1"/>
        <sz val="10.0"/>
      </rPr>
      <t xml:space="preserve">% of $ spent on dom travel </t>
    </r>
    <r>
      <rPr>
        <rFont val="Arial"/>
        <color rgb="FFDD0806"/>
        <sz val="10.0"/>
      </rPr>
      <t>□</t>
    </r>
  </si>
  <si>
    <t>Burlington to NYC RT price</t>
  </si>
  <si>
    <t>Burlington to NYC RT mileage</t>
  </si>
  <si>
    <t>Burl. to NY $/pass-mi</t>
  </si>
  <si>
    <t>Burl. to Phoenix via DC RT price</t>
  </si>
  <si>
    <r>
      <rPr>
        <rFont val="Verdana"/>
        <color rgb="FF333333"/>
        <sz val="12.0"/>
      </rPr>
      <t>CO</t>
    </r>
    <r>
      <rPr>
        <rFont val="Verdana"/>
        <color rgb="FF333333"/>
        <sz val="12.0"/>
        <vertAlign val="subscript"/>
      </rPr>
      <t xml:space="preserve">2 </t>
    </r>
    <r>
      <rPr>
        <rFont val="Verdana"/>
        <color rgb="FF333333"/>
        <sz val="12.0"/>
      </rPr>
      <t xml:space="preserve">emissions in air travel vary by length of flight, ranging from </t>
    </r>
    <r>
      <rPr>
        <rFont val="Verdana"/>
        <b/>
        <color rgb="FF333333"/>
        <sz val="12.0"/>
      </rPr>
      <t>0.</t>
    </r>
    <r>
      <rPr>
        <rFont val="Verdana"/>
        <color rgb="FF333333"/>
        <sz val="12.0"/>
      </rPr>
      <t>277 kg CO</t>
    </r>
    <r>
      <rPr>
        <rFont val="Verdana"/>
        <color rgb="FF333333"/>
        <sz val="12.0"/>
        <vertAlign val="subscript"/>
      </rPr>
      <t>2</t>
    </r>
    <r>
      <rPr>
        <rFont val="Verdana"/>
        <color rgb="FF333333"/>
        <sz val="12.0"/>
      </rPr>
      <t xml:space="preserve"> per passenger mile to 0.185 kg CO</t>
    </r>
    <r>
      <rPr>
        <rFont val="Verdana"/>
        <color rgb="FF333333"/>
        <sz val="12.0"/>
        <vertAlign val="subscript"/>
      </rPr>
      <t>2</t>
    </r>
    <r>
      <rPr>
        <rFont val="Verdana"/>
        <color rgb="FF333333"/>
        <sz val="12.0"/>
      </rPr>
      <t xml:space="preserve">per passenger mile, depending on the flight distance. </t>
    </r>
  </si>
  <si>
    <t>Burl. to Phoenix via DC RT mileage</t>
  </si>
  <si>
    <t>Burl. to Phoenix via DC $/pass-mi</t>
  </si>
  <si>
    <t>Burl. to London via DC RT price</t>
  </si>
  <si>
    <t>Burl. to London via DC RT mileage</t>
  </si>
  <si>
    <t>Burl. to London via DC $/pass-mi</t>
  </si>
  <si>
    <t>Domestic $/passenger mi</t>
  </si>
  <si>
    <t>http://www.id-ong.org/en/carbon-offset-calculation</t>
  </si>
  <si>
    <t>International $/passenger mi</t>
  </si>
  <si>
    <t>gCO2e/pkm</t>
  </si>
  <si>
    <t>Departure : New York, NY, USA</t>
  </si>
  <si>
    <t>Domestic passenger mi</t>
  </si>
  <si>
    <t>gCO2/pmi</t>
  </si>
  <si>
    <t>Destination : Beijing, China</t>
  </si>
  <si>
    <t>International passenger mi</t>
  </si>
  <si>
    <t>tonnesCO2/pmi</t>
  </si>
  <si>
    <t>Distance : 11002 kilomètres</t>
  </si>
  <si>
    <t>Total Passenger mi</t>
  </si>
  <si>
    <t>tonnes CO2 fy 13</t>
  </si>
  <si>
    <t>Emissions : 5 teq CO2 (metric tons of CO2 equivalent)</t>
  </si>
  <si>
    <t>Dom BTU jet fuel/pass. mi.</t>
  </si>
  <si>
    <t>Offset price : 100 €</t>
  </si>
  <si>
    <t>2.2 lbs/kg</t>
  </si>
  <si>
    <t>Int BTU jet fuel/pass. mi.</t>
  </si>
  <si>
    <t>MMBTU/airfare $ EF</t>
  </si>
  <si>
    <t>gCO2/pkm</t>
  </si>
  <si>
    <t>pkm</t>
  </si>
  <si>
    <r>
      <rPr>
        <rFont val="Arial"/>
        <color theme="1"/>
        <sz val="10.0"/>
      </rPr>
      <t>Tonnes CO</t>
    </r>
    <r>
      <rPr>
        <rFont val="Arial"/>
        <color theme="1"/>
        <sz val="10.0"/>
        <vertAlign val="subscript"/>
      </rPr>
      <t>2</t>
    </r>
    <r>
      <rPr>
        <rFont val="Arial"/>
        <color theme="1"/>
        <sz val="10.0"/>
      </rPr>
      <t>/airfare $ EF</t>
    </r>
  </si>
  <si>
    <t>pmi</t>
  </si>
  <si>
    <t>kg CO2/pmi  (carbon fund.org)</t>
  </si>
  <si>
    <t>mtcde/p</t>
  </si>
  <si>
    <r>
      <rPr>
        <rFont val="Arial"/>
        <b/>
        <color theme="1"/>
        <sz val="10.0"/>
      </rPr>
      <t>Metric Tonnes CO</t>
    </r>
    <r>
      <rPr>
        <rFont val="Arial"/>
        <b/>
        <color theme="1"/>
        <sz val="10.0"/>
        <vertAlign val="subscript"/>
      </rPr>
      <t>2</t>
    </r>
  </si>
  <si>
    <t>mtcde/pmi</t>
  </si>
  <si>
    <t>Radiative Forcing Index (RFI)</t>
  </si>
  <si>
    <t>total pmi fy13</t>
  </si>
  <si>
    <t>% of miles in fy 13</t>
  </si>
  <si>
    <t>MTCDEs Adj. for RFI</t>
  </si>
  <si>
    <t>kg CO2 fy 13</t>
  </si>
  <si>
    <t>Gallons of Jet Fuel Consumed</t>
  </si>
  <si>
    <t>tonnes CO2</t>
  </si>
  <si>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</si>
  <si>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</si>
  <si>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t>Destination : San Francisco, CA, USA</t>
  </si>
  <si>
    <r>
      <rPr>
        <rFont val="Arial"/>
        <color theme="1"/>
        <sz val="10.0"/>
      </rPr>
      <t>Tonnes N</t>
    </r>
    <r>
      <rPr>
        <rFont val="Arial"/>
        <color theme="1"/>
        <sz val="10.0"/>
        <vertAlign val="subscript"/>
      </rPr>
      <t>2</t>
    </r>
    <r>
      <rPr>
        <rFont val="Arial"/>
        <color theme="1"/>
        <sz val="10.0"/>
      </rPr>
      <t>O</t>
    </r>
  </si>
  <si>
    <t>$/mi DoT average</t>
  </si>
  <si>
    <t>Distance : 4136 kilomètres</t>
  </si>
  <si>
    <r>
      <rPr>
        <rFont val="Arial"/>
        <b/>
        <color theme="1"/>
        <sz val="10.0"/>
      </rPr>
      <t>MTCDE from N</t>
    </r>
    <r>
      <rPr>
        <rFont val="Arial"/>
        <b/>
        <color theme="1"/>
        <sz val="10.0"/>
        <vertAlign val="subscript"/>
      </rPr>
      <t>2</t>
    </r>
    <r>
      <rPr>
        <rFont val="Arial"/>
        <b/>
        <color theme="1"/>
        <sz val="10.0"/>
      </rPr>
      <t>O</t>
    </r>
  </si>
  <si>
    <t>lbs/mi GHG</t>
  </si>
  <si>
    <t>Emissions : 2 teq CO2 (metric tons of CO2 equivalent)</t>
  </si>
  <si>
    <t>ΣMTCDE from Air Travel:</t>
  </si>
  <si>
    <t>total air $ fy13</t>
  </si>
  <si>
    <t>Offset price : 40 €</t>
  </si>
  <si>
    <t>lbs ghg</t>
  </si>
  <si>
    <t>Train Travel Emissions (assume diesel fueled trains)</t>
  </si>
  <si>
    <t>lbs/mt</t>
  </si>
  <si>
    <r>
      <rPr>
        <rFont val="Arial"/>
        <color theme="1"/>
        <sz val="10.0"/>
      </rPr>
      <t xml:space="preserve">Total Train $ </t>
    </r>
    <r>
      <rPr>
        <rFont val="Arial"/>
        <color rgb="FFDD0806"/>
        <sz val="10.0"/>
      </rPr>
      <t>□</t>
    </r>
  </si>
  <si>
    <t>Burlington to St. Albans RT price</t>
  </si>
  <si>
    <t>Burlington to St. Albans RT mileage</t>
  </si>
  <si>
    <t>Burlington to St. Albans $/pass-mi</t>
  </si>
  <si>
    <t>Burl. to NYC RT price</t>
  </si>
  <si>
    <t>*Friday one-way ticket from Burlington: $74, otherwise: $56</t>
  </si>
  <si>
    <t>Destination : Cleveland, OH, USA</t>
  </si>
  <si>
    <t>Burl. to NYC mileage</t>
  </si>
  <si>
    <t>Distance : 653 kilomètres</t>
  </si>
  <si>
    <t>Burl. to NYC $/pass-mi</t>
  </si>
  <si>
    <t>Emissions : 1 teq CO2 (metric tons of CO2 equivalent)</t>
  </si>
  <si>
    <t>Burl. to DC RT price</t>
  </si>
  <si>
    <t>*Friday one-way ticket from Burlington: $145, otherwise: $84</t>
  </si>
  <si>
    <t>Offset price : 20 €</t>
  </si>
  <si>
    <t>Burl. to DC RT mileage</t>
  </si>
  <si>
    <t>Burl. to Wa. DC $/pass-mi</t>
  </si>
  <si>
    <t>Average $/passenger-mile</t>
  </si>
  <si>
    <t>Total train passenger-miles</t>
  </si>
  <si>
    <t>Amtrak BTU/pass. mi.</t>
  </si>
  <si>
    <t>MMBTU/train $ EF</t>
  </si>
  <si>
    <t>% of miels in fy13</t>
  </si>
  <si>
    <r>
      <rPr>
        <rFont val="Arial"/>
        <color theme="1"/>
        <sz val="10.0"/>
      </rPr>
      <t>Tonnes CO</t>
    </r>
    <r>
      <rPr>
        <rFont val="Arial"/>
        <color theme="1"/>
        <sz val="10.0"/>
        <vertAlign val="subscript"/>
      </rPr>
      <t>2</t>
    </r>
    <r>
      <rPr>
        <rFont val="Arial"/>
        <color theme="1"/>
        <sz val="10.0"/>
      </rPr>
      <t>/train $ EF</t>
    </r>
  </si>
  <si>
    <r>
      <rPr>
        <rFont val="Arial"/>
        <b/>
        <color theme="1"/>
        <sz val="10.0"/>
      </rPr>
      <t>Metric Tonnes CO</t>
    </r>
    <r>
      <rPr>
        <rFont val="Arial"/>
        <b/>
        <color theme="1"/>
        <sz val="10.0"/>
        <vertAlign val="subscript"/>
      </rPr>
      <t>2</t>
    </r>
  </si>
  <si>
    <t>total all flights</t>
  </si>
  <si>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</si>
  <si>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</si>
  <si>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</si>
  <si>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</si>
  <si>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Train Travel:</t>
  </si>
  <si>
    <t>Mileage/Rental/Taxi Estimate vs Actual</t>
  </si>
  <si>
    <t>MMBTU/BTU (1/1 million)</t>
  </si>
  <si>
    <t>Actual</t>
  </si>
  <si>
    <t>C est Mileage/Rental</t>
  </si>
  <si>
    <t>Taxi</t>
  </si>
  <si>
    <t>total</t>
  </si>
  <si>
    <r>
      <rPr>
        <rFont val="Arial"/>
        <b/>
        <i/>
        <color theme="1"/>
        <sz val="10.0"/>
      </rPr>
      <t>tonne/gram (1/1x10</t>
    </r>
    <r>
      <rPr>
        <rFont val="Arial"/>
        <b/>
        <i/>
        <color theme="1"/>
        <sz val="10.0"/>
        <vertAlign val="superscript"/>
      </rPr>
      <t>6</t>
    </r>
    <r>
      <rPr>
        <rFont val="Arial"/>
        <b/>
        <i/>
        <color theme="1"/>
        <sz val="10.0"/>
      </rPr>
      <t>)</t>
    </r>
  </si>
  <si>
    <t>US Dollars/cent (1/100)</t>
  </si>
  <si>
    <t>kg/tonne (1,000/1)</t>
  </si>
  <si>
    <r>
      <rPr>
        <rFont val="Arial"/>
        <b/>
        <color theme="1"/>
        <sz val="10.0"/>
      </rPr>
      <t>CH</t>
    </r>
    <r>
      <rPr>
        <rFont val="Arial"/>
        <b/>
        <color theme="1"/>
        <sz val="10.0"/>
        <vertAlign val="subscript"/>
      </rPr>
      <t>4</t>
    </r>
    <r>
      <rPr>
        <rFont val="Arial"/>
        <b/>
        <color theme="1"/>
        <sz val="10.0"/>
      </rPr>
      <t xml:space="preserve"> GWP</t>
    </r>
  </si>
  <si>
    <r>
      <rPr>
        <rFont val="Arial"/>
        <b/>
        <color theme="1"/>
        <sz val="10.0"/>
      </rPr>
      <t>N</t>
    </r>
    <r>
      <rPr>
        <rFont val="Arial"/>
        <b/>
        <color theme="1"/>
        <sz val="10.0"/>
        <vertAlign val="subscript"/>
      </rPr>
      <t>2</t>
    </r>
    <r>
      <rPr>
        <rFont val="Arial"/>
        <b/>
        <color theme="1"/>
        <sz val="10.0"/>
      </rPr>
      <t>O GWP</t>
    </r>
  </si>
  <si>
    <t>% diff</t>
  </si>
  <si>
    <t>Actual cartbon emissions</t>
  </si>
  <si>
    <t>Diff</t>
  </si>
  <si>
    <t>Mileage Reimbursement for use of Personal and Rental Cars (Gasoline):</t>
  </si>
  <si>
    <t>Air travel diff Fy20-FY23</t>
  </si>
  <si>
    <r>
      <rPr>
        <rFont val="Arial"/>
        <b/>
        <color theme="1"/>
        <sz val="10.0"/>
      </rPr>
      <t>Tonnes CO</t>
    </r>
    <r>
      <rPr>
        <rFont val="Arial"/>
        <b/>
        <color theme="1"/>
        <sz val="10.0"/>
        <vertAlign val="subscript"/>
      </rPr>
      <t>2</t>
    </r>
    <r>
      <rPr>
        <rFont val="Arial"/>
        <b/>
        <color theme="1"/>
        <sz val="10.0"/>
      </rPr>
      <t>/gal gas EF</t>
    </r>
  </si>
  <si>
    <t>Total emissions over est.</t>
  </si>
  <si>
    <r>
      <rPr>
        <rFont val="Arial"/>
        <b/>
        <color theme="1"/>
        <sz val="10.0"/>
      </rPr>
      <t>CH</t>
    </r>
    <r>
      <rPr>
        <rFont val="Arial"/>
        <b/>
        <color theme="1"/>
        <sz val="10.0"/>
        <vertAlign val="subscript"/>
      </rPr>
      <t>4</t>
    </r>
    <r>
      <rPr>
        <rFont val="Arial"/>
        <b/>
        <color theme="1"/>
        <sz val="10.0"/>
      </rPr>
      <t xml:space="preserve"> EF (g gas/mile)</t>
    </r>
  </si>
  <si>
    <r>
      <rPr>
        <rFont val="Arial"/>
        <b/>
        <color theme="1"/>
        <sz val="10.0"/>
      </rPr>
      <t>N</t>
    </r>
    <r>
      <rPr>
        <rFont val="Arial"/>
        <b/>
        <color theme="1"/>
        <sz val="10.0"/>
        <vertAlign val="subscript"/>
      </rPr>
      <t>2</t>
    </r>
    <r>
      <rPr>
        <rFont val="Arial"/>
        <b/>
        <color theme="1"/>
        <sz val="10.0"/>
      </rPr>
      <t>O EF (g gas/mile)</t>
    </r>
  </si>
  <si>
    <r>
      <rPr>
        <rFont val="Arial"/>
        <b/>
        <color theme="1"/>
        <sz val="10.0"/>
      </rPr>
      <t>MW ratio (kg CO</t>
    </r>
    <r>
      <rPr>
        <rFont val="Arial"/>
        <b/>
        <color theme="1"/>
        <sz val="10.0"/>
        <vertAlign val="subscript"/>
      </rPr>
      <t>2</t>
    </r>
    <r>
      <rPr>
        <rFont val="Arial"/>
        <b/>
        <color theme="1"/>
        <sz val="10.0"/>
      </rPr>
      <t>/kg C)</t>
    </r>
  </si>
  <si>
    <t>Taxi Emissions (Gasoline):</t>
  </si>
  <si>
    <r>
      <rPr>
        <rFont val="Arial"/>
        <b/>
        <color theme="1"/>
        <sz val="10.0"/>
      </rPr>
      <t>Tonnes CO</t>
    </r>
    <r>
      <rPr>
        <rFont val="Arial"/>
        <b/>
        <color theme="1"/>
        <sz val="10.0"/>
        <vertAlign val="subscript"/>
      </rPr>
      <t>2</t>
    </r>
    <r>
      <rPr>
        <rFont val="Arial"/>
        <b/>
        <color theme="1"/>
        <sz val="10.0"/>
      </rPr>
      <t>/gal gas EF</t>
    </r>
  </si>
  <si>
    <r>
      <rPr>
        <rFont val="Arial"/>
        <b/>
        <color theme="1"/>
        <sz val="10.0"/>
      </rPr>
      <t>CH</t>
    </r>
    <r>
      <rPr>
        <rFont val="Arial"/>
        <b/>
        <color theme="1"/>
        <sz val="10.0"/>
        <vertAlign val="subscript"/>
      </rPr>
      <t>4</t>
    </r>
    <r>
      <rPr>
        <rFont val="Arial"/>
        <b/>
        <color theme="1"/>
        <sz val="10.0"/>
      </rPr>
      <t xml:space="preserve"> EF (g gas/mile)</t>
    </r>
  </si>
  <si>
    <r>
      <rPr>
        <rFont val="Arial"/>
        <b/>
        <color theme="1"/>
        <sz val="10.0"/>
      </rPr>
      <t>N</t>
    </r>
    <r>
      <rPr>
        <rFont val="Arial"/>
        <b/>
        <color theme="1"/>
        <sz val="10.0"/>
        <vertAlign val="subscript"/>
      </rPr>
      <t>2</t>
    </r>
    <r>
      <rPr>
        <rFont val="Arial"/>
        <b/>
        <color theme="1"/>
        <sz val="10.0"/>
      </rPr>
      <t>O EF (g gas/mile)</t>
    </r>
  </si>
  <si>
    <r>
      <rPr>
        <rFont val="Arial"/>
        <b/>
        <color theme="1"/>
        <sz val="10.0"/>
      </rPr>
      <t>MW ratio (kg CO</t>
    </r>
    <r>
      <rPr>
        <rFont val="Arial"/>
        <b/>
        <color theme="1"/>
        <sz val="10.0"/>
        <vertAlign val="subscript"/>
      </rPr>
      <t>2</t>
    </r>
    <r>
      <rPr>
        <rFont val="Arial"/>
        <b/>
        <color theme="1"/>
        <sz val="10.0"/>
      </rPr>
      <t>/kg C)</t>
    </r>
  </si>
  <si>
    <t>Bus Emissions (Diesel):</t>
  </si>
  <si>
    <r>
      <rPr>
        <rFont val="Arial"/>
        <b/>
        <color theme="1"/>
        <sz val="10.0"/>
      </rPr>
      <t>Tonnes CO</t>
    </r>
    <r>
      <rPr>
        <rFont val="Arial"/>
        <b/>
        <color theme="1"/>
        <sz val="10.0"/>
        <vertAlign val="subscript"/>
      </rPr>
      <t>2</t>
    </r>
    <r>
      <rPr>
        <rFont val="Arial"/>
        <b/>
        <color theme="1"/>
        <sz val="10.0"/>
      </rPr>
      <t>/gal diesel EF</t>
    </r>
  </si>
  <si>
    <r>
      <rPr>
        <rFont val="Arial"/>
        <b/>
        <color theme="1"/>
        <sz val="10.0"/>
      </rPr>
      <t>CH</t>
    </r>
    <r>
      <rPr>
        <rFont val="Arial"/>
        <b/>
        <color theme="1"/>
        <sz val="10.0"/>
        <vertAlign val="subscript"/>
      </rPr>
      <t>4</t>
    </r>
    <r>
      <rPr>
        <rFont val="Arial"/>
        <b/>
        <color theme="1"/>
        <sz val="10.0"/>
      </rPr>
      <t xml:space="preserve"> EF (g gas/mile)</t>
    </r>
  </si>
  <si>
    <r>
      <rPr>
        <rFont val="Arial"/>
        <b/>
        <color theme="1"/>
        <sz val="10.0"/>
      </rPr>
      <t>N</t>
    </r>
    <r>
      <rPr>
        <rFont val="Arial"/>
        <b/>
        <color theme="1"/>
        <sz val="10.0"/>
        <vertAlign val="subscript"/>
      </rPr>
      <t>2</t>
    </r>
    <r>
      <rPr>
        <rFont val="Arial"/>
        <b/>
        <color theme="1"/>
        <sz val="10.0"/>
      </rPr>
      <t>O EF (g gas/mile)</t>
    </r>
  </si>
  <si>
    <r>
      <rPr>
        <rFont val="Arial"/>
        <b/>
        <color theme="1"/>
        <sz val="10.0"/>
      </rPr>
      <t>MW ratio (kg CO</t>
    </r>
    <r>
      <rPr>
        <rFont val="Arial"/>
        <b/>
        <color theme="1"/>
        <sz val="10.0"/>
        <vertAlign val="subscript"/>
      </rPr>
      <t>2</t>
    </r>
    <r>
      <rPr>
        <rFont val="Arial"/>
        <b/>
        <color theme="1"/>
        <sz val="10.0"/>
      </rPr>
      <t>/kg C)</t>
    </r>
  </si>
  <si>
    <t>Live RT Distance (mi)</t>
  </si>
  <si>
    <t>Dead RT Distance (mi)</t>
  </si>
  <si>
    <t>Live Time (hr)</t>
  </si>
  <si>
    <t>Dead Time (hr)</t>
  </si>
  <si>
    <t>Stationary Time (hr)</t>
  </si>
  <si>
    <t>Gallons per Mile (diesel)</t>
  </si>
  <si>
    <t>Bus Miles per Gal</t>
  </si>
  <si>
    <t>Air Travel Emissions:</t>
  </si>
  <si>
    <r>
      <rPr>
        <rFont val="Arial"/>
        <b/>
        <color theme="1"/>
        <sz val="10.0"/>
      </rPr>
      <t>CH</t>
    </r>
    <r>
      <rPr>
        <rFont val="Arial"/>
        <b/>
        <color theme="1"/>
        <sz val="10.0"/>
        <vertAlign val="subscript"/>
      </rPr>
      <t>4</t>
    </r>
    <r>
      <rPr>
        <rFont val="Arial"/>
        <b/>
        <color theme="1"/>
        <sz val="10.0"/>
      </rPr>
      <t xml:space="preserve"> EF (g gas/kg fuel)</t>
    </r>
  </si>
  <si>
    <r>
      <rPr>
        <rFont val="Arial"/>
        <b/>
        <color theme="1"/>
        <sz val="10.0"/>
      </rPr>
      <t>N</t>
    </r>
    <r>
      <rPr>
        <rFont val="Arial"/>
        <b/>
        <color theme="1"/>
        <sz val="10.0"/>
        <vertAlign val="subscript"/>
      </rPr>
      <t>2</t>
    </r>
    <r>
      <rPr>
        <rFont val="Arial"/>
        <b/>
        <color theme="1"/>
        <sz val="10.0"/>
      </rPr>
      <t>O EF (g gas/kg fuel)</t>
    </r>
  </si>
  <si>
    <t>HC (MMBTU/bbll)</t>
  </si>
  <si>
    <r>
      <rPr>
        <rFont val="Arial"/>
        <b/>
        <color theme="1"/>
        <sz val="10.0"/>
      </rPr>
      <t>MW ratio (kg CO</t>
    </r>
    <r>
      <rPr>
        <rFont val="Arial"/>
        <b/>
        <color theme="1"/>
        <sz val="10.0"/>
        <vertAlign val="subscript"/>
      </rPr>
      <t>2</t>
    </r>
    <r>
      <rPr>
        <rFont val="Arial"/>
        <b/>
        <color theme="1"/>
        <sz val="10.0"/>
      </rPr>
      <t>/kg C)</t>
    </r>
  </si>
  <si>
    <t>Jet Fuel Density (tonne/bbll)</t>
  </si>
  <si>
    <t>Train Travel Emissions (assume diesel fueled trains):</t>
  </si>
  <si>
    <t>Fuel Density (kg/gal)</t>
  </si>
  <si>
    <r>
      <rPr>
        <rFont val="Arial"/>
        <b/>
        <color theme="1"/>
        <sz val="10.0"/>
      </rPr>
      <t>CH</t>
    </r>
    <r>
      <rPr>
        <rFont val="Arial"/>
        <b/>
        <color theme="1"/>
        <sz val="10.0"/>
        <vertAlign val="subscript"/>
      </rPr>
      <t>4</t>
    </r>
    <r>
      <rPr>
        <rFont val="Arial"/>
        <b/>
        <color theme="1"/>
        <sz val="10.0"/>
      </rPr>
      <t xml:space="preserve"> EF (g gas/kg fuel)</t>
    </r>
  </si>
  <si>
    <r>
      <rPr>
        <rFont val="Arial"/>
        <b/>
        <color theme="1"/>
        <sz val="10.0"/>
      </rPr>
      <t>N</t>
    </r>
    <r>
      <rPr>
        <rFont val="Arial"/>
        <b/>
        <color theme="1"/>
        <sz val="10.0"/>
        <vertAlign val="subscript"/>
      </rPr>
      <t>2</t>
    </r>
    <r>
      <rPr>
        <rFont val="Arial"/>
        <b/>
        <color theme="1"/>
        <sz val="10.0"/>
      </rPr>
      <t>O EF (g gas/kg fuel)</t>
    </r>
  </si>
  <si>
    <r>
      <rPr>
        <rFont val="Arial"/>
        <b/>
        <color theme="1"/>
        <sz val="10.0"/>
      </rPr>
      <t>MW ratio (kg CO</t>
    </r>
    <r>
      <rPr>
        <rFont val="Arial"/>
        <b/>
        <color theme="1"/>
        <sz val="10.0"/>
        <vertAlign val="subscript"/>
      </rPr>
      <t>2</t>
    </r>
    <r>
      <rPr>
        <rFont val="Arial"/>
        <b/>
        <color theme="1"/>
        <sz val="10.0"/>
      </rPr>
      <t>/kg C)</t>
    </r>
  </si>
  <si>
    <t>FY19 Data adjustment for emissions</t>
  </si>
  <si>
    <t>from taxis, bus, and trains (see tab</t>
  </si>
  <si>
    <t xml:space="preserve"> "Scope 3 Travel Sources FY19")</t>
  </si>
  <si>
    <t>mtcde</t>
  </si>
  <si>
    <r>
      <rPr>
        <rFont val="Arial"/>
        <b/>
        <color theme="1"/>
        <sz val="10.0"/>
      </rPr>
      <t xml:space="preserve">Figure S3.1. </t>
    </r>
    <r>
      <rPr>
        <rFont val="Arial"/>
        <b val="0"/>
        <color theme="1"/>
        <sz val="10.0"/>
      </rPr>
      <t xml:space="preserve">Key for Scope 1 Mobile Carbon Dioxide Calculations. </t>
    </r>
    <r>
      <rPr>
        <rFont val="Arial"/>
        <b val="0"/>
        <i/>
        <color theme="1"/>
        <sz val="10.0"/>
      </rPr>
      <t>Source:</t>
    </r>
    <r>
      <rPr>
        <rFont val="Arial"/>
        <b val="0"/>
        <color theme="1"/>
        <sz val="10.0"/>
      </rPr>
      <t xml:space="preserve"> </t>
    </r>
    <r>
      <rPr>
        <rFont val="Arial"/>
        <b val="0"/>
        <color theme="1"/>
        <sz val="10.0"/>
      </rPr>
      <t>EPA Climate Leaders. 2004.</t>
    </r>
    <r>
      <rPr>
        <rFont val="Arial"/>
        <b val="0"/>
        <color theme="1"/>
        <sz val="10.0"/>
      </rPr>
      <t xml:space="preserve"> "Core Module Guidance: Direct Emissions from Mobile Combustion Sources." pp 5. &lt;http://www.epa.gov/climateleaders/docs/mobilesourceguidance.pdf&gt;</t>
    </r>
  </si>
  <si>
    <r>
      <rPr>
        <rFont val="Arial"/>
        <b/>
        <color theme="1"/>
        <sz val="10.0"/>
      </rPr>
      <t xml:space="preserve">Figure S3.2. </t>
    </r>
    <r>
      <rPr>
        <rFont val="Arial"/>
        <b val="0"/>
        <color theme="1"/>
        <sz val="10.0"/>
      </rPr>
      <t xml:space="preserve">Key for Scope 1 Mobile Methane and Nitrous Oxide Calculations. </t>
    </r>
    <r>
      <rPr>
        <rFont val="Arial"/>
        <b val="0"/>
        <i/>
        <color theme="1"/>
        <sz val="10.0"/>
      </rPr>
      <t>Source:</t>
    </r>
    <r>
      <rPr>
        <rFont val="Arial"/>
        <b val="0"/>
        <color theme="1"/>
        <sz val="10.0"/>
      </rPr>
      <t xml:space="preserve"> </t>
    </r>
    <r>
      <rPr>
        <rFont val="Arial"/>
        <b val="0"/>
        <color theme="1"/>
        <sz val="10.0"/>
      </rPr>
      <t xml:space="preserve">EPA Climate Leaders. 2004. </t>
    </r>
    <r>
      <rPr>
        <rFont val="Arial"/>
        <b val="0"/>
        <color theme="1"/>
        <sz val="10.0"/>
      </rPr>
      <t>"Core Module Guidance: Direct Emissions from Mobile Combustion Sources." pp 7. &lt;http://www.epa.gov/climateleaders/docs/mobilesourceguidance.pdf&gt;</t>
    </r>
  </si>
  <si>
    <t>Higher heating values (HHV) are used. FY01/02-FY05/06: EPA Climate Leaders. 2004. "Core Module Guidance: Direct Emissions from Stationary Combustion Sources." pp 22. &lt;http://www.epa.gov/climateleaders/docs/stationarycombustionguidance.pdf &gt; [JK 06]</t>
  </si>
  <si>
    <t>Higher heating values (HHV) are used. EPA Climate Leaders. 2004. "Core Module Guidance: Direct Emissions from Mobile Combustion Sources." pp 26. &lt;http://www.epa.gov/climateleaders/docs/mobilesourceguidance.pdf&gt; [JK 06]</t>
  </si>
  <si>
    <t>EPA Climate Leaders. 2004. "Core Module Guidance: Direct Emissions from Mobile Combustion Sources." pp 26. &lt;http://www.epa.gov/climateleaders/docs/mobilesourceguidance.pdf&gt; [BB 07]</t>
  </si>
  <si>
    <r>
      <rPr>
        <rFont val="Arial"/>
        <color theme="1"/>
      </rPr>
      <t>MW ratio (kg CO</t>
    </r>
    <r>
      <rPr>
        <rFont val="Arial"/>
        <color theme="1"/>
        <sz val="10.0"/>
        <vertAlign val="subscript"/>
      </rPr>
      <t>2</t>
    </r>
    <r>
      <rPr>
        <rFont val="Arial"/>
        <color theme="1"/>
        <sz val="10.0"/>
      </rPr>
      <t>/kg C)</t>
    </r>
  </si>
  <si>
    <r>
      <rPr>
        <rFont val="Arial"/>
        <color theme="1"/>
      </rPr>
      <t>CH</t>
    </r>
    <r>
      <rPr>
        <rFont val="Arial"/>
        <color theme="1"/>
        <sz val="10.0"/>
        <vertAlign val="subscript"/>
      </rPr>
      <t>4</t>
    </r>
    <r>
      <rPr>
        <rFont val="Arial"/>
        <color theme="1"/>
        <sz val="10.0"/>
      </rPr>
      <t xml:space="preserve"> EF (g gas/MMBTU)</t>
    </r>
  </si>
  <si>
    <t>Based on 1987-1993 EF's for vans, pickups and SUVs  (most conservative light-duty values),1985-1986 EF's for heavy duty vehicles (most conservative values), 1966-1982 EF's for heavy duty vehicles (most conservative values), values for locomotive diesel fuel. EPA Climate Leaders. 2004. "Core Module Guidance: Direct Emissions from Mobile Combustion Sources." p 9 and 25. http://www.epa.gov/climateleaders/docs/mobilesourceguid, and Jet Fuel Specific EFs. Inventory of U.S. Greenhouse Gas Emissions and Sinks: 1990-2001 (April 2003) EPA 430-R-03-004; Annex E [JK 06]</t>
  </si>
  <si>
    <r>
      <rPr>
        <rFont val="Arial"/>
        <color theme="1"/>
      </rPr>
      <t>CH</t>
    </r>
    <r>
      <rPr>
        <rFont val="Arial"/>
        <color theme="1"/>
        <sz val="10.0"/>
        <vertAlign val="subscript"/>
      </rPr>
      <t>4</t>
    </r>
    <r>
      <rPr>
        <rFont val="Arial"/>
        <color theme="1"/>
        <sz val="10.0"/>
      </rPr>
      <t xml:space="preserve"> GWP</t>
    </r>
  </si>
  <si>
    <r>
      <rPr>
        <rFont val="Arial"/>
        <color theme="1"/>
        <sz val="10.0"/>
      </rPr>
      <t>Global Warming Potential (GWP) based on 100 yr time horizon: US EPA. 2006. "Non-CO</t>
    </r>
    <r>
      <rPr>
        <rFont val="Arial"/>
        <color theme="1"/>
        <sz val="10.0"/>
        <vertAlign val="subscript"/>
      </rPr>
      <t xml:space="preserve">2 </t>
    </r>
    <r>
      <rPr>
        <rFont val="Arial"/>
        <color theme="1"/>
        <sz val="10.0"/>
      </rPr>
      <t>Gasses Economic Analysis and Inventory: Global Warming Potentials and Atmospheric Lifetimes." &lt;http://www.epa.gov/nonco2/econ-inv/table.html&gt;  [BB 07]</t>
    </r>
  </si>
  <si>
    <r>
      <rPr>
        <rFont val="Arial"/>
        <color theme="1"/>
      </rPr>
      <t>N</t>
    </r>
    <r>
      <rPr>
        <rFont val="Arial"/>
        <color theme="1"/>
        <sz val="10.0"/>
        <vertAlign val="subscript"/>
      </rPr>
      <t>2</t>
    </r>
    <r>
      <rPr>
        <rFont val="Arial"/>
        <color theme="1"/>
        <sz val="10.0"/>
      </rPr>
      <t>O EF (g gas/MMBTU)</t>
    </r>
  </si>
  <si>
    <r>
      <rPr>
        <rFont val="Arial"/>
        <color theme="1"/>
      </rPr>
      <t>N</t>
    </r>
    <r>
      <rPr>
        <rFont val="Arial"/>
        <color theme="1"/>
        <sz val="10.0"/>
        <vertAlign val="subscript"/>
      </rPr>
      <t>2</t>
    </r>
    <r>
      <rPr>
        <rFont val="Arial"/>
        <color theme="1"/>
        <sz val="10.0"/>
      </rPr>
      <t>O GWP</t>
    </r>
  </si>
  <si>
    <r>
      <rPr>
        <rFont val="Arial"/>
        <color theme="1"/>
        <sz val="10.0"/>
      </rPr>
      <t>Global Warming Potential (GWP) based on 100 yr time horizon: US EPA. 2006. "Non-CO</t>
    </r>
    <r>
      <rPr>
        <rFont val="Arial"/>
        <color theme="1"/>
        <sz val="10.0"/>
        <vertAlign val="subscript"/>
      </rPr>
      <t>2</t>
    </r>
    <r>
      <rPr>
        <rFont val="Arial"/>
        <color theme="1"/>
        <sz val="10.0"/>
      </rPr>
      <t xml:space="preserve"> Gasses Economic Analysis and Inventory: Global Warming Potentials and Atmospheric Lifetimes." &lt;http://www.epa.gov/nonco2/econ-inv/table.html&gt;  [BB 07]</t>
    </r>
  </si>
  <si>
    <r>
      <rPr>
        <rFont val="Arial"/>
        <color theme="1"/>
        <sz val="10.0"/>
      </rPr>
      <t>N</t>
    </r>
    <r>
      <rPr>
        <rFont val="Arial"/>
        <color theme="1"/>
        <sz val="10.0"/>
        <vertAlign val="subscript"/>
      </rPr>
      <t>2</t>
    </r>
    <r>
      <rPr>
        <rFont val="Arial"/>
        <color theme="1"/>
        <sz val="10.0"/>
      </rPr>
      <t>O EF (g gas/mile)</t>
    </r>
  </si>
  <si>
    <r>
      <rPr>
        <rFont val="Arial"/>
        <color theme="1"/>
        <sz val="10.0"/>
      </rPr>
      <t>CH</t>
    </r>
    <r>
      <rPr>
        <rFont val="Arial"/>
        <color theme="1"/>
        <sz val="10.0"/>
        <vertAlign val="subscript"/>
      </rPr>
      <t>4</t>
    </r>
    <r>
      <rPr>
        <rFont val="Arial"/>
        <color theme="1"/>
        <sz val="10.0"/>
      </rPr>
      <t xml:space="preserve"> EF (g gas/mile)</t>
    </r>
  </si>
  <si>
    <t>Based on 1987-1993 EF's for vans, pickups and SUVs  (most conservative light-duty values). EPA Climate Leaders. 2004. "Core Module Guidance: Direct Emissions from Mobile Combustion Sources." p 9. http://www.epa.gov/climateleaders/docs/mobilesourceguid [JK 06]</t>
  </si>
  <si>
    <r>
      <rPr>
        <rFont val="Arial"/>
        <i/>
        <color theme="1"/>
        <sz val="10.0"/>
      </rPr>
      <t>tonne/gram (1/1x10</t>
    </r>
    <r>
      <rPr>
        <rFont val="Arial"/>
        <i/>
        <color theme="1"/>
        <sz val="10.0"/>
        <vertAlign val="superscript"/>
      </rPr>
      <t>6</t>
    </r>
    <r>
      <rPr>
        <rFont val="Arial"/>
        <i/>
        <color theme="1"/>
        <sz val="10.0"/>
      </rPr>
      <t>)</t>
    </r>
  </si>
  <si>
    <t>Bus mi/gal</t>
  </si>
  <si>
    <t>See Above</t>
  </si>
  <si>
    <t>Milage Reimbursement for use of Personal and Rental Cars (Gasoline)</t>
  </si>
  <si>
    <t>Total Reimbursement $</t>
  </si>
  <si>
    <t>Collected annually by Middlebury College Budget Director, Kristen Anderson and Budget Analyst, Sue Lalumiere. Consult "Travel Expenses FY0708 - Form D" file in folder entitled "Supplementary Documents." [SG 08/ AB 09]</t>
  </si>
  <si>
    <t>Note: mileage rate calculations were adjusted in FY 14 and retroactive to FY06/07 by adding a multiplier factor of .33 to the conversion of $ reimbursed to mileage.</t>
  </si>
  <si>
    <t>Thius adjustment was made because only 1/3 of the reimbursement rate covers gasoline costs.</t>
  </si>
  <si>
    <t>search "EIA annual Regular Grade Gasoline Prices (US)" in google and add "US change from a year ago" to previous year's average [CN 09]</t>
  </si>
  <si>
    <r>
      <rPr>
        <rFont val="Arial"/>
        <color theme="1"/>
        <sz val="10.0"/>
      </rPr>
      <t>Tonnes CO</t>
    </r>
    <r>
      <rPr>
        <rFont val="Arial"/>
        <color theme="1"/>
        <sz val="10.0"/>
        <vertAlign val="subscript"/>
      </rPr>
      <t>2</t>
    </r>
    <r>
      <rPr>
        <rFont val="Arial"/>
        <color theme="1"/>
        <sz val="10.0"/>
      </rPr>
      <t>/gal gas EF</t>
    </r>
  </si>
  <si>
    <t>Mileage rate used by Middlebry College in determining $ reimbursements. Taken From Middlebury College CCAL Gas Milage Chart by Charlotte Chase. [JK 06]</t>
  </si>
  <si>
    <t>Total Taxi $</t>
  </si>
  <si>
    <t>Midd Transit Case Study:      Midd =&gt; Burlington</t>
  </si>
  <si>
    <t>Mode van assumed: Midd Transit owns 8 vans, 1 mini-coach, and 1 cadilac sedan. Bill Fuller, Personal Communication. [JK 06]</t>
  </si>
  <si>
    <t>Middlebury Transit, Inc, Owner, Bill Fuller. [JK 06]</t>
  </si>
  <si>
    <t>Mapquest Queries Middlebruy =&gt; Burlington International Airrport (Pizza Putt): &lt;http://www.mapquest.com/directions/main.adp?bCTsettings=1&gt; [JK 06]</t>
  </si>
  <si>
    <t>Tot Taxi Gas (gal)</t>
  </si>
  <si>
    <r>
      <rPr>
        <rFont val="Arial"/>
        <color theme="1"/>
        <sz val="10.0"/>
      </rPr>
      <t>Tonnes CO</t>
    </r>
    <r>
      <rPr>
        <rFont val="Arial"/>
        <color theme="1"/>
        <sz val="10.0"/>
        <vertAlign val="subscript"/>
      </rPr>
      <t>2</t>
    </r>
    <r>
      <rPr>
        <rFont val="Arial"/>
        <color theme="1"/>
        <sz val="10.0"/>
      </rPr>
      <t>/gal gas EF</t>
    </r>
  </si>
  <si>
    <t>Total Bus $</t>
  </si>
  <si>
    <t>Premiere Travel [JK 06]</t>
  </si>
  <si>
    <t>EPA Climate Leaders. 2004. "Core Module Guidance: Direct Emissions from Mobile Combustion Sources." pp 12. &lt;http://www.epa.gov/climateleaders/docs/mobilesourceguidance.pdf&gt; [BB 07]</t>
  </si>
  <si>
    <t>Mapquest Queries End point: 326 College St, Middlebury, VT: &lt;http://www.mapquest.com/directions/main.adp?bCTsettings=1&gt; [JK 06]</t>
  </si>
  <si>
    <t>Mapquest Queries by End point: 326 College St, Middlebury, VT: &lt;http://www.mapquest.com/directions/main.adp?bCTsettings=1&gt; [JK 06]</t>
  </si>
  <si>
    <t>Putatively small in order to remain conservative</t>
  </si>
  <si>
    <r>
      <rPr>
        <rFont val="Arial"/>
        <color theme="1"/>
        <sz val="10.0"/>
      </rPr>
      <t>Tonnes CO</t>
    </r>
    <r>
      <rPr>
        <rFont val="Arial"/>
        <color theme="1"/>
        <sz val="10.0"/>
        <vertAlign val="subscript"/>
      </rPr>
      <t>2</t>
    </r>
    <r>
      <rPr>
        <rFont val="Arial"/>
        <color theme="1"/>
        <sz val="10.0"/>
      </rPr>
      <t>/gal diesel EF</t>
    </r>
  </si>
  <si>
    <t>Total Airline $</t>
  </si>
  <si>
    <t>Collected annually by Middlebury College Budget Director, Kristen Anderson and Budget Analyst, Sue Lalumiere. Consult "Travel Expenses FY02 to FY07" file in folder entitled "Supplementary Documents." [BB 07/ AB 09]</t>
  </si>
  <si>
    <t>% of $ spent on dom travel</t>
  </si>
  <si>
    <t>Number posited by JK and confirmed as "close" by Kristen Anderson and Budget Analyst, Sue Lalumiere, Middlebury College Budget Director [JK 06/AB 09]</t>
  </si>
  <si>
    <t>Price of non-weekend travel 2 months from booking date &lt;http://www.orbitz.com&gt; [JK 06]</t>
  </si>
  <si>
    <t>Burlington to NYC RT milage</t>
  </si>
  <si>
    <t>Mileage data collected via mapquest &lt;http://www.mapquest.com&gt; [JK 06]</t>
  </si>
  <si>
    <t>Burl. to Phoenix via DC RT milage</t>
  </si>
  <si>
    <t>Burl. to London via DC RT milage</t>
  </si>
  <si>
    <t>Energy Intensity of Passenger Modes (BTU per passenger miles), Bureau of Transportation Statistics, National Transportation Statistics 2009, (Table 4-21)[CN11]</t>
  </si>
  <si>
    <t>Energy Intensity of Passenger Modes (BTU per passenger miles), Bureau of Transportation Statistics, National Transportation Statistics 2009, (Table 4-21)&lt;http://www.bts.gov/publications/national_transportation_statistics/pdf/entire.pdf&gt; [CN11]</t>
  </si>
  <si>
    <t>Calculated from sourced data (given the % domestic travel given)</t>
  </si>
  <si>
    <r>
      <rPr>
        <rFont val="Arial"/>
        <color theme="1"/>
        <sz val="10.0"/>
      </rPr>
      <t>Tonnes CO</t>
    </r>
    <r>
      <rPr>
        <rFont val="Arial"/>
        <color theme="1"/>
        <sz val="10.0"/>
        <vertAlign val="subscript"/>
      </rPr>
      <t>2</t>
    </r>
    <r>
      <rPr>
        <rFont val="Arial"/>
        <color theme="1"/>
        <sz val="10.0"/>
      </rPr>
      <t>/airfare $ EF</t>
    </r>
  </si>
  <si>
    <t>1992 Global RFI as set by the IPCC. This is one of the more concrete RFI numbers in circulation, and is higher than that used by Native Energy and the Carbon Exchange. &lt;http://www.grida.no/climate/ipcc/aviation/064.htm&gt; [BB 07]</t>
  </si>
  <si>
    <t>"In 1992, the RFI for aircraft is 2.7; it evolves to 2.6 in 2050 for the Fa1 scenario."</t>
  </si>
  <si>
    <t>Total Train $</t>
  </si>
  <si>
    <t>Collected annually by Middlebury College Budget Director, Kristen Anderson and Budget Analyst, Sue Lalumiere. Consult "Travel Expenses FY0708 - Form D" file in folder entitled "Supplementary Documents." [SG 08/AB 09]</t>
  </si>
  <si>
    <t>Price of non-weekend travel 2 months from booking date &lt;http://www.amtrak.com&gt; [JK 06]</t>
  </si>
  <si>
    <t>Burl. to St. Albans RT mileage</t>
  </si>
  <si>
    <t>Mileage data collected via mapquest &lt;http://www.mapquest.com&gt;</t>
  </si>
  <si>
    <t>Amtrack BTU/pass. mi.</t>
  </si>
  <si>
    <t>Energy Intensity of Passenger Modes (BTU per passenger miles), Bureau of Transportation Statistics, National Transportation Statistics 2007, (Table 4-20), pp 286: &lt;http://www.bts.gov/publications/national_transportation_statistics/pdf/entire.pdf&gt; [BB 07]</t>
  </si>
  <si>
    <r>
      <rPr>
        <rFont val="Arial"/>
        <color theme="1"/>
        <sz val="10.0"/>
      </rPr>
      <t>Tonnes CO</t>
    </r>
    <r>
      <rPr>
        <rFont val="Arial"/>
        <color theme="1"/>
        <sz val="10.0"/>
        <vertAlign val="subscript"/>
      </rPr>
      <t>2</t>
    </r>
    <r>
      <rPr>
        <rFont val="Arial"/>
        <color theme="1"/>
        <sz val="10.0"/>
      </rPr>
      <t>/train $ EF</t>
    </r>
  </si>
  <si>
    <t>Methane and Nitrous oxide EF’s are based on highway vehicle EFs were taken directly from US EPA. 2004. “Inventory of U.S. Greenhouse Gas Emissions and Sinks:” 1990-2002, EPA430-R-04-003, U.S. EPA, Washington, DC, April 2004, as were CCC’s and FO factors. FO values of .99 are also recommended by  IPCC guidelines.</t>
  </si>
  <si>
    <t>FY19 GHG Travel Data Source</t>
  </si>
  <si>
    <r>
      <rPr>
        <rFont val="Arial"/>
        <b/>
        <color theme="1"/>
        <sz val="10.0"/>
      </rPr>
      <t>Note</t>
    </r>
    <r>
      <rPr>
        <rFont val="Arial"/>
        <color theme="1"/>
        <sz val="10.0"/>
      </rPr>
      <t>: During 2019 the College switch accounting systems and changed the categories of travel itemization. See notes below by Gabe Desmond, SSL Intern explaining changes</t>
    </r>
  </si>
  <si>
    <t>Banner $</t>
  </si>
  <si>
    <t>Oracle $</t>
  </si>
  <si>
    <t>Banner MTCDE</t>
  </si>
  <si>
    <t>Oracle MTCDE</t>
  </si>
  <si>
    <t>Combined</t>
  </si>
  <si>
    <t>FY19 (July-March)</t>
  </si>
  <si>
    <t>FY19 (April-June)</t>
  </si>
  <si>
    <t>Mileage(includes car rental)</t>
  </si>
  <si>
    <t>N/A</t>
  </si>
  <si>
    <t>(Normalized taxi, train and bus sum)</t>
  </si>
  <si>
    <t>Average Percent used by Taxi, Bus, Trains (FY15-19):</t>
  </si>
  <si>
    <t>Average Percent used by Taxi, Bus, Trains (FY19):</t>
  </si>
  <si>
    <t>NOTES:</t>
  </si>
  <si>
    <t>The data from July to March is very straightforward as it comes from Banner</t>
  </si>
  <si>
    <t>The data from April to June (Oracle) only accounts for data from airplanes and mileage (mileage includes car rentals in the GHG). Luckily those two categories always make up between 94-95% of our total GHG emissions from travel. I have included a standard total that includes the concrete numbers from both Oracle and Banner, as well as their sum.</t>
  </si>
  <si>
    <t>Because the percentage of MTCDE from combined bus, train, and taxi is always very consistent (average from last 5 years is less than a tenth of a percent different from this year’s Banner data) I made a normalized value for the Oracle data. This number assumes the percent emitted from buses, trains, and taxis is roughly proportionate to the amount emitted from airplanes and mileage.</t>
  </si>
  <si>
    <t>The boxed blue number is the non-normalized sum. The boxed green number is the normalized value. I recommend using the normalized value as it is more comprehensive of our travel GHG.</t>
  </si>
  <si>
    <t>Jonathan Kemp to Everyone (1:07 PM)</t>
  </si>
  <si>
    <t>edorda mapping https://docs.google.com/spreadsheets/d/1ye3mOYLV2FC8zyXh_QNoapa6_avzBgolZkLw4tl_vXw/</t>
  </si>
  <si>
    <t>Jonathan Kemp to Everyone (1:27 PM)</t>
  </si>
  <si>
    <t>old categoies</t>
  </si>
  <si>
    <t>Fuel Expense</t>
  </si>
  <si>
    <t>Lodging-College Travel Expense</t>
  </si>
  <si>
    <t>Miscellaneous-College Travel Expens</t>
  </si>
  <si>
    <t>Travel Per Diem</t>
  </si>
  <si>
    <t>Airline-College Travel Expense</t>
  </si>
  <si>
    <t>Bus-College Travel Expense</t>
  </si>
  <si>
    <t>Car Rental-College Travel Expense</t>
  </si>
  <si>
    <t>Mileage-College Travel Expense</t>
  </si>
  <si>
    <t>Parking/Taxi/Tolls-College Trav Exp</t>
  </si>
  <si>
    <t>Train-College Travel Expense</t>
  </si>
  <si>
    <t>Auditor Travel Expense</t>
  </si>
  <si>
    <t>Lodging-Visitor Travel Expense</t>
  </si>
  <si>
    <t>Miscellaneous-Visitor Travel Expens</t>
  </si>
  <si>
    <t>Airline-Visitor Travel Expense</t>
  </si>
  <si>
    <t>Bus-Visitor Travel Expense</t>
  </si>
  <si>
    <t>Car Rental-Visitor Travel Expense</t>
  </si>
  <si>
    <t>Mileage-Visitor Travel Expense</t>
  </si>
  <si>
    <t>Parking/Taxi/Tolls-Visitor Trav Exp</t>
  </si>
  <si>
    <t>Train-Visitor Travel Expense</t>
  </si>
  <si>
    <t>new categories</t>
  </si>
  <si>
    <t>Faculty / Business Travel</t>
  </si>
  <si>
    <t>Jonathan Kemp to Everyone (1:43 PM)</t>
  </si>
  <si>
    <t>* what travel data do you generally have or get</t>
  </si>
  <si>
    <t>* who do you ask for travel data</t>
  </si>
  <si>
    <t>* how to you evaluate historical travel trends (pre-oracle, pre-covid, etc)</t>
  </si>
  <si>
    <t>* how do you make estimated granular travel mode breakdowns</t>
  </si>
  <si>
    <t>* how do we ask for and justify more travel budget granularity going forward</t>
  </si>
  <si>
    <t>* evaluate utility of more historical travel data</t>
  </si>
  <si>
    <t>* evaluate utility of peer institution travel data</t>
  </si>
  <si>
    <t xml:space="preserve">Scope 3, Part B: Indirect Emissions from Landfill Waste </t>
  </si>
  <si>
    <t>This section includes emissions from methane produced by the institutional waste stream.</t>
  </si>
  <si>
    <t>Directly proportional to:</t>
  </si>
  <si>
    <t>Total amounts of waste</t>
  </si>
  <si>
    <t>Diversion rates</t>
  </si>
  <si>
    <t>Methane processing technology</t>
  </si>
  <si>
    <r>
      <rPr>
        <rFont val="Arial"/>
        <b/>
        <color theme="1"/>
        <sz val="10.0"/>
      </rPr>
      <t>Primary Assumption:</t>
    </r>
    <r>
      <rPr>
        <rFont val="Arial"/>
        <b val="0"/>
        <color theme="1"/>
        <sz val="10.0"/>
      </rPr>
      <t xml:space="preserve"> That the institution is responsible for the lifetime effect of the methane emitted during the reporting period during </t>
    </r>
    <r>
      <rPr>
        <rFont val="Arial"/>
        <b val="0"/>
        <i/>
        <color theme="1"/>
        <sz val="10.0"/>
      </rPr>
      <t>that</t>
    </r>
    <r>
      <rPr>
        <rFont val="Arial"/>
        <b val="0"/>
        <color theme="1"/>
        <sz val="10.0"/>
      </rPr>
      <t xml:space="preserve"> reporting period </t>
    </r>
    <r>
      <rPr>
        <rFont val="Arial"/>
        <b val="0"/>
        <i/>
        <color theme="1"/>
        <sz val="10.0"/>
      </rPr>
      <t>only</t>
    </r>
    <r>
      <rPr>
        <rFont val="Arial"/>
        <b val="0"/>
        <color theme="1"/>
        <sz val="10.0"/>
      </rPr>
      <t>.</t>
    </r>
  </si>
  <si>
    <t>Assessing the Split Between Landfills</t>
  </si>
  <si>
    <r>
      <rPr>
        <rFont val="Arial"/>
        <color theme="1"/>
        <sz val="10.0"/>
      </rPr>
      <t xml:space="preserve">Total Solid Waste (lbs) </t>
    </r>
    <r>
      <rPr>
        <rFont val="Arial"/>
        <color rgb="FFDD0806"/>
        <sz val="10.0"/>
      </rPr>
      <t>▲</t>
    </r>
  </si>
  <si>
    <r>
      <rPr>
        <rFont val="Arial"/>
        <color theme="1"/>
        <sz val="10.0"/>
      </rPr>
      <t xml:space="preserve">% Taken to Coventry LF, VT </t>
    </r>
    <r>
      <rPr>
        <rFont val="Arial"/>
        <color rgb="FFDD0806"/>
        <sz val="10.0"/>
      </rPr>
      <t>∞</t>
    </r>
  </si>
  <si>
    <r>
      <rPr>
        <rFont val="Arial"/>
        <color theme="1"/>
        <sz val="10.0"/>
      </rPr>
      <t xml:space="preserve">% Taken to Clinton Co. LF. NY </t>
    </r>
    <r>
      <rPr>
        <rFont val="Arial"/>
        <color rgb="FFDD0806"/>
        <sz val="10.0"/>
      </rPr>
      <t>∞</t>
    </r>
  </si>
  <si>
    <t>Coventry Landfill Emissions</t>
  </si>
  <si>
    <t xml:space="preserve">Straight LF </t>
  </si>
  <si>
    <r>
      <rPr>
        <rFont val="Arial"/>
        <color theme="1"/>
        <sz val="10.0"/>
      </rPr>
      <t>CH</t>
    </r>
    <r>
      <rPr>
        <rFont val="Arial"/>
        <color theme="1"/>
        <sz val="10.0"/>
        <vertAlign val="subscript"/>
      </rPr>
      <t>4</t>
    </r>
    <r>
      <rPr>
        <rFont val="Arial"/>
        <color theme="1"/>
        <sz val="10.0"/>
      </rPr>
      <t xml:space="preserve"> Recovery/Flaring w/o LFGE? (%)</t>
    </r>
  </si>
  <si>
    <t>Electricity Generation? (%)</t>
  </si>
  <si>
    <r>
      <rPr>
        <rFont val="Arial"/>
        <color theme="1"/>
        <sz val="10.0"/>
      </rPr>
      <t>CH</t>
    </r>
    <r>
      <rPr>
        <rFont val="Arial"/>
        <color theme="1"/>
        <sz val="10.0"/>
        <vertAlign val="subscript"/>
      </rPr>
      <t>4</t>
    </r>
    <r>
      <rPr>
        <rFont val="Arial"/>
        <color theme="1"/>
        <sz val="10.0"/>
      </rPr>
      <t xml:space="preserve"> EF (tonnes gas/ton waste)</t>
    </r>
  </si>
  <si>
    <r>
      <rPr>
        <rFont val="Arial"/>
        <b/>
        <color theme="1"/>
        <sz val="10.0"/>
      </rPr>
      <t>Tonnes Coventry LF CH</t>
    </r>
    <r>
      <rPr>
        <rFont val="Arial"/>
        <b/>
        <color theme="1"/>
        <sz val="10.0"/>
        <vertAlign val="subscript"/>
      </rPr>
      <t>4</t>
    </r>
  </si>
  <si>
    <t>Clinton Co Landfill Emissions</t>
  </si>
  <si>
    <r>
      <rPr>
        <rFont val="Arial"/>
        <color theme="1"/>
        <sz val="10.0"/>
      </rPr>
      <t>CH</t>
    </r>
    <r>
      <rPr>
        <rFont val="Arial"/>
        <color theme="1"/>
        <sz val="10.0"/>
        <vertAlign val="subscript"/>
      </rPr>
      <t>4</t>
    </r>
    <r>
      <rPr>
        <rFont val="Arial"/>
        <color theme="1"/>
        <sz val="10.0"/>
      </rPr>
      <t xml:space="preserve"> Recovery/Flaring w/o LFGE? (%)</t>
    </r>
  </si>
  <si>
    <r>
      <rPr>
        <rFont val="Arial"/>
        <color theme="1"/>
        <sz val="10.0"/>
      </rPr>
      <t>CH</t>
    </r>
    <r>
      <rPr>
        <rFont val="Arial"/>
        <color theme="1"/>
        <sz val="10.0"/>
        <vertAlign val="subscript"/>
      </rPr>
      <t>4</t>
    </r>
    <r>
      <rPr>
        <rFont val="Arial"/>
        <color theme="1"/>
        <sz val="10.0"/>
      </rPr>
      <t xml:space="preserve"> EF (tonnes gas/ton waste)</t>
    </r>
  </si>
  <si>
    <r>
      <rPr>
        <rFont val="Arial"/>
        <b/>
        <color theme="1"/>
        <sz val="10.0"/>
      </rPr>
      <t>Tonnes Clinton Co LF CH</t>
    </r>
    <r>
      <rPr>
        <rFont val="Arial"/>
        <b/>
        <color theme="1"/>
        <sz val="10.0"/>
        <vertAlign val="subscript"/>
      </rPr>
      <t>4</t>
    </r>
  </si>
  <si>
    <t>Net Methane + Emissions Factor Calculations</t>
  </si>
  <si>
    <r>
      <rPr>
        <rFont val="Arial"/>
        <color theme="1"/>
        <sz val="10.0"/>
      </rPr>
      <t>CH</t>
    </r>
    <r>
      <rPr>
        <rFont val="Arial"/>
        <color theme="1"/>
        <sz val="10.0"/>
        <vertAlign val="subscript"/>
      </rPr>
      <t>4</t>
    </r>
    <r>
      <rPr>
        <rFont val="Arial"/>
        <color theme="1"/>
        <sz val="10.0"/>
      </rPr>
      <t xml:space="preserve"> EF w/out Recovery (MTCE/ton)</t>
    </r>
  </si>
  <si>
    <r>
      <rPr>
        <rFont val="Arial"/>
        <color theme="1"/>
        <sz val="10.0"/>
      </rPr>
      <t>CH</t>
    </r>
    <r>
      <rPr>
        <rFont val="Arial"/>
        <color theme="1"/>
        <sz val="10.0"/>
        <vertAlign val="subscript"/>
      </rPr>
      <t>4</t>
    </r>
    <r>
      <rPr>
        <rFont val="Arial"/>
        <color theme="1"/>
        <sz val="10.0"/>
      </rPr>
      <t xml:space="preserve"> EF w/ Recovery (MTCE/ton)</t>
    </r>
  </si>
  <si>
    <r>
      <rPr>
        <rFont val="Arial"/>
        <color theme="1"/>
        <sz val="10.0"/>
      </rPr>
      <t>CH</t>
    </r>
    <r>
      <rPr>
        <rFont val="Arial"/>
        <color theme="1"/>
        <sz val="10.0"/>
        <vertAlign val="subscript"/>
      </rPr>
      <t>4</t>
    </r>
    <r>
      <rPr>
        <rFont val="Arial"/>
        <color theme="1"/>
        <sz val="10.0"/>
      </rPr>
      <t xml:space="preserve"> EF w/ LFGE (MTCE/ton)</t>
    </r>
  </si>
  <si>
    <r>
      <rPr>
        <rFont val="Arial"/>
        <color theme="1"/>
        <sz val="10.0"/>
      </rPr>
      <t>Tonnes CH</t>
    </r>
    <r>
      <rPr>
        <rFont val="Arial"/>
        <color theme="1"/>
        <sz val="10.0"/>
        <vertAlign val="subscript"/>
      </rPr>
      <t>4</t>
    </r>
  </si>
  <si>
    <r>
      <rPr>
        <rFont val="Arial"/>
        <b/>
        <color theme="1"/>
        <sz val="10.0"/>
      </rPr>
      <t>MTCDEs from Landfill CH</t>
    </r>
    <r>
      <rPr>
        <rFont val="Arial"/>
        <b/>
        <color theme="1"/>
        <sz val="10.0"/>
        <vertAlign val="subscript"/>
      </rPr>
      <t>4</t>
    </r>
    <r>
      <rPr>
        <rFont val="Arial"/>
        <b/>
        <color theme="1"/>
        <sz val="10.0"/>
      </rPr>
      <t xml:space="preserve"> </t>
    </r>
  </si>
  <si>
    <t>Recycling (lbs)</t>
  </si>
  <si>
    <t>Short tons/lb (1/2000)</t>
  </si>
  <si>
    <r>
      <rPr>
        <rFont val="Arial"/>
        <b/>
        <color theme="1"/>
        <sz val="10.0"/>
      </rPr>
      <t>CH</t>
    </r>
    <r>
      <rPr>
        <rFont val="Arial"/>
        <b/>
        <color theme="1"/>
        <sz val="10.0"/>
        <vertAlign val="subscript"/>
      </rPr>
      <t>4</t>
    </r>
    <r>
      <rPr>
        <rFont val="Arial"/>
        <b/>
        <color theme="1"/>
        <sz val="10.0"/>
      </rPr>
      <t xml:space="preserve"> GWP</t>
    </r>
  </si>
  <si>
    <t>MTCDE/MTCE (tonne CO2/tonne C)</t>
  </si>
  <si>
    <t>Landfill Emissions:</t>
  </si>
  <si>
    <r>
      <rPr>
        <rFont val="Arial"/>
        <b/>
        <color theme="1"/>
        <sz val="10.0"/>
      </rPr>
      <t xml:space="preserve"> CH</t>
    </r>
    <r>
      <rPr>
        <rFont val="Arial"/>
        <b/>
        <color theme="1"/>
        <sz val="10.0"/>
        <vertAlign val="subscript"/>
      </rPr>
      <t>4</t>
    </r>
    <r>
      <rPr>
        <rFont val="Arial"/>
        <b/>
        <color theme="1"/>
        <sz val="10.0"/>
      </rPr>
      <t xml:space="preserve"> EF w/out Recovery (tonne gas/ton)</t>
    </r>
  </si>
  <si>
    <r>
      <rPr>
        <rFont val="Arial"/>
        <b/>
        <color theme="1"/>
        <sz val="10.0"/>
      </rPr>
      <t xml:space="preserve"> CH</t>
    </r>
    <r>
      <rPr>
        <rFont val="Arial"/>
        <b/>
        <color theme="1"/>
        <sz val="10.0"/>
        <vertAlign val="subscript"/>
      </rPr>
      <t>4</t>
    </r>
    <r>
      <rPr>
        <rFont val="Arial"/>
        <b/>
        <color theme="1"/>
        <sz val="10.0"/>
      </rPr>
      <t xml:space="preserve"> EF w/ Recovery (tonne gas/ton)</t>
    </r>
  </si>
  <si>
    <r>
      <rPr>
        <rFont val="Arial"/>
        <b/>
        <color theme="1"/>
        <sz val="10.0"/>
      </rPr>
      <t xml:space="preserve"> CH</t>
    </r>
    <r>
      <rPr>
        <rFont val="Arial"/>
        <b/>
        <color theme="1"/>
        <sz val="10.0"/>
        <vertAlign val="subscript"/>
      </rPr>
      <t>4</t>
    </r>
    <r>
      <rPr>
        <rFont val="Arial"/>
        <b/>
        <color theme="1"/>
        <sz val="10.0"/>
      </rPr>
      <t xml:space="preserve"> EF w/ LFGE (tonne gas/ton)</t>
    </r>
  </si>
  <si>
    <t>Scope 3, Part B: Indirect Emissions from Landfill Waste</t>
  </si>
  <si>
    <r>
      <rPr>
        <rFont val="Arial"/>
        <b/>
        <color theme="1"/>
        <sz val="10.0"/>
      </rPr>
      <t>Primary Assumption:</t>
    </r>
    <r>
      <rPr>
        <rFont val="Arial"/>
        <b val="0"/>
        <color theme="1"/>
        <sz val="10.0"/>
      </rPr>
      <t xml:space="preserve"> That the institution is responsible for the lifetime effect of the methane emitted during the reporting period during </t>
    </r>
    <r>
      <rPr>
        <rFont val="Arial"/>
        <b val="0"/>
        <i/>
        <color theme="1"/>
        <sz val="10.0"/>
      </rPr>
      <t>that</t>
    </r>
    <r>
      <rPr>
        <rFont val="Arial"/>
        <b val="0"/>
        <color theme="1"/>
        <sz val="10.0"/>
      </rPr>
      <t xml:space="preserve"> reporting period </t>
    </r>
    <r>
      <rPr>
        <rFont val="Arial"/>
        <b val="0"/>
        <i/>
        <color theme="1"/>
        <sz val="10.0"/>
      </rPr>
      <t>only</t>
    </r>
    <r>
      <rPr>
        <rFont val="Arial"/>
        <b val="0"/>
        <color theme="1"/>
        <sz val="10.0"/>
      </rPr>
      <t>.</t>
    </r>
  </si>
  <si>
    <r>
      <rPr>
        <rFont val="Arial"/>
        <color theme="1"/>
        <sz val="10.0"/>
      </rPr>
      <t>CH</t>
    </r>
    <r>
      <rPr>
        <rFont val="Arial"/>
        <color theme="1"/>
        <sz val="10.0"/>
        <vertAlign val="subscript"/>
      </rPr>
      <t>4</t>
    </r>
    <r>
      <rPr>
        <rFont val="Arial"/>
        <color theme="1"/>
        <sz val="10.0"/>
      </rPr>
      <t xml:space="preserve"> EF w/out Recovery (tonne gas/ton)</t>
    </r>
  </si>
  <si>
    <t xml:space="preserve">Value based on data from EPA Climate Leaders 2006. "Solid Waste </t>
  </si>
  <si>
    <t>Management and Greenhouse Gas" pp. 168. The full report found at</t>
  </si>
  <si>
    <t>&lt;http://epa.gov/climatechange/wycd/waste/SWMGHGreport.html&gt;. [AB 09]</t>
  </si>
  <si>
    <r>
      <rPr>
        <rFont val="Arial"/>
        <color theme="1"/>
        <sz val="10.0"/>
      </rPr>
      <t>CH</t>
    </r>
    <r>
      <rPr>
        <rFont val="Arial"/>
        <color theme="1"/>
        <sz val="10.0"/>
        <vertAlign val="subscript"/>
      </rPr>
      <t>4</t>
    </r>
    <r>
      <rPr>
        <rFont val="Arial"/>
        <color theme="1"/>
        <sz val="10.0"/>
      </rPr>
      <t xml:space="preserve"> EF w/ Recovery (tonne gas/ton)</t>
    </r>
  </si>
  <si>
    <r>
      <rPr>
        <rFont val="Arial"/>
        <color theme="1"/>
        <sz val="10.0"/>
      </rPr>
      <t>CH</t>
    </r>
    <r>
      <rPr>
        <rFont val="Arial"/>
        <color theme="1"/>
        <sz val="10.0"/>
        <vertAlign val="subscript"/>
      </rPr>
      <t>4</t>
    </r>
    <r>
      <rPr>
        <rFont val="Arial"/>
        <color theme="1"/>
        <sz val="10.0"/>
      </rPr>
      <t xml:space="preserve"> EF w/ LFGE (tonne gas/ton)</t>
    </r>
  </si>
  <si>
    <t>Mollecular Weights are accepted as chemical standards. Value = ((12.011+2*16.000)/12.011)</t>
  </si>
  <si>
    <r>
      <rPr>
        <rFont val="Arial"/>
        <color theme="1"/>
        <sz val="10.0"/>
      </rPr>
      <t>CH</t>
    </r>
    <r>
      <rPr>
        <rFont val="Arial"/>
        <color theme="1"/>
        <sz val="10.0"/>
        <vertAlign val="subscript"/>
      </rPr>
      <t>4</t>
    </r>
    <r>
      <rPr>
        <rFont val="Arial"/>
        <color theme="1"/>
        <sz val="10.0"/>
      </rPr>
      <t xml:space="preserve"> GWP</t>
    </r>
  </si>
  <si>
    <t xml:space="preserve">Global Warming Potential (GWP) based on 100 yr time horizon: US EPA. 2006. "Non-CO2 Gasses Economic Analysis and Inventory: Global Warming Potentials and Atmospheric Lifetimes." &lt;http://www.epa.gov/nonco2/econ-inv/table.html&gt;  </t>
  </si>
  <si>
    <t>Total Solid Waste (lbs)</t>
  </si>
  <si>
    <t>Data collected annually by Waste Management and Custodial, Melissa Beckwith, Supervisor. [BB 07}</t>
  </si>
  <si>
    <t>% Taken to Coventry LF, VT</t>
  </si>
  <si>
    <t>Katie, Transfer Station, Casella Waste Management, [SG 08]</t>
  </si>
  <si>
    <t>% Taken to Clinton Co. LF. NY</t>
  </si>
  <si>
    <t>Janet Shatney, Permits &amp; Compliance Administrator, Casella Waste Management, Montepelier Office [SG 08]</t>
  </si>
  <si>
    <t>Personal Communication, Abbie Webb, Senior Environmental Analyst at Casella Waste Systems</t>
  </si>
  <si>
    <r>
      <rPr>
        <rFont val="Arial"/>
        <color theme="1"/>
        <sz val="10.0"/>
      </rPr>
      <t>CH</t>
    </r>
    <r>
      <rPr>
        <rFont val="Arial"/>
        <color theme="1"/>
        <sz val="10.0"/>
        <vertAlign val="subscript"/>
      </rPr>
      <t>4</t>
    </r>
    <r>
      <rPr>
        <rFont val="Arial"/>
        <color theme="1"/>
        <sz val="10.0"/>
      </rPr>
      <t xml:space="preserve"> Recovery/Flaring w/o LFGE? (%)</t>
    </r>
  </si>
  <si>
    <t>Same as above. [JK 06]</t>
  </si>
  <si>
    <t>Same as above [LE 11]</t>
  </si>
  <si>
    <r>
      <rPr>
        <rFont val="Arial"/>
        <color theme="1"/>
        <sz val="10.0"/>
      </rPr>
      <t>Aside from LFGE plant lifetime, no data has been collected. CH</t>
    </r>
    <r>
      <rPr>
        <rFont val="Arial"/>
        <color theme="1"/>
        <sz val="10.0"/>
        <vertAlign val="subscript"/>
      </rPr>
      <t>4</t>
    </r>
    <r>
      <rPr>
        <rFont val="Arial"/>
        <color theme="1"/>
        <sz val="10.0"/>
      </rPr>
      <t xml:space="preserve"> collection before LFGE assumed. LFGE went online Sept 15, 2005, and was therefore online for 9.5/12 of the fiscal year. Source: Personal communication, Lisa, Coventry Landfill. Washington Electric Cooperative, Landfill Gas to Energy Project, Coventry Landfill. Opening Ceremony Brochure. Unpublished. [JK 06]</t>
    </r>
  </si>
  <si>
    <r>
      <rPr>
        <rFont val="Arial"/>
        <color theme="1"/>
        <sz val="10.0"/>
      </rPr>
      <t>CH</t>
    </r>
    <r>
      <rPr>
        <rFont val="Arial"/>
        <color theme="1"/>
        <sz val="10.0"/>
        <vertAlign val="subscript"/>
      </rPr>
      <t>4</t>
    </r>
    <r>
      <rPr>
        <rFont val="Arial"/>
        <color theme="1"/>
        <sz val="10.0"/>
      </rPr>
      <t xml:space="preserve"> Recovery/Flaring w/o LFGE? (%)</t>
    </r>
  </si>
  <si>
    <t>Direct Sequestration, Renewable Energy Certificates, and Offsets</t>
  </si>
  <si>
    <t xml:space="preserve">This section catalogues all carbon sinks, and verifiable third party investments in renewable energy. </t>
  </si>
  <si>
    <t>Data summary</t>
  </si>
  <si>
    <t>Contributing Internal Offsets</t>
  </si>
  <si>
    <t>Contributing External Offsets</t>
  </si>
  <si>
    <t>TOTAL</t>
  </si>
  <si>
    <t>Waste Composted (lbs)</t>
  </si>
  <si>
    <r>
      <rPr>
        <rFont val="Arial"/>
        <b/>
        <color theme="1"/>
        <sz val="10.0"/>
      </rPr>
      <t>Tonnes CO</t>
    </r>
    <r>
      <rPr>
        <rFont val="Arial"/>
        <b/>
        <color theme="1"/>
        <sz val="10.0"/>
        <vertAlign val="subscript"/>
      </rPr>
      <t xml:space="preserve">2  </t>
    </r>
    <r>
      <rPr>
        <rFont val="Arial"/>
        <b/>
        <color theme="1"/>
        <sz val="10.0"/>
      </rPr>
      <t>sequestered from compost</t>
    </r>
  </si>
  <si>
    <t>Bread Loaf Sequestration (tonnes)</t>
  </si>
  <si>
    <t>Note: estimate of 13,000 credits based on initial assessment of CO2 sequestration for FY16 on BL and other eligible lands by Blue Source.  Estimate represents credits retained by MC out of a total estimate of 23,000 tonnes. Final values to be confirmed in 2017.</t>
  </si>
  <si>
    <t>Total Tonnes Internal Offsets</t>
  </si>
  <si>
    <t>Fiscal Year (all values are to be entered in metric tonnes):</t>
  </si>
  <si>
    <t>Group Categories</t>
  </si>
  <si>
    <t>Athletics</t>
  </si>
  <si>
    <t>Academic Departments</t>
  </si>
  <si>
    <t>Administration</t>
  </si>
  <si>
    <t>Student Organizations</t>
  </si>
  <si>
    <t xml:space="preserve">Commons </t>
  </si>
  <si>
    <t>Combined reported footprints</t>
  </si>
  <si>
    <t>Commons</t>
  </si>
  <si>
    <t>Non-contributing External Offsets</t>
  </si>
  <si>
    <t>MTCDE seq/ton composted</t>
  </si>
  <si>
    <t>short tons/lb (1/2000.)</t>
  </si>
  <si>
    <t>This section catalogues all carbon sinks, and verifiable third party reductions directly purdsued by the institution in hopes of reducing its environmental impact on a global scale.</t>
  </si>
  <si>
    <t>Short tons/lb (1/2000.)</t>
  </si>
  <si>
    <t>Data collected annually by Supervisor, Waste Management and Custodial, Melissa Beckwith. [BB 07]</t>
  </si>
  <si>
    <t>Voluntarily reported via email to Jack Byrne and Billie Borden, summer '07. (see folder: "Supplementary Documents FY06-07") [BB 07]</t>
  </si>
  <si>
    <t>Indirect Emissions from Regular Commuting (potentially Scope 3)</t>
  </si>
  <si>
    <t>This section includes emissions from all mobile combustion of fossil fuels used in vehicles not owned by the institution, but whose operations are indirectly solicited by the institution; i.e. regular employee and off-campus student commuting. These numbers do not factor quantitatively into the GHG inventory.</t>
  </si>
  <si>
    <t>Total: Emp Com (gas)</t>
  </si>
  <si>
    <t>Σ Commuting Miles = Σ</t>
  </si>
  <si>
    <t>FY06/07:</t>
  </si>
  <si>
    <t>FY07/08:</t>
  </si>
  <si>
    <t>FY08/09:</t>
  </si>
  <si>
    <t xml:space="preserve"> Employees</t>
  </si>
  <si>
    <t>Miles per Town</t>
  </si>
  <si>
    <t>Ave Commute (mi) for Employees from:</t>
  </si>
  <si>
    <t>Addison</t>
  </si>
  <si>
    <t>Alexandria Bay, NY</t>
  </si>
  <si>
    <t>Amherst, MA</t>
  </si>
  <si>
    <t>Baltimore, MD</t>
  </si>
  <si>
    <t>Barre</t>
  </si>
  <si>
    <t>Belmont</t>
  </si>
  <si>
    <t>Benson</t>
  </si>
  <si>
    <t>Bloomsberg, PA</t>
  </si>
  <si>
    <t>Bomoseen</t>
  </si>
  <si>
    <t>Boston, MA</t>
  </si>
  <si>
    <t>Brandon</t>
  </si>
  <si>
    <t>Bridport</t>
  </si>
  <si>
    <t>Brighton, MA</t>
  </si>
  <si>
    <t>Bristol</t>
  </si>
  <si>
    <t>Bronx, NY</t>
  </si>
  <si>
    <t>Brookline, MA</t>
  </si>
  <si>
    <t>Brooklyn, NY</t>
  </si>
  <si>
    <t>Burlington</t>
  </si>
  <si>
    <t>Cambridge, MA</t>
  </si>
  <si>
    <t>Carlisle, PA</t>
  </si>
  <si>
    <t>Castleton</t>
  </si>
  <si>
    <t>Center Rutland</t>
  </si>
  <si>
    <t>Centereach, NY</t>
  </si>
  <si>
    <t>Charlestown, MA</t>
  </si>
  <si>
    <t>Charlotte</t>
  </si>
  <si>
    <t>Clarendon Springs</t>
  </si>
  <si>
    <t>Cockeysville, MD</t>
  </si>
  <si>
    <t>Colchester</t>
  </si>
  <si>
    <t>Concord, NH</t>
  </si>
  <si>
    <t>Cooperstown, NY</t>
  </si>
  <si>
    <t>Corinth</t>
  </si>
  <si>
    <t>Cornwall</t>
  </si>
  <si>
    <t>Crown Point, NY</t>
  </si>
  <si>
    <t>Doylestown, PA</t>
  </si>
  <si>
    <t>East Calais</t>
  </si>
  <si>
    <t>East Greenwich, RI</t>
  </si>
  <si>
    <t>East Middlebury</t>
  </si>
  <si>
    <t>East Poultney</t>
  </si>
  <si>
    <t>Easthampton, MA</t>
  </si>
  <si>
    <t>Elmhurst, NY</t>
  </si>
  <si>
    <t>Enosburg</t>
  </si>
  <si>
    <t>Essex Junction</t>
  </si>
  <si>
    <t>Essex</t>
  </si>
  <si>
    <t>Exeter, NH</t>
  </si>
  <si>
    <t>Fair Haven</t>
  </si>
  <si>
    <t>Falmouth, MA</t>
  </si>
  <si>
    <t>Ferrisburg</t>
  </si>
  <si>
    <t>Forestdale</t>
  </si>
  <si>
    <t>Gloucester, MA</t>
  </si>
  <si>
    <t>Goshen</t>
  </si>
  <si>
    <t>Granville</t>
  </si>
  <si>
    <t>Greenbelt, MD</t>
  </si>
  <si>
    <t>Hancock</t>
  </si>
  <si>
    <t>Hanover, NH</t>
  </si>
  <si>
    <t>Harrison, NY</t>
  </si>
  <si>
    <t>Hartwick, NY</t>
  </si>
  <si>
    <t>Hinesburg</t>
  </si>
  <si>
    <t>Hubbardton</t>
  </si>
  <si>
    <t>Huntington</t>
  </si>
  <si>
    <t>Ipswich, MA</t>
  </si>
  <si>
    <t>Ithaca, NY</t>
  </si>
  <si>
    <t>Jamaica Plain, MA</t>
  </si>
  <si>
    <t>Jamesville, NY</t>
  </si>
  <si>
    <t>Jay, NY</t>
  </si>
  <si>
    <t>Jeffersonville</t>
  </si>
  <si>
    <t>Lancaster, PA</t>
  </si>
  <si>
    <t>Lansdowne, PA</t>
  </si>
  <si>
    <t>Laurel, MD</t>
  </si>
  <si>
    <t>Leeds, MA</t>
  </si>
  <si>
    <t>Leicester</t>
  </si>
  <si>
    <t>Lexington, MA</t>
  </si>
  <si>
    <t>Lincoln</t>
  </si>
  <si>
    <t>Lutherville, MD</t>
  </si>
  <si>
    <t>Manchester, MA</t>
  </si>
  <si>
    <t>Mansville, MA</t>
  </si>
  <si>
    <t>Marstons Mills, MA</t>
  </si>
  <si>
    <t>Meadville, PA</t>
  </si>
  <si>
    <t>Medford, MA</t>
  </si>
  <si>
    <t>Mendon</t>
  </si>
  <si>
    <t>Meriden, CT</t>
  </si>
  <si>
    <t>Middlebury</t>
  </si>
  <si>
    <t>Middletown, CT</t>
  </si>
  <si>
    <t>Milford, CT</t>
  </si>
  <si>
    <t>Milford, MA</t>
  </si>
  <si>
    <t>Mineville, NY</t>
  </si>
  <si>
    <t>Montague, MA</t>
  </si>
  <si>
    <t>Montclair, NJ</t>
  </si>
  <si>
    <t>Montgomery Center, VT</t>
  </si>
  <si>
    <t>Montpelier</t>
  </si>
  <si>
    <t>Montreal, QC</t>
  </si>
  <si>
    <t>Moretown</t>
  </si>
  <si>
    <t>Moriah, NY</t>
  </si>
  <si>
    <t>Moriah Center</t>
  </si>
  <si>
    <t>Narbeth, PA</t>
  </si>
  <si>
    <t>New Bedford, MA</t>
  </si>
  <si>
    <t>New Brunswick, NJ</t>
  </si>
  <si>
    <t>New Hampton, NH</t>
  </si>
  <si>
    <t>New Hartford, NY</t>
  </si>
  <si>
    <t>New Haven</t>
  </si>
  <si>
    <t>New York, NY</t>
  </si>
  <si>
    <t>New Market, NH</t>
  </si>
  <si>
    <t>Newport, RI</t>
  </si>
  <si>
    <t>Newton, MA</t>
  </si>
  <si>
    <t>North Clarendon</t>
  </si>
  <si>
    <t>North Ferrisburg</t>
  </si>
  <si>
    <t>Northampton, MA</t>
  </si>
  <si>
    <t>Norwich</t>
  </si>
  <si>
    <t>Norwood, MA</t>
  </si>
  <si>
    <t>Ontario</t>
  </si>
  <si>
    <t>Orwell</t>
  </si>
  <si>
    <t>Owings Mills, MD</t>
  </si>
  <si>
    <t>Oxford, MD</t>
  </si>
  <si>
    <t>Panton</t>
  </si>
  <si>
    <t>Peru, NY</t>
  </si>
  <si>
    <t>Pittsfield</t>
  </si>
  <si>
    <t>Pittsford</t>
  </si>
  <si>
    <t>Plymouth, NH</t>
  </si>
  <si>
    <t>Port Henry</t>
  </si>
  <si>
    <t>Poultney</t>
  </si>
  <si>
    <t>Princeton, NJ</t>
  </si>
  <si>
    <t>Proctor</t>
  </si>
  <si>
    <t>Providence, RI</t>
  </si>
  <si>
    <t>Qunicy, MA</t>
  </si>
  <si>
    <t>Richmond</t>
  </si>
  <si>
    <t>Ripton</t>
  </si>
  <si>
    <t>Rochester</t>
  </si>
  <si>
    <t>Rochester, NY</t>
  </si>
  <si>
    <t>Rockville, MD</t>
  </si>
  <si>
    <t>Rutland</t>
  </si>
  <si>
    <t>Salisbury</t>
  </si>
  <si>
    <t>Saranac, NY</t>
  </si>
  <si>
    <t>Saratoga Springs, NY</t>
  </si>
  <si>
    <t>Saxtons River</t>
  </si>
  <si>
    <t>Shelburne</t>
  </si>
  <si>
    <t>Sheldon</t>
  </si>
  <si>
    <t>Shoreham</t>
  </si>
  <si>
    <t>Somervile, MA</t>
  </si>
  <si>
    <t>South Burlington</t>
  </si>
  <si>
    <t>South Chittenden</t>
  </si>
  <si>
    <t>South Lincoln</t>
  </si>
  <si>
    <t>South Royalton</t>
  </si>
  <si>
    <t>Springfield, MA</t>
  </si>
  <si>
    <t>St. Albans</t>
  </si>
  <si>
    <t>Starksboro(ugh)</t>
  </si>
  <si>
    <t>Sudbury</t>
  </si>
  <si>
    <t>Ticonderoga</t>
  </si>
  <si>
    <t>Tinmouth</t>
  </si>
  <si>
    <t>Toronto, ON</t>
  </si>
  <si>
    <t>Troy, NY</t>
  </si>
  <si>
    <t>Underhill</t>
  </si>
  <si>
    <t>Vergennes</t>
  </si>
  <si>
    <t>Waitsfield</t>
  </si>
  <si>
    <t>Waltham</t>
  </si>
  <si>
    <t>Warren</t>
  </si>
  <si>
    <t>Washington, DC</t>
  </si>
  <si>
    <t>Waterbury Center</t>
  </si>
  <si>
    <t>Waterville, ME</t>
  </si>
  <si>
    <t>Wellesley, MA</t>
  </si>
  <si>
    <t>Wells</t>
  </si>
  <si>
    <t>West Addison</t>
  </si>
  <si>
    <t>West Cornwall</t>
  </si>
  <si>
    <t>West Lebanon, NH</t>
  </si>
  <si>
    <t>West Rutland</t>
  </si>
  <si>
    <t>Westford</t>
  </si>
  <si>
    <t>Westport, NY</t>
  </si>
  <si>
    <t>Wethersfield, CT</t>
  </si>
  <si>
    <t>Weybridge</t>
  </si>
  <si>
    <t>White River Junction</t>
  </si>
  <si>
    <t>Whiting</t>
  </si>
  <si>
    <t>Wilbraham, MA</t>
  </si>
  <si>
    <t>Williamstown, MA</t>
  </si>
  <si>
    <t>Williston</t>
  </si>
  <si>
    <t>Wilmington, DE</t>
  </si>
  <si>
    <t>Wilton, NY</t>
  </si>
  <si>
    <t>Windham, NH</t>
  </si>
  <si>
    <t>Winooski</t>
  </si>
  <si>
    <t>Witherbee, NY</t>
  </si>
  <si>
    <t>Woodbridge, CT</t>
  </si>
  <si>
    <r>
      <rPr>
        <rFont val="Arial"/>
        <color theme="1"/>
        <sz val="10.0"/>
      </rPr>
      <t xml:space="preserve">Commuting miles </t>
    </r>
    <r>
      <rPr>
        <rFont val="Arial"/>
        <color rgb="FFDD0806"/>
        <sz val="10.0"/>
      </rPr>
      <t>●</t>
    </r>
  </si>
  <si>
    <t>Ave Mi/Gal of emp vehicles</t>
  </si>
  <si>
    <t>Σ Commuter Gas (gal)</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</si>
  <si>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</si>
  <si>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</si>
  <si>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</si>
  <si>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</si>
  <si>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</si>
  <si>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t>ΣMTCDE from Commuting</t>
  </si>
  <si>
    <t>Please Note: As of FY08/09 the Inventory uses the Miles per Town data as the basis of its ΣMTCDE from Commuting calculation.  It no longer depends upon the Commuting Miles estimates provided by Facilities (which can be found in cells</t>
  </si>
  <si>
    <t>D194, F194, H194, J194 and L194 for those fiscal years prior to FY08/09).  For FY08/09 it follows that the value of N194 equals that of O194.</t>
  </si>
  <si>
    <r>
      <rPr>
        <rFont val="Arial"/>
        <b/>
        <i/>
        <color theme="1"/>
        <sz val="10.0"/>
      </rPr>
      <t>tonne/gram (1/1x10</t>
    </r>
    <r>
      <rPr>
        <rFont val="Arial"/>
        <b/>
        <i/>
        <color theme="1"/>
        <sz val="10.0"/>
        <vertAlign val="superscript"/>
      </rPr>
      <t>6</t>
    </r>
    <r>
      <rPr>
        <rFont val="Arial"/>
        <b/>
        <i/>
        <color theme="1"/>
        <sz val="10.0"/>
      </rPr>
      <t>)</t>
    </r>
  </si>
  <si>
    <r>
      <rPr>
        <rFont val="Arial"/>
        <b/>
        <color theme="1"/>
        <sz val="10.0"/>
      </rPr>
      <t>CH</t>
    </r>
    <r>
      <rPr>
        <rFont val="Arial"/>
        <b/>
        <color theme="1"/>
        <sz val="10.0"/>
        <vertAlign val="subscript"/>
      </rPr>
      <t>4</t>
    </r>
    <r>
      <rPr>
        <rFont val="Arial"/>
        <b/>
        <color theme="1"/>
        <sz val="10.0"/>
      </rPr>
      <t xml:space="preserve"> GWP</t>
    </r>
  </si>
  <si>
    <r>
      <rPr>
        <rFont val="Arial"/>
        <b/>
        <color theme="1"/>
        <sz val="10.0"/>
      </rPr>
      <t>N</t>
    </r>
    <r>
      <rPr>
        <rFont val="Arial"/>
        <b/>
        <color theme="1"/>
        <sz val="10.0"/>
        <vertAlign val="subscript"/>
      </rPr>
      <t>2</t>
    </r>
    <r>
      <rPr>
        <rFont val="Arial"/>
        <b/>
        <color theme="1"/>
        <sz val="10.0"/>
      </rPr>
      <t>O GWP</t>
    </r>
  </si>
  <si>
    <r>
      <rPr>
        <rFont val="Arial"/>
        <b/>
        <color theme="1"/>
        <sz val="10.0"/>
      </rPr>
      <t>Tonnes CO</t>
    </r>
    <r>
      <rPr>
        <rFont val="Arial"/>
        <b/>
        <color theme="1"/>
        <sz val="10.0"/>
        <vertAlign val="subscript"/>
      </rPr>
      <t>2</t>
    </r>
    <r>
      <rPr>
        <rFont val="Arial"/>
        <b/>
        <color theme="1"/>
        <sz val="10.0"/>
      </rPr>
      <t>/gal gas EF</t>
    </r>
  </si>
  <si>
    <r>
      <rPr>
        <rFont val="Arial"/>
        <b/>
        <color theme="1"/>
        <sz val="10.0"/>
      </rPr>
      <t>CH</t>
    </r>
    <r>
      <rPr>
        <rFont val="Arial"/>
        <b/>
        <color theme="1"/>
        <sz val="10.0"/>
        <vertAlign val="subscript"/>
      </rPr>
      <t>4</t>
    </r>
    <r>
      <rPr>
        <rFont val="Arial"/>
        <b/>
        <color theme="1"/>
        <sz val="10.0"/>
      </rPr>
      <t xml:space="preserve"> EF (g gas/mile)</t>
    </r>
  </si>
  <si>
    <r>
      <rPr>
        <rFont val="Arial"/>
        <b/>
        <color theme="1"/>
        <sz val="10.0"/>
      </rPr>
      <t>N</t>
    </r>
    <r>
      <rPr>
        <rFont val="Arial"/>
        <b/>
        <color theme="1"/>
        <sz val="10.0"/>
        <vertAlign val="subscript"/>
      </rPr>
      <t>2</t>
    </r>
    <r>
      <rPr>
        <rFont val="Arial"/>
        <b/>
        <color theme="1"/>
        <sz val="10.0"/>
      </rPr>
      <t>O EF (g gas/mile)</t>
    </r>
  </si>
  <si>
    <r>
      <rPr>
        <rFont val="Arial"/>
        <b/>
        <color theme="1"/>
        <sz val="10.0"/>
      </rPr>
      <t>MW ratio (kg CO</t>
    </r>
    <r>
      <rPr>
        <rFont val="Arial"/>
        <b/>
        <color theme="1"/>
        <sz val="10.0"/>
        <vertAlign val="subscript"/>
      </rPr>
      <t>2</t>
    </r>
    <r>
      <rPr>
        <rFont val="Arial"/>
        <b/>
        <color theme="1"/>
        <sz val="10.0"/>
      </rPr>
      <t>/kg C)</t>
    </r>
  </si>
  <si>
    <t>Factors Determining Commuting Miles</t>
  </si>
  <si>
    <t>Days/yr</t>
  </si>
  <si>
    <t>weekend days/yr.</t>
  </si>
  <si>
    <t>Regular holiday days/yr</t>
  </si>
  <si>
    <t>Base commuting days/yr</t>
  </si>
  <si>
    <t xml:space="preserve">CTO for full time staff 0-1 yrs </t>
  </si>
  <si>
    <t xml:space="preserve">CTO for full time staff 1-2 yrs </t>
  </si>
  <si>
    <t xml:space="preserve">CTO for full time staff 3-10 yrs </t>
  </si>
  <si>
    <t xml:space="preserve">CTO for full time staff 10-20 yrs </t>
  </si>
  <si>
    <t xml:space="preserve">CTO for full time staff 20+ yrs </t>
  </si>
  <si>
    <t>This section includes emissions from all mobile combustion of fossil fuels used in vehicles not owned by the institution, but whose operations are indirectly solicited by the institution; i.e. regular employee and off-campus student commuting.</t>
  </si>
  <si>
    <r>
      <rPr>
        <rFont val="Arial"/>
        <b/>
        <color theme="1"/>
        <sz val="10.0"/>
      </rPr>
      <t xml:space="preserve">Figure S1.1. </t>
    </r>
    <r>
      <rPr>
        <rFont val="Arial"/>
        <b val="0"/>
        <color theme="1"/>
        <sz val="10.0"/>
      </rPr>
      <t xml:space="preserve">Key for Scope 1 Mobile Carbon Dioxide Calculations. </t>
    </r>
    <r>
      <rPr>
        <rFont val="Arial"/>
        <b val="0"/>
        <i/>
        <color theme="1"/>
        <sz val="10.0"/>
      </rPr>
      <t>Source:</t>
    </r>
    <r>
      <rPr>
        <rFont val="Arial"/>
        <b val="0"/>
        <color theme="1"/>
        <sz val="10.0"/>
      </rPr>
      <t xml:space="preserve"> </t>
    </r>
    <r>
      <rPr>
        <rFont val="Arial"/>
        <b val="0"/>
        <color theme="1"/>
        <sz val="10.0"/>
      </rPr>
      <t>EPA Climate Leaders. 2004. "C</t>
    </r>
    <r>
      <rPr>
        <rFont val="Arial"/>
        <b val="0"/>
        <color theme="1"/>
        <sz val="10.0"/>
      </rPr>
      <t>ore Module Guidance: Direct Emissions from Mobile Combustion Sources." pp 5. &lt;http://www.epa.gov/climateleaders/docs/mobilesourceguidance.pdf&gt;</t>
    </r>
  </si>
  <si>
    <r>
      <rPr>
        <rFont val="Arial"/>
        <b/>
        <color theme="1"/>
        <sz val="10.0"/>
      </rPr>
      <t xml:space="preserve">Figure S1.2. </t>
    </r>
    <r>
      <rPr>
        <rFont val="Arial"/>
        <b val="0"/>
        <color theme="1"/>
        <sz val="10.0"/>
      </rPr>
      <t xml:space="preserve">Key for Scope 1 Mobile Methane and Nitrous Oxide Calculations. </t>
    </r>
    <r>
      <rPr>
        <rFont val="Arial"/>
        <b val="0"/>
        <i/>
        <color theme="1"/>
        <sz val="10.0"/>
      </rPr>
      <t>Source:</t>
    </r>
    <r>
      <rPr>
        <rFont val="Arial"/>
        <b val="0"/>
        <color theme="1"/>
        <sz val="10.0"/>
      </rPr>
      <t xml:space="preserve"> </t>
    </r>
    <r>
      <rPr>
        <rFont val="Arial"/>
        <b val="0"/>
        <color theme="1"/>
        <sz val="10.0"/>
      </rPr>
      <t>EPA Climate Leaders. 2004. "Core Module Guidance: Direct Emissions from Mobile Combustion Sources." pp 7. &lt;http://www.epa.gov/climateleaders/docs/mobilesourceguidance.pdf&gt;</t>
    </r>
  </si>
  <si>
    <t>EPA Climate Leaders. 2004. "Core Module Guidance: Direct Emissions from Stationary Combustion Sources." pp 26. &lt;http://www.epa.gov/climateleaders/docs/mobilesourceguidance.pdf&gt; [JK 06]</t>
  </si>
  <si>
    <r>
      <rPr>
        <rFont val="Arial"/>
        <color theme="1"/>
        <sz val="10.0"/>
      </rPr>
      <t>MW ratio (kg CO</t>
    </r>
    <r>
      <rPr>
        <rFont val="Arial"/>
        <color theme="1"/>
        <sz val="10.0"/>
        <vertAlign val="subscript"/>
      </rPr>
      <t>2</t>
    </r>
    <r>
      <rPr>
        <rFont val="Arial"/>
        <color theme="1"/>
        <sz val="10.0"/>
      </rPr>
      <t>/kg C)</t>
    </r>
  </si>
  <si>
    <r>
      <rPr>
        <rFont val="Arial"/>
        <color theme="1"/>
        <sz val="10.0"/>
      </rPr>
      <t>CH</t>
    </r>
    <r>
      <rPr>
        <rFont val="Arial"/>
        <color theme="1"/>
        <sz val="10.0"/>
        <vertAlign val="subscript"/>
      </rPr>
      <t>4</t>
    </r>
    <r>
      <rPr>
        <rFont val="Arial"/>
        <color theme="1"/>
        <sz val="10.0"/>
      </rPr>
      <t xml:space="preserve"> EF (g gas/mile)</t>
    </r>
  </si>
  <si>
    <t>Based on 1985-1986 EF's for heavy duty vehicles (most conservative values). EPA Climate Leaders. 2004. "Core Module Guidance: Direct Emissions from Mobile Combustion Sources." pp 9. &lt;http://www.epa.gov/climateleaders/docs/mobilesourceguidance</t>
  </si>
  <si>
    <r>
      <rPr>
        <rFont val="Arial"/>
        <i/>
        <color theme="1"/>
        <sz val="10.0"/>
      </rPr>
      <t>tonne/gram (1/1x10</t>
    </r>
    <r>
      <rPr>
        <rFont val="Arial"/>
        <i/>
        <color theme="1"/>
        <sz val="10.0"/>
        <vertAlign val="superscript"/>
      </rPr>
      <t>6</t>
    </r>
    <r>
      <rPr>
        <rFont val="Arial"/>
        <i/>
        <color theme="1"/>
        <sz val="10.0"/>
      </rPr>
      <t>)</t>
    </r>
  </si>
  <si>
    <r>
      <rPr>
        <rFont val="Arial"/>
        <color theme="1"/>
        <sz val="10.0"/>
      </rPr>
      <t>CH</t>
    </r>
    <r>
      <rPr>
        <rFont val="Arial"/>
        <color theme="1"/>
        <sz val="10.0"/>
        <vertAlign val="subscript"/>
      </rPr>
      <t>4</t>
    </r>
    <r>
      <rPr>
        <rFont val="Arial"/>
        <color theme="1"/>
        <sz val="10.0"/>
      </rPr>
      <t xml:space="preserve"> GWP</t>
    </r>
  </si>
  <si>
    <t>Global Warming Potential (GWP) based on 100 yr time horizon: US EPA. 2006. "Non-CO2 Gasses Economic Analysis and Inventory: Global Warming Potentials and Atmospheric Lifetimes." &lt;http://www.epa.gov/nonco2/econ-inv/table.html&gt; [BB 07]</t>
  </si>
  <si>
    <r>
      <rPr>
        <rFont val="Arial"/>
        <color theme="1"/>
        <sz val="10.0"/>
      </rPr>
      <t>N</t>
    </r>
    <r>
      <rPr>
        <rFont val="Arial"/>
        <color theme="1"/>
        <sz val="10.0"/>
        <vertAlign val="subscript"/>
      </rPr>
      <t>2</t>
    </r>
    <r>
      <rPr>
        <rFont val="Arial"/>
        <color theme="1"/>
        <sz val="10.0"/>
      </rPr>
      <t>O EF (g gas/mile)</t>
    </r>
  </si>
  <si>
    <t>Based on 1996 EF's for heavy duty vehicles (most conservative values). EPA Climate Leaders. 2004. "Core Module Guidance: Direct Emissions from Mobile Combustion Sources." pp 9. &lt;http://www.epa.gov/climateleaders/docs/mobilesourceguidance. [JK 06]</t>
  </si>
  <si>
    <r>
      <rPr>
        <rFont val="Arial"/>
        <color theme="1"/>
        <sz val="10.0"/>
      </rPr>
      <t>N</t>
    </r>
    <r>
      <rPr>
        <rFont val="Arial"/>
        <color theme="1"/>
        <sz val="10.0"/>
        <vertAlign val="subscript"/>
      </rPr>
      <t>2</t>
    </r>
    <r>
      <rPr>
        <rFont val="Arial"/>
        <color theme="1"/>
        <sz val="10.0"/>
      </rPr>
      <t>O GWP</t>
    </r>
  </si>
  <si>
    <r>
      <rPr>
        <rFont val="Arial"/>
        <i/>
        <color theme="1"/>
        <sz val="10.0"/>
      </rPr>
      <t>tonne/gram (1/1x10</t>
    </r>
    <r>
      <rPr>
        <rFont val="Arial"/>
        <i/>
        <color theme="1"/>
        <sz val="10.0"/>
        <vertAlign val="superscript"/>
      </rPr>
      <t>6</t>
    </r>
    <r>
      <rPr>
        <rFont val="Arial"/>
        <i/>
        <color theme="1"/>
        <sz val="10.0"/>
      </rPr>
      <t>)</t>
    </r>
  </si>
  <si>
    <t>Accepted</t>
  </si>
  <si>
    <t>Middlebury College Employee Handbook. Section 4.5: Holidays.&lt;http://www.middlebury.edu/about/handbook/employee/&gt; [JK 06]</t>
  </si>
  <si>
    <t>[JK 06]</t>
  </si>
  <si>
    <t>Σ Commuting Miles = Σ (daily miles x annual working days x nh factor x ft%)</t>
  </si>
  <si>
    <t xml:space="preserve">Milage is provided by Mapquest Queries End point: 326 College St, Middlebury, </t>
  </si>
  <si>
    <t xml:space="preserve">VT: &lt;http://www.mapquest.com/directions/main.adp?bCTsettings=1&gt; [JK 06].  </t>
  </si>
  <si>
    <t>Distribution of where Middlebury employees live is provided by Human Resources</t>
  </si>
  <si>
    <t>Systems and Planning Manager: Ellen Usilton. [AB 09]</t>
  </si>
  <si>
    <t>Same as above.</t>
  </si>
  <si>
    <t>Crown Point</t>
  </si>
  <si>
    <t>Foresdale</t>
  </si>
  <si>
    <t>Montgomery Center</t>
  </si>
  <si>
    <t>Montreal</t>
  </si>
  <si>
    <t>Moriah</t>
  </si>
  <si>
    <t>Commuting miles</t>
  </si>
  <si>
    <t xml:space="preserve">Calculated by determing the number of miles driven per year by Middlebury </t>
  </si>
  <si>
    <t xml:space="preserve">workers if each employee drives himself to the campus and home again 252.5 </t>
  </si>
  <si>
    <t>days a year.</t>
  </si>
  <si>
    <t>Average on-road US mi/gal based on 55/44 highway/city driving habits as set by the EPA in: US EPA. 2006. Light Duty Automotive Technology and Fuel Economy Trends: 1975 Through 2006. Executive Summary. EPA420-S-06-003, July 2006. Retrieved from: &lt;http://www.epa.gov/otaq/cert/mpg/fetrends/420s06003.htm&gt; [JK 06]</t>
  </si>
  <si>
    <r>
      <rPr>
        <rFont val="Arial"/>
        <color theme="1"/>
        <sz val="10.0"/>
      </rPr>
      <t>Tonnes CO</t>
    </r>
    <r>
      <rPr>
        <rFont val="Arial"/>
        <color theme="1"/>
        <sz val="10.0"/>
        <vertAlign val="subscript"/>
      </rPr>
      <t>2</t>
    </r>
    <r>
      <rPr>
        <rFont val="Arial"/>
        <color theme="1"/>
        <sz val="10.0"/>
      </rPr>
      <t>/gal gas EF</t>
    </r>
  </si>
  <si>
    <t>HC values were originally published in:</t>
  </si>
  <si>
    <t>U.S. Department of Energy, Energy Information Administration. 2003. “Annual Energy Review 2002,” DOE/EIA 0384(2002), , Washington, DC, October 2003.</t>
  </si>
  <si>
    <t>Carbon Content Coefficients and Fractions Oxidized:</t>
  </si>
  <si>
    <t>US EPA. 2004. “Inventory of U.S. Greenhouse Gas Emissions and Sinks:” 1990-2002, EPA430-R-04-003, U.S. EPA, Washington, DC, April 2004.</t>
  </si>
  <si>
    <t>HC and Carbon Content Coefficients values were originally published in:</t>
  </si>
  <si>
    <r>
      <rPr>
        <rFont val="Times New Roman"/>
        <color theme="1"/>
        <sz val="12.0"/>
      </rPr>
      <t xml:space="preserve">Guthrie, V.B. (ed.). 1960 </t>
    </r>
    <r>
      <rPr>
        <rFont val="Times New Roman"/>
        <i/>
        <color theme="1"/>
        <sz val="12.0"/>
      </rPr>
      <t>Characteristics of Compounds,</t>
    </r>
    <r>
      <rPr>
        <rFont val="Times New Roman"/>
        <color theme="1"/>
        <sz val="12.0"/>
      </rPr>
      <t xml:space="preserve"> </t>
    </r>
    <r>
      <rPr>
        <rFont val="Times New Roman"/>
        <color theme="1"/>
        <sz val="12.0"/>
        <u/>
      </rPr>
      <t>Petroleum Products Handbook</t>
    </r>
    <r>
      <rPr>
        <rFont val="Times New Roman"/>
        <color theme="1"/>
        <sz val="12.0"/>
      </rPr>
      <t>. New York, NY: Mcgraw Hill. pp 3.</t>
    </r>
  </si>
  <si>
    <t>Carbon Content Coefficient values and Fractions Oxidized were calculated based on the findings of:</t>
  </si>
  <si>
    <t>fy09/10</t>
  </si>
  <si>
    <t>fy10/11</t>
  </si>
  <si>
    <t>fac avg. annual driving days</t>
  </si>
  <si>
    <t>fac avg. commuting miles</t>
  </si>
  <si>
    <t>fac avg. MPG</t>
  </si>
  <si>
    <t>fac avg annual gallons used</t>
  </si>
  <si>
    <t># faculty</t>
  </si>
  <si>
    <t>total gallons used by faculty</t>
  </si>
  <si>
    <t>staff avg annual driving days</t>
  </si>
  <si>
    <t>staff avg.commuting miles</t>
  </si>
  <si>
    <t>staff avg. MPG</t>
  </si>
  <si>
    <t>staff avg annual gallons used</t>
  </si>
  <si>
    <t># staff</t>
  </si>
  <si>
    <t>total gallons used by staff</t>
  </si>
  <si>
    <t>total gallons used by employees</t>
  </si>
  <si>
    <r>
      <rPr>
        <rFont val="Arial"/>
        <b/>
        <color theme="1"/>
        <sz val="10.0"/>
      </rPr>
      <t>Metric Tonnes CO</t>
    </r>
    <r>
      <rPr>
        <rFont val="Arial"/>
        <b/>
        <color theme="1"/>
        <sz val="10.0"/>
        <vertAlign val="subscript"/>
      </rPr>
      <t>2</t>
    </r>
  </si>
  <si>
    <r>
      <rPr>
        <rFont val="Arial"/>
        <color theme="1"/>
        <sz val="10.0"/>
      </rPr>
      <t>Tonnes CH</t>
    </r>
    <r>
      <rPr>
        <rFont val="Arial"/>
        <color theme="1"/>
        <sz val="10.0"/>
        <vertAlign val="subscript"/>
      </rPr>
      <t>4</t>
    </r>
  </si>
  <si>
    <r>
      <rPr>
        <rFont val="Arial"/>
        <b/>
        <color theme="1"/>
        <sz val="10.0"/>
      </rPr>
      <t>MTCDE from CH</t>
    </r>
    <r>
      <rPr>
        <rFont val="Arial"/>
        <b/>
        <color theme="1"/>
        <sz val="10.0"/>
        <vertAlign val="subscript"/>
      </rPr>
      <t>4</t>
    </r>
  </si>
  <si>
    <r>
      <rPr>
        <rFont val="Arial"/>
        <color theme="1"/>
        <sz val="10.0"/>
      </rPr>
      <t>Tonnes N</t>
    </r>
    <r>
      <rPr>
        <rFont val="Arial"/>
        <color theme="1"/>
        <sz val="10.0"/>
        <vertAlign val="subscript"/>
      </rPr>
      <t>2</t>
    </r>
    <r>
      <rPr>
        <rFont val="Arial"/>
        <color theme="1"/>
        <sz val="10.0"/>
      </rPr>
      <t>O</t>
    </r>
  </si>
  <si>
    <r>
      <rPr>
        <rFont val="Arial"/>
        <b/>
        <color theme="1"/>
        <sz val="10.0"/>
      </rPr>
      <t>MTCDE from N</t>
    </r>
    <r>
      <rPr>
        <rFont val="Arial"/>
        <b/>
        <color theme="1"/>
        <sz val="10.0"/>
        <vertAlign val="subscript"/>
      </rPr>
      <t>2</t>
    </r>
    <r>
      <rPr>
        <rFont val="Arial"/>
        <b/>
        <color theme="1"/>
        <sz val="10.0"/>
      </rPr>
      <t>O</t>
    </r>
  </si>
  <si>
    <r>
      <rPr>
        <rFont val="Arial"/>
        <b/>
        <i/>
        <color theme="1"/>
        <sz val="10.0"/>
      </rPr>
      <t>tonne/gram (1/1x10</t>
    </r>
    <r>
      <rPr>
        <rFont val="Arial"/>
        <b/>
        <i/>
        <color theme="1"/>
        <sz val="10.0"/>
        <vertAlign val="superscript"/>
      </rPr>
      <t>6</t>
    </r>
    <r>
      <rPr>
        <rFont val="Arial"/>
        <b/>
        <i/>
        <color theme="1"/>
        <sz val="10.0"/>
      </rPr>
      <t>)</t>
    </r>
  </si>
  <si>
    <r>
      <rPr>
        <rFont val="Arial"/>
        <b/>
        <color theme="1"/>
        <sz val="10.0"/>
      </rPr>
      <t>CH</t>
    </r>
    <r>
      <rPr>
        <rFont val="Arial"/>
        <b/>
        <color theme="1"/>
        <sz val="10.0"/>
        <vertAlign val="subscript"/>
      </rPr>
      <t>4</t>
    </r>
    <r>
      <rPr>
        <rFont val="Arial"/>
        <b/>
        <color theme="1"/>
        <sz val="10.0"/>
      </rPr>
      <t xml:space="preserve"> GWP</t>
    </r>
  </si>
  <si>
    <r>
      <rPr>
        <rFont val="Arial"/>
        <b/>
        <color theme="1"/>
        <sz val="10.0"/>
      </rPr>
      <t>N</t>
    </r>
    <r>
      <rPr>
        <rFont val="Arial"/>
        <b/>
        <color theme="1"/>
        <sz val="10.0"/>
        <vertAlign val="subscript"/>
      </rPr>
      <t>2</t>
    </r>
    <r>
      <rPr>
        <rFont val="Arial"/>
        <b/>
        <color theme="1"/>
        <sz val="10.0"/>
      </rPr>
      <t>O GWP</t>
    </r>
  </si>
  <si>
    <r>
      <rPr>
        <rFont val="Arial"/>
        <b/>
        <color theme="1"/>
        <sz val="10.0"/>
      </rPr>
      <t>Tonnes CO</t>
    </r>
    <r>
      <rPr>
        <rFont val="Arial"/>
        <b/>
        <color theme="1"/>
        <sz val="10.0"/>
        <vertAlign val="subscript"/>
      </rPr>
      <t>2</t>
    </r>
    <r>
      <rPr>
        <rFont val="Arial"/>
        <b/>
        <color theme="1"/>
        <sz val="10.0"/>
      </rPr>
      <t>/gal gas EF</t>
    </r>
  </si>
  <si>
    <r>
      <rPr>
        <rFont val="Arial"/>
        <b/>
        <color theme="1"/>
        <sz val="10.0"/>
      </rPr>
      <t>CH</t>
    </r>
    <r>
      <rPr>
        <rFont val="Arial"/>
        <b/>
        <color theme="1"/>
        <sz val="10.0"/>
        <vertAlign val="subscript"/>
      </rPr>
      <t>4</t>
    </r>
    <r>
      <rPr>
        <rFont val="Arial"/>
        <b/>
        <color theme="1"/>
        <sz val="10.0"/>
      </rPr>
      <t xml:space="preserve"> EF (g gas/mile)</t>
    </r>
  </si>
  <si>
    <r>
      <rPr>
        <rFont val="Arial"/>
        <b/>
        <color theme="1"/>
        <sz val="10.0"/>
      </rPr>
      <t>N</t>
    </r>
    <r>
      <rPr>
        <rFont val="Arial"/>
        <b/>
        <color theme="1"/>
        <sz val="10.0"/>
        <vertAlign val="subscript"/>
      </rPr>
      <t>2</t>
    </r>
    <r>
      <rPr>
        <rFont val="Arial"/>
        <b/>
        <color theme="1"/>
        <sz val="10.0"/>
      </rPr>
      <t>O EF (g gas/mile)</t>
    </r>
  </si>
  <si>
    <r>
      <rPr>
        <rFont val="Arial"/>
        <b/>
        <color theme="1"/>
        <sz val="10.0"/>
      </rPr>
      <t>MW ratio (kg CO</t>
    </r>
    <r>
      <rPr>
        <rFont val="Arial"/>
        <b/>
        <color theme="1"/>
        <sz val="10.0"/>
        <vertAlign val="subscript"/>
      </rPr>
      <t>2</t>
    </r>
    <r>
      <rPr>
        <rFont val="Arial"/>
        <b/>
        <color theme="1"/>
        <sz val="10.0"/>
      </rPr>
      <t>/kg C)</t>
    </r>
  </si>
  <si>
    <r>
      <rPr>
        <rFont val="Arial"/>
        <b/>
        <color theme="1"/>
        <sz val="10.0"/>
      </rPr>
      <t xml:space="preserve">Figure S1.1. </t>
    </r>
    <r>
      <rPr>
        <rFont val="Arial"/>
        <b val="0"/>
        <color theme="1"/>
        <sz val="10.0"/>
      </rPr>
      <t xml:space="preserve">Key for Scope 1 Mobile Carbon Dioxide Calculations. </t>
    </r>
    <r>
      <rPr>
        <rFont val="Arial"/>
        <b val="0"/>
        <i/>
        <color theme="1"/>
        <sz val="10.0"/>
      </rPr>
      <t>Source:</t>
    </r>
    <r>
      <rPr>
        <rFont val="Arial"/>
        <b val="0"/>
        <color theme="1"/>
        <sz val="10.0"/>
      </rPr>
      <t xml:space="preserve"> </t>
    </r>
    <r>
      <rPr>
        <rFont val="Arial"/>
        <b val="0"/>
        <color theme="1"/>
        <sz val="10.0"/>
      </rPr>
      <t>EPA Climate Leaders. 2004. "C</t>
    </r>
    <r>
      <rPr>
        <rFont val="Arial"/>
        <b val="0"/>
        <color theme="1"/>
        <sz val="10.0"/>
      </rPr>
      <t>ore Module Guidance: Direct Emissions from Mobile Combustion Sources." pp 5. &lt;http://www.epa.gov/climateleaders/docs/mobilesourceguidance.pdf&gt;</t>
    </r>
  </si>
  <si>
    <r>
      <rPr>
        <rFont val="Arial"/>
        <b/>
        <color theme="1"/>
        <sz val="10.0"/>
      </rPr>
      <t xml:space="preserve">Figure S1.2. </t>
    </r>
    <r>
      <rPr>
        <rFont val="Arial"/>
        <b val="0"/>
        <color theme="1"/>
        <sz val="10.0"/>
      </rPr>
      <t xml:space="preserve">Key for Scope 1 Mobile Methane and Nitrous Oxide Calculations. </t>
    </r>
    <r>
      <rPr>
        <rFont val="Arial"/>
        <b val="0"/>
        <i/>
        <color theme="1"/>
        <sz val="10.0"/>
      </rPr>
      <t>Source:</t>
    </r>
    <r>
      <rPr>
        <rFont val="Arial"/>
        <b val="0"/>
        <color theme="1"/>
        <sz val="10.0"/>
      </rPr>
      <t xml:space="preserve"> </t>
    </r>
    <r>
      <rPr>
        <rFont val="Arial"/>
        <b val="0"/>
        <color theme="1"/>
        <sz val="10.0"/>
      </rPr>
      <t>EPA Climate Leaders. 2004. "Core Module Guidance: Direct Emissions from Mobile Combustion Sources." pp 7. &lt;http://www.epa.gov/climateleaders/docs/mobilesourceguidance.pdf&gt;</t>
    </r>
  </si>
  <si>
    <r>
      <rPr>
        <rFont val="Arial"/>
        <color theme="1"/>
        <sz val="10.0"/>
      </rPr>
      <t>MW ratio (kg CO</t>
    </r>
    <r>
      <rPr>
        <rFont val="Arial"/>
        <color theme="1"/>
        <sz val="10.0"/>
        <vertAlign val="subscript"/>
      </rPr>
      <t>2</t>
    </r>
    <r>
      <rPr>
        <rFont val="Arial"/>
        <color theme="1"/>
        <sz val="10.0"/>
      </rPr>
      <t>/kg C)</t>
    </r>
  </si>
  <si>
    <r>
      <rPr>
        <rFont val="Arial"/>
        <color theme="1"/>
        <sz val="10.0"/>
      </rPr>
      <t>CH</t>
    </r>
    <r>
      <rPr>
        <rFont val="Arial"/>
        <color theme="1"/>
        <sz val="10.0"/>
        <vertAlign val="subscript"/>
      </rPr>
      <t>4</t>
    </r>
    <r>
      <rPr>
        <rFont val="Arial"/>
        <color theme="1"/>
        <sz val="10.0"/>
      </rPr>
      <t xml:space="preserve"> EF (g gas/mile)</t>
    </r>
  </si>
  <si>
    <r>
      <rPr>
        <rFont val="Arial"/>
        <i/>
        <color theme="1"/>
        <sz val="10.0"/>
      </rPr>
      <t>tonne/gram (1/1x10</t>
    </r>
    <r>
      <rPr>
        <rFont val="Arial"/>
        <i/>
        <color theme="1"/>
        <sz val="10.0"/>
        <vertAlign val="superscript"/>
      </rPr>
      <t>6</t>
    </r>
    <r>
      <rPr>
        <rFont val="Arial"/>
        <i/>
        <color theme="1"/>
        <sz val="10.0"/>
      </rPr>
      <t>)</t>
    </r>
  </si>
  <si>
    <r>
      <rPr>
        <rFont val="Arial"/>
        <color theme="1"/>
        <sz val="10.0"/>
      </rPr>
      <t>CH</t>
    </r>
    <r>
      <rPr>
        <rFont val="Arial"/>
        <color theme="1"/>
        <sz val="10.0"/>
        <vertAlign val="subscript"/>
      </rPr>
      <t>4</t>
    </r>
    <r>
      <rPr>
        <rFont val="Arial"/>
        <color theme="1"/>
        <sz val="10.0"/>
      </rPr>
      <t xml:space="preserve"> GWP</t>
    </r>
  </si>
  <si>
    <r>
      <rPr>
        <rFont val="Arial"/>
        <color theme="1"/>
        <sz val="10.0"/>
      </rPr>
      <t>N</t>
    </r>
    <r>
      <rPr>
        <rFont val="Arial"/>
        <color theme="1"/>
        <sz val="10.0"/>
        <vertAlign val="subscript"/>
      </rPr>
      <t>2</t>
    </r>
    <r>
      <rPr>
        <rFont val="Arial"/>
        <color theme="1"/>
        <sz val="10.0"/>
      </rPr>
      <t>O EF (g gas/mile)</t>
    </r>
  </si>
  <si>
    <r>
      <rPr>
        <rFont val="Arial"/>
        <color theme="1"/>
        <sz val="10.0"/>
      </rPr>
      <t>N</t>
    </r>
    <r>
      <rPr>
        <rFont val="Arial"/>
        <color theme="1"/>
        <sz val="10.0"/>
        <vertAlign val="subscript"/>
      </rPr>
      <t>2</t>
    </r>
    <r>
      <rPr>
        <rFont val="Arial"/>
        <color theme="1"/>
        <sz val="10.0"/>
      </rPr>
      <t>O GWP</t>
    </r>
  </si>
  <si>
    <r>
      <rPr>
        <rFont val="Arial"/>
        <i/>
        <color theme="1"/>
        <sz val="10.0"/>
      </rPr>
      <t>tonne/gram (1/1x10</t>
    </r>
    <r>
      <rPr>
        <rFont val="Arial"/>
        <i/>
        <color theme="1"/>
        <sz val="10.0"/>
        <vertAlign val="superscript"/>
      </rPr>
      <t>6</t>
    </r>
    <r>
      <rPr>
        <rFont val="Arial"/>
        <i/>
        <color theme="1"/>
        <sz val="10.0"/>
      </rPr>
      <t>)</t>
    </r>
  </si>
  <si>
    <t>Σ Commuting Miles = Σ (daily miles x annual working days)</t>
  </si>
  <si>
    <t>Calculated based on commuter surveys administered by the Sustainability Integration Office each summer. The 2011 survey can be viewed here: https://middlebury.keysurvey2.com/Member/ObjectDesign/DesignPreviewObject.jsp?VMODE=1&amp;authStart=1&amp;surveyId=376201</t>
  </si>
  <si>
    <t>Avg MPG of emp vehicles</t>
  </si>
  <si>
    <t xml:space="preserve">Same source as Commuting Miles, calculated by finding the average of all responses for faculty and staff separately </t>
  </si>
  <si>
    <t>Annual work days</t>
  </si>
  <si>
    <t xml:space="preserve">Same source as above. Calculated seperately for faculty and staff. Avergage of the sums (for each respondent) of # of days driven June-Aug + # days driven Sept-May. # Day driven = (days per week driving alone + days per week driving carpool) * # weeks - (#days off * (days per week driving alone + days per week driving carpool) / # days worked in typical work week). </t>
  </si>
  <si>
    <r>
      <rPr>
        <rFont val="Arial"/>
        <color theme="1"/>
        <sz val="10.0"/>
      </rPr>
      <t>Tonnes CO</t>
    </r>
    <r>
      <rPr>
        <rFont val="Arial"/>
        <color theme="1"/>
        <sz val="10.0"/>
        <vertAlign val="subscript"/>
      </rPr>
      <t>2</t>
    </r>
    <r>
      <rPr>
        <rFont val="Arial"/>
        <color theme="1"/>
        <sz val="10.0"/>
      </rPr>
      <t>/gal gas EF</t>
    </r>
  </si>
  <si>
    <r>
      <rPr>
        <rFont val="Times New Roman"/>
        <color theme="1"/>
        <sz val="12.0"/>
      </rPr>
      <t xml:space="preserve">Guthrie, V.B. (ed.). 1960 </t>
    </r>
    <r>
      <rPr>
        <rFont val="Times New Roman"/>
        <i/>
        <color theme="1"/>
        <sz val="12.0"/>
      </rPr>
      <t>Characteristics of Compounds,</t>
    </r>
    <r>
      <rPr>
        <rFont val="Times New Roman"/>
        <color theme="1"/>
        <sz val="12.0"/>
      </rPr>
      <t xml:space="preserve"> </t>
    </r>
    <r>
      <rPr>
        <rFont val="Times New Roman"/>
        <color theme="1"/>
        <sz val="12.0"/>
        <u/>
      </rPr>
      <t>Petroleum Products Handbook</t>
    </r>
    <r>
      <rPr>
        <rFont val="Times New Roman"/>
        <color theme="1"/>
        <sz val="12.0"/>
      </rPr>
      <t>. New York, NY: Mcgraw Hill. pp 3.</t>
    </r>
  </si>
  <si>
    <t>Scope N: Normalization Factors</t>
  </si>
  <si>
    <t xml:space="preserve">This section includes information that relates to institutional growth between reporting periods. By Normalizing emissions data, emissions can be displayed in the context of organic growth. </t>
  </si>
  <si>
    <t>Emissions from Sources</t>
  </si>
  <si>
    <t>FY01/02</t>
  </si>
  <si>
    <t>FY02/03</t>
  </si>
  <si>
    <t>FY03/04</t>
  </si>
  <si>
    <t>FY04/05</t>
  </si>
  <si>
    <t>FY05/06</t>
  </si>
  <si>
    <t>MTCDE from Stationary and Electric sources</t>
  </si>
  <si>
    <t>MTCDE from all sources</t>
  </si>
  <si>
    <t>Students</t>
  </si>
  <si>
    <t xml:space="preserve"> FY01/02</t>
  </si>
  <si>
    <t xml:space="preserve"> FY02/03</t>
  </si>
  <si>
    <t xml:space="preserve"> FY03/04</t>
  </si>
  <si>
    <t xml:space="preserve"> FY04/05</t>
  </si>
  <si>
    <t xml:space="preserve"> FY05/06</t>
  </si>
  <si>
    <t xml:space="preserve"> FY06/07</t>
  </si>
  <si>
    <t>Full Time</t>
  </si>
  <si>
    <t>Part Time</t>
  </si>
  <si>
    <t>Total (Full-Time Equivalent) Students</t>
  </si>
  <si>
    <t>MTCDE per FTE Student for heating/cooling</t>
  </si>
  <si>
    <t>MTCDE per FTE Student for all sources</t>
  </si>
  <si>
    <t>Language School Students</t>
  </si>
  <si>
    <t>2 week program students</t>
  </si>
  <si>
    <t>2-week program students FTE</t>
  </si>
  <si>
    <t>3-week program students</t>
  </si>
  <si>
    <t>3-week program students FTE</t>
  </si>
  <si>
    <t xml:space="preserve">4-week program students </t>
  </si>
  <si>
    <t>4-week program students FTE</t>
  </si>
  <si>
    <t xml:space="preserve">6-week program students </t>
  </si>
  <si>
    <t>6-week program students  FTE</t>
  </si>
  <si>
    <t>7-week program students</t>
  </si>
  <si>
    <t>7-week program students FTE</t>
  </si>
  <si>
    <t>8-week program students</t>
  </si>
  <si>
    <t>8-week program students FTE</t>
  </si>
  <si>
    <t>9-week program students</t>
  </si>
  <si>
    <t>9-week program students FTE</t>
  </si>
  <si>
    <t>Total Language Students FTE</t>
  </si>
  <si>
    <t>Language School Faculty</t>
  </si>
  <si>
    <t>MTCDE per FTE Student incl. language for heating and cooling</t>
  </si>
  <si>
    <t>MTCDE per FTE Student incl. language forall sources</t>
  </si>
  <si>
    <t>Employees</t>
  </si>
  <si>
    <t>Full-Time Faculty</t>
  </si>
  <si>
    <t>Part-Time Faculty</t>
  </si>
  <si>
    <t>Full-Time Staff</t>
  </si>
  <si>
    <t>Part-Time Staff</t>
  </si>
  <si>
    <t>LanguageSchool Facuty FTE</t>
  </si>
  <si>
    <t>Total (Full-Time Equivalent) Employees</t>
  </si>
  <si>
    <t>MTCDE per FTE Employee for heating and cooling</t>
  </si>
  <si>
    <t>MTCDE per FTE Employee for all sources</t>
  </si>
  <si>
    <t>Employees and Students</t>
  </si>
  <si>
    <t>Total Employees and Students (Full-Time Equivalent)</t>
  </si>
  <si>
    <t>MTCDE per FTE Employee and Students for heating and cooling</t>
  </si>
  <si>
    <t>MTCDE per FTE Empoyee and Students for all sources</t>
  </si>
  <si>
    <t>Degree Days</t>
  </si>
  <si>
    <t>Heating Degree Days</t>
  </si>
  <si>
    <t>Cooling Degree Days</t>
  </si>
  <si>
    <t>Total Degree Days</t>
  </si>
  <si>
    <t>MTCDE per Degree Day for heating and cooling</t>
  </si>
  <si>
    <t>MTCDE per Degree Day per FTE Student for heating and cooling</t>
  </si>
  <si>
    <t>MTCDE per Degree Day per FTE Employees and Students heating cooling</t>
  </si>
  <si>
    <t>MTCDE per Degree Day for all sources</t>
  </si>
  <si>
    <t>MTCDE per Degree Day per FTE Student for all sources</t>
  </si>
  <si>
    <t>MTCDE per Degree Day per FTE Employees and Students all sources</t>
  </si>
  <si>
    <t>Building Square Footage</t>
  </si>
  <si>
    <t>Square footage: College-paid utilities on campus</t>
  </si>
  <si>
    <t xml:space="preserve">Square footage: Rented properties </t>
  </si>
  <si>
    <t>Square footage: Breadloaf</t>
  </si>
  <si>
    <t>Square footage: Snowbowl</t>
  </si>
  <si>
    <t>Total square footage excluding Breadload &amp; Snowbowl</t>
  </si>
  <si>
    <t>Square footage for STARS calculation</t>
  </si>
  <si>
    <t xml:space="preserve">Gross square footage </t>
  </si>
  <si>
    <t>MTCDE per gross square footage heating and cooling</t>
  </si>
  <si>
    <t>MTCDE per gross square footage all sources</t>
  </si>
  <si>
    <t>MTCDE per sq foot using STARS</t>
  </si>
  <si>
    <t>fy 14 +18,000</t>
  </si>
  <si>
    <t>squash</t>
  </si>
  <si>
    <t>fy15 +79,600</t>
  </si>
  <si>
    <t>fieldhouse</t>
  </si>
  <si>
    <t>fy14 +1000</t>
  </si>
  <si>
    <t>insite</t>
  </si>
  <si>
    <r>
      <rPr>
        <rFont val="Arial"/>
        <b/>
        <color theme="1"/>
        <sz val="12.0"/>
        <u/>
      </rPr>
      <t>Students</t>
    </r>
    <r>
      <rPr>
        <rFont val="Arial"/>
        <b/>
        <color theme="1"/>
        <sz val="12.0"/>
        <u/>
      </rPr>
      <t>:</t>
    </r>
  </si>
  <si>
    <t>Full Time Students</t>
  </si>
  <si>
    <t xml:space="preserve">Values calculated from the Enrollment of On-Campus Students pages </t>
  </si>
  <si>
    <t xml:space="preserve">provided at &lt;http://www.middlebury.edu/offices/administration/planning/ir/data/factbooks&gt;. </t>
  </si>
  <si>
    <t xml:space="preserve">For the Fiscal Years  2009, 2008 and 2007 the FactBooks provided both </t>
  </si>
  <si>
    <t xml:space="preserve">Fall and Spring data for Enrollment of On-Campus Students, which was  </t>
  </si>
  <si>
    <r>
      <rPr>
        <rFont val="Arial"/>
        <i/>
        <color theme="1"/>
        <sz val="10.0"/>
      </rPr>
      <t xml:space="preserve">averaged to calculate the values included in the inventory. </t>
    </r>
    <r>
      <rPr>
        <rFont val="Arial"/>
        <i val="0"/>
        <color theme="1"/>
        <sz val="10.0"/>
      </rPr>
      <t>[AB 09]</t>
    </r>
    <r>
      <rPr>
        <rFont val="Arial"/>
        <i/>
        <color theme="1"/>
        <sz val="10.0"/>
      </rPr>
      <t xml:space="preserve"> </t>
    </r>
  </si>
  <si>
    <t>Part Time Students</t>
  </si>
  <si>
    <t>Values calculated from data from College Factbook. FTE calculated using 196 days as the time spent on campus by full-time students.</t>
  </si>
  <si>
    <t>Employees:</t>
  </si>
  <si>
    <t>Full Time Staff/ Faculty</t>
  </si>
  <si>
    <t>Values calculated from Human Resources pages provided at</t>
  </si>
  <si>
    <t>&lt;http://www.middlebury.edu/administration/instres/factbooks&gt;. [AB 09]</t>
  </si>
  <si>
    <t>Part Time Staff/ Faculty</t>
  </si>
  <si>
    <r>
      <rPr>
        <rFont val="Arial"/>
        <b/>
        <color theme="1"/>
        <sz val="12.0"/>
        <u/>
      </rPr>
      <t>Degree Days</t>
    </r>
    <r>
      <rPr>
        <rFont val="Arial"/>
        <b/>
        <color theme="1"/>
        <sz val="12.0"/>
        <u/>
      </rPr>
      <t>:</t>
    </r>
  </si>
  <si>
    <t>Values calculated from the data provided for the Burlington Airport at</t>
  </si>
  <si>
    <t>&lt;http://www.degreedays.net&gt;. [AB 09]  using 65F as base temperature</t>
  </si>
  <si>
    <t>Same as above, [AB 09]</t>
  </si>
  <si>
    <t>Mary Stanley Carr , Middlebury Facilities Services</t>
  </si>
  <si>
    <t>* Moved Color Coordination to "symbols"</t>
  </si>
  <si>
    <t>* Shifted summary tables to top of spreadsheets</t>
  </si>
  <si>
    <t>* added summary sheets for each scop and put in tasbles, but data did not transfer… check to see if data can transfer or enter numbers by hand?</t>
  </si>
  <si>
    <t>* Took out FY 02-06 of S1, S2, S3 sheets and put them on "FY 02-06" Sheet at end</t>
  </si>
  <si>
    <t xml:space="preserve">* Took out B-5 Coulmn for biodiesel and bioheat </t>
  </si>
  <si>
    <t>* Checked 07-10 with sales records</t>
  </si>
  <si>
    <t>* hyperlinked the intro table of contents to respective pages</t>
  </si>
  <si>
    <t>* noted on Renewable and Staff comuting pages that these numbers do not quantitatively affect GHGI</t>
  </si>
  <si>
    <t>*added information on renewables given to me by Dean Oulette</t>
  </si>
  <si>
    <t>* updated travel variables like price per trip, btu/pass etc</t>
  </si>
  <si>
    <t xml:space="preserve">*Input form F from Missy </t>
  </si>
  <si>
    <t>*input Mike's Data</t>
  </si>
  <si>
    <t>7/15/2-011</t>
  </si>
  <si>
    <t xml:space="preserve">* had meeting with Jack and sue from budgeting, we decided that budgeting would refine numbers it gives us so that dollars--&gt; gal gas would be more accurate AND that scope 1b off campus would exclude gas bought for fleet but from public source as it is too hard to differentiate in budget </t>
  </si>
  <si>
    <r>
      <rPr>
        <rFont val="Arial"/>
        <color theme="1"/>
        <sz val="10.0"/>
      </rPr>
      <t xml:space="preserve">B-5 Bioheat (gal) </t>
    </r>
    <r>
      <rPr>
        <rFont val="Arial"/>
        <color rgb="FFDD0806"/>
        <sz val="10.0"/>
      </rPr>
      <t>*</t>
    </r>
  </si>
  <si>
    <r>
      <rPr>
        <rFont val="Arial"/>
        <color theme="1"/>
        <sz val="10.0"/>
      </rPr>
      <t xml:space="preserve">B-5 Biodiesel (gal) </t>
    </r>
    <r>
      <rPr>
        <rFont val="Arial"/>
        <color rgb="FFDD0806"/>
        <sz val="10.0"/>
      </rPr>
      <t>*</t>
    </r>
  </si>
  <si>
    <r>
      <rPr>
        <rFont val="Arial"/>
        <color theme="1"/>
        <sz val="10.0"/>
      </rPr>
      <t xml:space="preserve">Off-Campus Gasoline (gal) </t>
    </r>
    <r>
      <rPr>
        <rFont val="Arial"/>
        <color rgb="FFDD0806"/>
        <sz val="10.0"/>
      </rPr>
      <t>†</t>
    </r>
  </si>
  <si>
    <t>FY0506 Note:</t>
  </si>
  <si>
    <t>Carbon Neutral</t>
  </si>
  <si>
    <t>Carbon Emitting</t>
  </si>
  <si>
    <t>train travel</t>
  </si>
  <si>
    <t>Employee commuting</t>
  </si>
  <si>
    <t>FY04/05:</t>
  </si>
  <si>
    <t>FY05/06:</t>
  </si>
  <si>
    <t>MC GHG Emissions - (MTCDE)</t>
  </si>
  <si>
    <t>S1- Stationary</t>
  </si>
  <si>
    <t xml:space="preserve"> #6 Oil</t>
  </si>
  <si>
    <t>#2/B-20/OR Diesel</t>
  </si>
  <si>
    <t>S1- Mobile</t>
  </si>
  <si>
    <t>Gasoline</t>
  </si>
  <si>
    <t>S2 - Electricity</t>
  </si>
  <si>
    <t>Electricity</t>
  </si>
  <si>
    <t>S3 - Travel</t>
  </si>
  <si>
    <t>Travel (Note: travel method being revised - emissionsestimates subject to change)</t>
  </si>
  <si>
    <t xml:space="preserve">       Mileage</t>
  </si>
  <si>
    <t xml:space="preserve">      Taxis</t>
  </si>
  <si>
    <t xml:space="preserve">      Bus</t>
  </si>
  <si>
    <t xml:space="preserve">      Airplanes</t>
  </si>
  <si>
    <t xml:space="preserve">      Trains</t>
  </si>
  <si>
    <t>Subtotal</t>
  </si>
  <si>
    <t>S3 - Landfill CH4</t>
  </si>
  <si>
    <t xml:space="preserve"> Landfill CH4</t>
  </si>
  <si>
    <t>Sub-Scopes by Fuel Quantitiies</t>
  </si>
  <si>
    <t>Gallons unless otherwise noted.</t>
  </si>
  <si>
    <t>#6 Oil</t>
  </si>
  <si>
    <t>Straight #2 Fuel Oil</t>
  </si>
  <si>
    <t>B-20 Bioheat</t>
  </si>
  <si>
    <t xml:space="preserve">Off-Road Diesel (inc. blends) </t>
  </si>
  <si>
    <t xml:space="preserve">   </t>
  </si>
  <si>
    <t>Wood (Tonnes)</t>
  </si>
  <si>
    <r>
      <rPr>
        <rFont val="Arial"/>
        <color theme="1"/>
        <sz val="10.0"/>
      </rPr>
      <t xml:space="preserve">Total kWh from GMP </t>
    </r>
    <r>
      <rPr>
        <rFont val="Arial"/>
        <color rgb="FFDD0806"/>
        <sz val="10.0"/>
      </rPr>
      <t>*</t>
    </r>
  </si>
  <si>
    <t>GMP kWh excluded (bill paid by tenants)</t>
  </si>
  <si>
    <r>
      <rPr>
        <rFont val="Arial"/>
        <color theme="1"/>
        <sz val="10.0"/>
      </rPr>
      <t>GMP kWh from CH</t>
    </r>
    <r>
      <rPr>
        <rFont val="Arial"/>
        <color theme="1"/>
        <sz val="10.0"/>
        <vertAlign val="subscript"/>
      </rPr>
      <t>4</t>
    </r>
    <r>
      <rPr>
        <rFont val="Arial"/>
        <color theme="1"/>
        <sz val="10.0"/>
      </rPr>
      <t xml:space="preserve"> dig. </t>
    </r>
    <r>
      <rPr>
        <rFont val="Arial"/>
        <color rgb="FFDD0806"/>
        <sz val="10.0"/>
      </rPr>
      <t>◊</t>
    </r>
  </si>
  <si>
    <r>
      <rPr>
        <rFont val="Arial"/>
        <color theme="1"/>
        <sz val="10.0"/>
      </rPr>
      <t xml:space="preserve">on-campus co-gen kWH </t>
    </r>
    <r>
      <rPr>
        <rFont val="Arial"/>
        <color rgb="FFDD0806"/>
        <sz val="10.0"/>
      </rPr>
      <t>*</t>
    </r>
  </si>
  <si>
    <r>
      <rPr>
        <rFont val="Arial"/>
        <color theme="1"/>
        <sz val="10.0"/>
      </rPr>
      <t xml:space="preserve">on-campus wind kWH </t>
    </r>
    <r>
      <rPr>
        <rFont val="Arial"/>
        <color rgb="FFDD0806"/>
        <sz val="10.0"/>
      </rPr>
      <t>‡</t>
    </r>
  </si>
  <si>
    <r>
      <rPr>
        <rFont val="Arial"/>
        <color theme="1"/>
        <sz val="10.0"/>
      </rPr>
      <t xml:space="preserve">on-campus solar kWH </t>
    </r>
    <r>
      <rPr>
        <rFont val="Arial"/>
        <color rgb="FFDD0806"/>
        <sz val="10.0"/>
      </rPr>
      <t>‡</t>
    </r>
  </si>
  <si>
    <t>Mileage $</t>
  </si>
  <si>
    <t>Taxi $</t>
  </si>
  <si>
    <t>Bus $</t>
  </si>
  <si>
    <r>
      <rPr>
        <rFont val="Arial"/>
        <color theme="1"/>
        <sz val="10.0"/>
      </rPr>
      <t>Air</t>
    </r>
    <r>
      <rPr>
        <rFont val="Arial"/>
        <color theme="1"/>
        <sz val="10.0"/>
      </rPr>
      <t>plane $</t>
    </r>
  </si>
  <si>
    <t>Train $</t>
  </si>
  <si>
    <t>$/tonne</t>
  </si>
  <si>
    <t>Notes</t>
  </si>
  <si>
    <r>
      <rPr>
        <rFont val="Arial"/>
        <color theme="1"/>
        <sz val="10.0"/>
      </rPr>
      <t xml:space="preserve">On-Campus Gasoline (gal) </t>
    </r>
    <r>
      <rPr>
        <rFont val="Arial"/>
        <color rgb="FFDD0806"/>
        <sz val="10.0"/>
      </rPr>
      <t>*</t>
    </r>
  </si>
  <si>
    <r>
      <rPr>
        <rFont val="Arial"/>
        <color theme="1"/>
        <sz val="10.0"/>
      </rPr>
      <t xml:space="preserve">Straight #2 Fuel Oil (gal) </t>
    </r>
    <r>
      <rPr>
        <rFont val="Arial"/>
        <color rgb="FFDD0806"/>
        <sz val="10.0"/>
      </rPr>
      <t>*</t>
    </r>
  </si>
  <si>
    <r>
      <rPr>
        <rFont val="Arial"/>
        <color theme="1"/>
        <sz val="10.0"/>
      </rPr>
      <t xml:space="preserve">B-20 Bioheat (gal) </t>
    </r>
    <r>
      <rPr>
        <rFont val="Arial"/>
        <color rgb="FFDD0806"/>
        <sz val="10.0"/>
      </rPr>
      <t>*</t>
    </r>
  </si>
  <si>
    <r>
      <rPr>
        <rFont val="Arial"/>
        <color theme="1"/>
        <sz val="10.0"/>
      </rPr>
      <t xml:space="preserve">Off-Road Diesel (inc. blends) </t>
    </r>
    <r>
      <rPr>
        <rFont val="Arial"/>
        <color rgb="FFDD0806"/>
        <sz val="10.0"/>
      </rPr>
      <t>*</t>
    </r>
  </si>
  <si>
    <r>
      <rPr>
        <rFont val="Arial"/>
        <color theme="1"/>
        <sz val="10.0"/>
      </rPr>
      <t xml:space="preserve">Straight on-road diesel (gal) </t>
    </r>
    <r>
      <rPr>
        <rFont val="Arial"/>
        <color rgb="FFDD0806"/>
        <sz val="10.0"/>
      </rPr>
      <t>*</t>
    </r>
  </si>
  <si>
    <r>
      <rPr>
        <rFont val="Arial"/>
        <color theme="1"/>
        <sz val="10.0"/>
      </rPr>
      <t xml:space="preserve">B-20 Biodiesel (gal) </t>
    </r>
    <r>
      <rPr>
        <rFont val="Arial"/>
        <color rgb="FFDD0806"/>
        <sz val="10.0"/>
      </rPr>
      <t>*</t>
    </r>
  </si>
</sst>
</file>

<file path=xl/styles.xml><?xml version="1.0" encoding="utf-8"?>
<styleSheet xmlns="http://schemas.openxmlformats.org/spreadsheetml/2006/main" xmlns:x14ac="http://schemas.microsoft.com/office/spreadsheetml/2009/9/ac" xmlns:mc="http://schemas.openxmlformats.org/markup-compatibility/2006">
  <numFmts count="25">
    <numFmt numFmtId="164" formatCode="0.00000"/>
    <numFmt numFmtId="165" formatCode="0.0000"/>
    <numFmt numFmtId="166" formatCode="#,##0.0"/>
    <numFmt numFmtId="167" formatCode="0.0%"/>
    <numFmt numFmtId="168" formatCode="0.000"/>
    <numFmt numFmtId="169" formatCode="0.0E+00"/>
    <numFmt numFmtId="170" formatCode="_(* #,##0_);_(* \(#,##0\);_(* &quot;-&quot;??_);_(@_)"/>
    <numFmt numFmtId="171" formatCode="0.0"/>
    <numFmt numFmtId="172" formatCode="0.000000"/>
    <numFmt numFmtId="173" formatCode="_(* #,##0.00_);_(* \(#,##0.00\);_(* &quot;-&quot;??_);_(@_)"/>
    <numFmt numFmtId="174" formatCode="#,##0.000"/>
    <numFmt numFmtId="175" formatCode="#,##0.000000"/>
    <numFmt numFmtId="176" formatCode="&quot;$&quot;#,##0"/>
    <numFmt numFmtId="177" formatCode="_(&quot;$&quot;* #,##0.00_);_(&quot;$&quot;* \(#,##0.00\);_(&quot;$&quot;* &quot;-&quot;??_);_(@_)"/>
    <numFmt numFmtId="178" formatCode="&quot;$&quot;#,##0.00_);[Red]\(&quot;$&quot;#,##0.00\)"/>
    <numFmt numFmtId="179" formatCode="&quot;$&quot;#,##0_);[Red]\(&quot;$&quot;#,##0\)"/>
    <numFmt numFmtId="180" formatCode="&quot;$&quot;#,##0.00"/>
    <numFmt numFmtId="181" formatCode="&quot;$&quot;#,##0_);\(&quot;$&quot;#,##0\)"/>
    <numFmt numFmtId="182" formatCode="#,##0.0000"/>
    <numFmt numFmtId="183" formatCode="_(&quot;$&quot;* #,##0_);_(&quot;$&quot;* \(#,##0\);_(&quot;$&quot;* &quot;-&quot;??_);_(@_)"/>
    <numFmt numFmtId="184" formatCode="&quot;$&quot;#,##0.000"/>
    <numFmt numFmtId="185" formatCode="#,##0.0000000_);\(#,##0.0000000\)"/>
    <numFmt numFmtId="186" formatCode="0.E+00"/>
    <numFmt numFmtId="187" formatCode="#,##0.0000000"/>
    <numFmt numFmtId="188" formatCode="#,##0.00000"/>
  </numFmts>
  <fonts count="68">
    <font>
      <sz val="10.0"/>
      <color rgb="FF000000"/>
      <name val="Arial"/>
      <scheme val="minor"/>
    </font>
    <font>
      <b/>
      <sz val="24.0"/>
      <color theme="1"/>
      <name val="Garamond"/>
    </font>
    <font/>
    <font>
      <b/>
      <i/>
      <sz val="14.0"/>
      <color theme="1"/>
      <name val="Arial"/>
    </font>
    <font>
      <b/>
      <i/>
      <sz val="16.0"/>
      <color theme="1"/>
      <name val="Arial"/>
    </font>
    <font>
      <i/>
      <sz val="12.0"/>
      <color theme="1"/>
      <name val="Arial"/>
    </font>
    <font>
      <sz val="10.0"/>
      <color theme="1"/>
      <name val="Arial"/>
    </font>
    <font>
      <u/>
      <sz val="10.0"/>
      <color rgb="FF0000D4"/>
      <name val="Arial"/>
    </font>
    <font>
      <sz val="14.0"/>
      <color theme="1"/>
      <name val="Arial"/>
    </font>
    <font>
      <u/>
      <sz val="10.0"/>
      <color rgb="FF0000D4"/>
      <name val="Arial"/>
    </font>
    <font>
      <u/>
      <sz val="10.0"/>
      <color rgb="FF0000D4"/>
      <name val="Arial"/>
    </font>
    <font>
      <u/>
      <sz val="14.0"/>
      <color rgb="FF0000D4"/>
      <name val="Arial"/>
    </font>
    <font>
      <u/>
      <sz val="14.0"/>
      <color rgb="FF0000D4"/>
      <name val="Arial"/>
    </font>
    <font>
      <b/>
      <sz val="14.0"/>
      <color theme="1"/>
      <name val="Garamond"/>
    </font>
    <font>
      <b/>
      <u/>
      <sz val="12.0"/>
      <color theme="1"/>
      <name val="Arial"/>
    </font>
    <font>
      <sz val="12.0"/>
      <color rgb="FFDD0806"/>
      <name val="Arial"/>
    </font>
    <font>
      <b/>
      <sz val="10.0"/>
      <color theme="1"/>
      <name val="Arial"/>
    </font>
    <font>
      <b/>
      <sz val="12.0"/>
      <color theme="1"/>
      <name val="Times New Roman"/>
    </font>
    <font>
      <sz val="12.0"/>
      <color theme="1"/>
      <name val="Times New Roman"/>
    </font>
    <font>
      <u/>
      <sz val="10.0"/>
      <color rgb="FF0000D4"/>
      <name val="Arial"/>
    </font>
    <font>
      <b/>
      <u/>
      <sz val="12.0"/>
      <color theme="1"/>
      <name val="Arial"/>
    </font>
    <font>
      <b/>
      <sz val="11.0"/>
      <color theme="1"/>
      <name val="Arial"/>
    </font>
    <font>
      <sz val="11.0"/>
      <color theme="1"/>
      <name val="Arial"/>
    </font>
    <font>
      <color theme="1"/>
      <name val="Arial"/>
      <scheme val="minor"/>
    </font>
    <font>
      <b/>
      <sz val="14.0"/>
      <color rgb="FFFFFFFF"/>
      <name val="Arial"/>
    </font>
    <font>
      <b/>
      <u/>
      <sz val="12.0"/>
      <color theme="1"/>
      <name val="Arial"/>
    </font>
    <font>
      <u/>
      <sz val="10.0"/>
      <color theme="1"/>
      <name val="Arial"/>
    </font>
    <font>
      <b/>
      <u/>
      <sz val="10.0"/>
      <color theme="1"/>
      <name val="Arial"/>
    </font>
    <font>
      <b/>
      <u/>
      <sz val="10.0"/>
      <color theme="1"/>
      <name val="Arial"/>
    </font>
    <font>
      <sz val="10.0"/>
      <color rgb="FFDD0806"/>
      <name val="Arial"/>
    </font>
    <font>
      <b/>
      <u/>
      <sz val="12.0"/>
      <color theme="1"/>
      <name val="Arial"/>
    </font>
    <font>
      <u/>
      <sz val="10.0"/>
      <color rgb="FF0000D4"/>
      <name val="Arial"/>
    </font>
    <font>
      <b/>
      <sz val="14.0"/>
      <color theme="1"/>
      <name val="Arial"/>
    </font>
    <font>
      <i/>
      <sz val="10.0"/>
      <color theme="1"/>
      <name val="Arial"/>
    </font>
    <font>
      <b/>
      <i/>
      <sz val="10.0"/>
      <color theme="1"/>
      <name val="Arial"/>
    </font>
    <font>
      <sz val="10.0"/>
      <color rgb="FF000000"/>
      <name val="Arial"/>
    </font>
    <font>
      <sz val="11.0"/>
      <color rgb="FF000000"/>
      <name val="Calibri"/>
    </font>
    <font>
      <sz val="11.0"/>
      <color theme="1"/>
      <name val="Calibri"/>
    </font>
    <font>
      <b/>
      <u/>
      <sz val="12.0"/>
      <color theme="1"/>
      <name val="Arial"/>
    </font>
    <font>
      <b/>
      <sz val="12.0"/>
      <color theme="1"/>
      <name val="Calibri"/>
    </font>
    <font>
      <sz val="18.0"/>
      <color theme="1"/>
      <name val="Arial"/>
    </font>
    <font>
      <sz val="10.0"/>
      <color theme="1"/>
      <name val="Helvetica Neue"/>
    </font>
    <font>
      <sz val="11.0"/>
      <color theme="1"/>
      <name val="Times"/>
    </font>
    <font>
      <u/>
      <sz val="12.0"/>
      <color theme="10"/>
      <name val="Calibri"/>
    </font>
    <font>
      <u/>
      <sz val="10.0"/>
      <color rgb="FF0000D4"/>
      <name val="Arial"/>
    </font>
    <font>
      <u/>
      <sz val="10.0"/>
      <color rgb="FF0000D4"/>
      <name val="Arial"/>
    </font>
    <font>
      <b/>
      <sz val="8.0"/>
      <color theme="1"/>
      <name val="Calibri"/>
    </font>
    <font>
      <u/>
      <sz val="10.0"/>
      <color theme="1"/>
      <name val="Arial"/>
    </font>
    <font>
      <b/>
      <u/>
      <sz val="12.0"/>
      <color theme="1"/>
      <name val="Arial"/>
    </font>
    <font>
      <u/>
      <sz val="10.0"/>
      <color theme="1"/>
      <name val="Arial"/>
    </font>
    <font>
      <sz val="12.0"/>
      <color rgb="FF000000"/>
      <name val="Calibri"/>
    </font>
    <font>
      <u/>
      <sz val="10.0"/>
      <color theme="1"/>
      <name val="Arial"/>
    </font>
    <font>
      <sz val="10.0"/>
      <color rgb="FFD99594"/>
      <name val="Arial"/>
    </font>
    <font>
      <b/>
      <sz val="9.0"/>
      <color theme="1"/>
      <name val="Helvetica Neue"/>
    </font>
    <font>
      <sz val="12.0"/>
      <color rgb="FF333333"/>
      <name val="Verdana"/>
    </font>
    <font>
      <b/>
      <sz val="11.0"/>
      <color rgb="FF000000"/>
      <name val="Calibri"/>
    </font>
    <font>
      <u/>
      <sz val="10.0"/>
      <color theme="1"/>
      <name val="Arial"/>
    </font>
    <font>
      <sz val="9.0"/>
      <color theme="1"/>
      <name val="Arial"/>
    </font>
    <font>
      <b/>
      <u/>
      <sz val="12.0"/>
      <color theme="1"/>
      <name val="Times New Roman"/>
    </font>
    <font>
      <b/>
      <sz val="12.0"/>
      <color theme="1"/>
      <name val="Arial"/>
    </font>
    <font>
      <b/>
      <u/>
      <sz val="12.0"/>
      <color theme="1"/>
      <name val="Arial"/>
    </font>
    <font>
      <b/>
      <sz val="14.0"/>
      <color rgb="FFC0C0C0"/>
      <name val="Arial"/>
    </font>
    <font>
      <sz val="10.0"/>
      <color rgb="FF969696"/>
      <name val="Arial"/>
    </font>
    <font>
      <u/>
      <sz val="10.0"/>
      <color theme="1"/>
      <name val="Arial"/>
    </font>
    <font>
      <u/>
      <sz val="10.0"/>
      <color theme="1"/>
      <name val="Arial"/>
    </font>
    <font>
      <u/>
      <sz val="10.0"/>
      <color theme="1"/>
      <name val="Arial"/>
    </font>
    <font>
      <b/>
      <u/>
      <sz val="10.0"/>
      <color theme="1"/>
      <name val="Arial"/>
    </font>
    <font>
      <b/>
      <u/>
      <sz val="10.0"/>
      <color theme="1"/>
      <name val="Arial"/>
    </font>
  </fonts>
  <fills count="38">
    <fill>
      <patternFill patternType="none"/>
    </fill>
    <fill>
      <patternFill patternType="lightGray"/>
    </fill>
    <fill>
      <patternFill patternType="solid">
        <fgColor rgb="FFCCFFCC"/>
        <bgColor rgb="FFCCFFCC"/>
      </patternFill>
    </fill>
    <fill>
      <patternFill patternType="solid">
        <fgColor rgb="FFFFFF99"/>
        <bgColor rgb="FFFFFF99"/>
      </patternFill>
    </fill>
    <fill>
      <patternFill patternType="solid">
        <fgColor rgb="FFCCFFFF"/>
        <bgColor rgb="FFCCFFFF"/>
      </patternFill>
    </fill>
    <fill>
      <patternFill patternType="solid">
        <fgColor rgb="FFCC99FF"/>
        <bgColor rgb="FFCC99FF"/>
      </patternFill>
    </fill>
    <fill>
      <patternFill patternType="solid">
        <fgColor rgb="FF99CCFF"/>
        <bgColor rgb="FF99CCFF"/>
      </patternFill>
    </fill>
    <fill>
      <patternFill patternType="solid">
        <fgColor rgb="FFFF99CC"/>
        <bgColor rgb="FFFF99CC"/>
      </patternFill>
    </fill>
    <fill>
      <patternFill patternType="solid">
        <fgColor rgb="FF0000D4"/>
        <bgColor rgb="FF0000D4"/>
      </patternFill>
    </fill>
    <fill>
      <patternFill patternType="solid">
        <fgColor rgb="FFFF8080"/>
        <bgColor rgb="FFFF8080"/>
      </patternFill>
    </fill>
    <fill>
      <patternFill patternType="solid">
        <fgColor rgb="FFFFFF00"/>
        <bgColor rgb="FFFFFF00"/>
      </patternFill>
    </fill>
    <fill>
      <patternFill patternType="solid">
        <fgColor rgb="FF8DB3E2"/>
        <bgColor rgb="FF8DB3E2"/>
      </patternFill>
    </fill>
    <fill>
      <patternFill patternType="solid">
        <fgColor rgb="FFDD0806"/>
        <bgColor rgb="FFDD0806"/>
      </patternFill>
    </fill>
    <fill>
      <patternFill patternType="solid">
        <fgColor theme="7"/>
        <bgColor theme="7"/>
      </patternFill>
    </fill>
    <fill>
      <patternFill patternType="solid">
        <fgColor rgb="FFCCC0D9"/>
        <bgColor rgb="FFCCC0D9"/>
      </patternFill>
    </fill>
    <fill>
      <patternFill patternType="solid">
        <fgColor rgb="FFB8CCE4"/>
        <bgColor rgb="FFB8CCE4"/>
      </patternFill>
    </fill>
    <fill>
      <patternFill patternType="solid">
        <fgColor rgb="FF31859B"/>
        <bgColor rgb="FF31859B"/>
      </patternFill>
    </fill>
    <fill>
      <patternFill patternType="solid">
        <fgColor rgb="FF953734"/>
        <bgColor rgb="FF953734"/>
      </patternFill>
    </fill>
    <fill>
      <patternFill patternType="solid">
        <fgColor rgb="FFD99594"/>
        <bgColor rgb="FFD99594"/>
      </patternFill>
    </fill>
    <fill>
      <patternFill patternType="solid">
        <fgColor theme="9"/>
        <bgColor theme="9"/>
      </patternFill>
    </fill>
    <fill>
      <patternFill patternType="solid">
        <fgColor rgb="FFFABF8F"/>
        <bgColor rgb="FFFABF8F"/>
      </patternFill>
    </fill>
    <fill>
      <patternFill patternType="solid">
        <fgColor rgb="FFFFCC99"/>
        <bgColor rgb="FFFFCC99"/>
      </patternFill>
    </fill>
    <fill>
      <patternFill patternType="solid">
        <fgColor rgb="FFFF9900"/>
        <bgColor rgb="FFFF9900"/>
      </patternFill>
    </fill>
    <fill>
      <patternFill patternType="solid">
        <fgColor rgb="FFFCF305"/>
        <bgColor rgb="FFFCF305"/>
      </patternFill>
    </fill>
    <fill>
      <patternFill patternType="solid">
        <fgColor rgb="FF1FB714"/>
        <bgColor rgb="FF1FB714"/>
      </patternFill>
    </fill>
    <fill>
      <patternFill patternType="solid">
        <fgColor rgb="FF00CCFF"/>
        <bgColor rgb="FF00CCFF"/>
      </patternFill>
    </fill>
    <fill>
      <patternFill patternType="solid">
        <fgColor rgb="FFDAEEF3"/>
        <bgColor rgb="FFDAEEF3"/>
      </patternFill>
    </fill>
    <fill>
      <patternFill patternType="solid">
        <fgColor rgb="FF00ABEA"/>
        <bgColor rgb="FF00ABEA"/>
      </patternFill>
    </fill>
    <fill>
      <patternFill patternType="solid">
        <fgColor rgb="FF008080"/>
        <bgColor rgb="FF008080"/>
      </patternFill>
    </fill>
    <fill>
      <patternFill patternType="solid">
        <fgColor rgb="FF33CCCC"/>
        <bgColor rgb="FF33CCCC"/>
      </patternFill>
    </fill>
    <fill>
      <patternFill patternType="solid">
        <fgColor rgb="FFFFFFFF"/>
        <bgColor rgb="FFFFFFFF"/>
      </patternFill>
    </fill>
    <fill>
      <patternFill patternType="solid">
        <fgColor rgb="FF4600A5"/>
        <bgColor rgb="FF4600A5"/>
      </patternFill>
    </fill>
    <fill>
      <patternFill patternType="solid">
        <fgColor rgb="FFC0C0C0"/>
        <bgColor rgb="FFC0C0C0"/>
      </patternFill>
    </fill>
    <fill>
      <patternFill patternType="solid">
        <fgColor rgb="FFFFCC00"/>
        <bgColor rgb="FFFFCC00"/>
      </patternFill>
    </fill>
    <fill>
      <patternFill patternType="solid">
        <fgColor rgb="FFFF6600"/>
        <bgColor rgb="FFFF6600"/>
      </patternFill>
    </fill>
    <fill>
      <patternFill patternType="solid">
        <fgColor rgb="FF969696"/>
        <bgColor rgb="FF969696"/>
      </patternFill>
    </fill>
    <fill>
      <patternFill patternType="solid">
        <fgColor rgb="FFC6D9F0"/>
        <bgColor rgb="FFC6D9F0"/>
      </patternFill>
    </fill>
    <fill>
      <patternFill patternType="solid">
        <fgColor theme="0"/>
        <bgColor theme="0"/>
      </patternFill>
    </fill>
  </fills>
  <borders count="65">
    <border/>
    <border>
      <left style="medium">
        <color rgb="FF000000"/>
      </left>
      <top style="medium">
        <color rgb="FF000000"/>
      </top>
    </border>
    <border>
      <top style="medium">
        <color rgb="FF000000"/>
      </top>
    </border>
    <border>
      <right/>
      <top style="medium">
        <color rgb="FF000000"/>
      </top>
    </border>
    <border>
      <left style="medium">
        <color rgb="FF000000"/>
      </left>
    </border>
    <border>
      <right/>
    </border>
    <border>
      <left style="medium">
        <color rgb="FF000000"/>
      </left>
      <bottom/>
    </border>
    <border>
      <bottom/>
    </border>
    <border>
      <right/>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
      <left style="thin">
        <color rgb="FFC0C0C0"/>
      </left>
      <right style="thin">
        <color rgb="FFC0C0C0"/>
      </right>
      <top style="thin">
        <color rgb="FFC0C0C0"/>
      </top>
    </border>
    <border>
      <left style="thin">
        <color rgb="FFC0C0C0"/>
      </left>
      <right style="thin">
        <color rgb="FFC0C0C0"/>
      </right>
    </border>
    <border>
      <left style="thin">
        <color rgb="FFC0C0C0"/>
      </left>
      <right style="thin">
        <color rgb="FFC0C0C0"/>
      </right>
      <bottom style="thin">
        <color rgb="FFC0C0C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left/>
      <right/>
      <top style="thin">
        <color rgb="FF000000"/>
      </top>
      <bottom/>
    </border>
    <border>
      <left/>
      <top/>
      <bottom/>
    </border>
    <border>
      <top/>
      <bottom/>
    </border>
    <border>
      <right/>
      <top/>
      <bottom/>
    </border>
    <border>
      <left/>
      <right/>
      <top/>
      <bottom style="thin">
        <color rgb="FF000000"/>
      </bottom>
    </border>
    <border>
      <left style="hair">
        <color rgb="FFC0C0C0"/>
      </left>
      <right style="hair">
        <color rgb="FFC0C0C0"/>
      </right>
      <top style="hair">
        <color rgb="FFC0C0C0"/>
      </top>
      <bottom style="hair">
        <color rgb="FFC0C0C0"/>
      </bottom>
    </border>
    <border>
      <left style="thin">
        <color rgb="FF000000"/>
      </left>
      <right/>
      <top/>
      <bottom/>
    </border>
    <border>
      <left/>
      <top/>
    </border>
    <border>
      <top/>
    </border>
    <border>
      <right/>
      <top/>
    </border>
    <border>
      <left/>
      <bottom/>
    </border>
    <border>
      <left style="thin">
        <color rgb="FF000000"/>
      </left>
      <right/>
      <top style="thin">
        <color rgb="FF000000"/>
      </top>
      <bottom/>
    </border>
    <border>
      <left style="thin">
        <color rgb="FF000000"/>
      </left>
      <right/>
      <top/>
      <bottom style="thin">
        <color rgb="FF000000"/>
      </bottom>
    </border>
    <border>
      <left style="hair">
        <color rgb="FFC0C0C0"/>
      </left>
      <right style="hair">
        <color rgb="FFC0C0C0"/>
      </right>
      <top/>
      <bottom style="hair">
        <color rgb="FFC0C0C0"/>
      </bottom>
    </border>
    <border>
      <left style="medium">
        <color rgb="FF000000"/>
      </left>
      <right style="medium">
        <color rgb="FF000000"/>
      </right>
      <top style="medium">
        <color rgb="FF000000"/>
      </top>
      <bottom style="medium">
        <color rgb="FF000000"/>
      </bottom>
    </border>
    <border>
      <left/>
    </border>
    <border>
      <left style="thin">
        <color rgb="FF969696"/>
      </left>
      <top style="thin">
        <color rgb="FF969696"/>
      </top>
    </border>
    <border>
      <left style="medium">
        <color rgb="FF969696"/>
      </left>
      <right/>
      <top/>
      <bottom style="medium">
        <color rgb="FF969696"/>
      </bottom>
    </border>
    <border>
      <left style="hair">
        <color rgb="FFC0C0C0"/>
      </left>
      <right style="hair">
        <color rgb="FFC0C0C0"/>
      </right>
      <top style="hair">
        <color rgb="FFC0C0C0"/>
      </top>
      <bottom style="thin">
        <color rgb="FF000000"/>
      </bottom>
    </border>
    <border>
      <left style="hair">
        <color rgb="FFC0C0C0"/>
      </left>
      <bottom style="thin">
        <color rgb="FF000000"/>
      </bottom>
    </border>
    <border>
      <left style="medium">
        <color rgb="FF969696"/>
      </left>
      <right/>
      <top style="medium">
        <color rgb="FF969696"/>
      </top>
      <bottom style="medium">
        <color rgb="FF969696"/>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hair">
        <color rgb="FFC0C0C0"/>
      </right>
      <top style="hair">
        <color rgb="FFC0C0C0"/>
      </top>
      <bottom style="hair">
        <color rgb="FFC0C0C0"/>
      </bottom>
    </border>
    <border>
      <left style="hair">
        <color rgb="FFC0C0C0"/>
      </left>
      <right style="hair">
        <color rgb="FFC0C0C0"/>
      </right>
      <bottom style="thin">
        <color rgb="FF000000"/>
      </bottom>
    </border>
    <border>
      <right style="hair">
        <color rgb="FFC0C0C0"/>
      </right>
      <bottom style="thin">
        <color rgb="FF000000"/>
      </bottom>
    </border>
  </borders>
  <cellStyleXfs count="1">
    <xf borderId="0" fillId="0" fontId="0" numFmtId="0" applyAlignment="1" applyFont="1"/>
  </cellStyleXfs>
  <cellXfs count="49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Alignment="1" applyFont="1">
      <alignment horizontal="left" shrinkToFit="1" vertical="bottom" wrapText="0"/>
    </xf>
    <xf borderId="0" fillId="0" fontId="4" numFmtId="0" xfId="0" applyAlignment="1" applyFont="1">
      <alignment horizontal="center" shrinkToFit="1" vertical="bottom" wrapText="0"/>
    </xf>
    <xf borderId="0" fillId="0" fontId="5" numFmtId="0" xfId="0" applyAlignment="1" applyFont="1">
      <alignment horizontal="center" shrinkToFit="1" vertical="bottom" wrapText="0"/>
    </xf>
    <xf borderId="0" fillId="0" fontId="6" numFmtId="0" xfId="0" applyAlignment="1" applyFont="1">
      <alignment shrinkToFit="0" vertical="bottom" wrapText="1"/>
    </xf>
    <xf borderId="0" fillId="0" fontId="5" numFmtId="0" xfId="0" applyAlignment="1" applyFont="1">
      <alignment shrinkToFit="1" vertical="bottom" wrapText="0"/>
    </xf>
    <xf borderId="9" fillId="0" fontId="7" numFmtId="0" xfId="0" applyAlignment="1" applyBorder="1" applyFont="1">
      <alignment horizontal="center" shrinkToFit="0" vertical="bottom" wrapText="0"/>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8" numFmtId="0" xfId="0" applyAlignment="1" applyBorder="1" applyFont="1">
      <alignment shrinkToFit="0" vertical="bottom" wrapText="0"/>
    </xf>
    <xf borderId="17" fillId="0" fontId="9" numFmtId="0" xfId="0" applyAlignment="1" applyBorder="1" applyFont="1">
      <alignment shrinkToFit="0" vertical="bottom" wrapText="0"/>
    </xf>
    <xf borderId="17" fillId="0" fontId="10" numFmtId="0" xfId="0" applyAlignment="1" applyBorder="1" applyFont="1">
      <alignment horizontal="center" shrinkToFit="0" vertical="bottom" wrapText="0"/>
    </xf>
    <xf borderId="0" fillId="0" fontId="6" numFmtId="0" xfId="0" applyAlignment="1" applyFont="1">
      <alignment shrinkToFit="0" vertical="bottom" wrapText="0"/>
    </xf>
    <xf borderId="9" fillId="0" fontId="11" numFmtId="0" xfId="0" applyAlignment="1" applyBorder="1" applyFont="1">
      <alignment horizontal="center" shrinkToFit="0" vertical="bottom" wrapText="0"/>
    </xf>
    <xf borderId="18" fillId="0" fontId="12" numFmtId="0" xfId="0" applyAlignment="1" applyBorder="1" applyFont="1">
      <alignment horizontal="center" shrinkToFit="0" vertical="bottom" wrapText="0"/>
    </xf>
    <xf borderId="19" fillId="0" fontId="2" numFmtId="0" xfId="0" applyBorder="1" applyFont="1"/>
    <xf borderId="20" fillId="0" fontId="2" numFmtId="0" xfId="0" applyBorder="1" applyFont="1"/>
    <xf borderId="0" fillId="0" fontId="13" numFmtId="0" xfId="0" applyAlignment="1" applyFont="1">
      <alignment shrinkToFit="0" vertical="bottom" wrapText="0"/>
    </xf>
    <xf borderId="21" fillId="0" fontId="14" numFmtId="0" xfId="0" applyAlignment="1" applyBorder="1" applyFont="1">
      <alignment horizontal="left" shrinkToFit="0" vertical="bottom" wrapText="0"/>
    </xf>
    <xf borderId="22" fillId="0" fontId="2" numFmtId="0" xfId="0" applyBorder="1" applyFont="1"/>
    <xf borderId="23" fillId="0" fontId="2" numFmtId="0" xfId="0" applyBorder="1" applyFont="1"/>
    <xf borderId="24" fillId="0" fontId="15" numFmtId="0" xfId="0" applyAlignment="1" applyBorder="1" applyFont="1">
      <alignment horizontal="center" shrinkToFit="0" vertical="center" wrapText="0"/>
    </xf>
    <xf borderId="25" fillId="0" fontId="6" numFmtId="0" xfId="0" applyAlignment="1" applyBorder="1" applyFont="1">
      <alignment horizontal="left" shrinkToFit="0" vertical="center" wrapText="1"/>
    </xf>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25" fillId="0" fontId="16" numFmtId="0" xfId="0" applyAlignment="1" applyBorder="1" applyFont="1">
      <alignment horizontal="left" shrinkToFit="0" vertical="center" wrapText="0"/>
    </xf>
    <xf borderId="25" fillId="0" fontId="6" numFmtId="0" xfId="0" applyAlignment="1" applyBorder="1" applyFont="1">
      <alignment horizontal="left" shrinkToFit="0" vertical="center" wrapText="0"/>
    </xf>
    <xf borderId="0" fillId="0" fontId="16" numFmtId="0" xfId="0" applyAlignment="1" applyFont="1">
      <alignment shrinkToFit="0" vertical="bottom" wrapText="0"/>
    </xf>
    <xf borderId="0" fillId="0" fontId="17" numFmtId="0" xfId="0" applyAlignment="1" applyFont="1">
      <alignment shrinkToFit="0" vertical="top" wrapText="1"/>
    </xf>
    <xf borderId="0" fillId="0" fontId="18" numFmtId="0" xfId="0" applyAlignment="1" applyFont="1">
      <alignment shrinkToFit="0" vertical="bottom" wrapText="0"/>
    </xf>
    <xf borderId="0" fillId="0" fontId="6" numFmtId="0" xfId="0" applyAlignment="1" applyFont="1">
      <alignment shrinkToFit="0" vertical="top" wrapText="1"/>
    </xf>
    <xf borderId="0" fillId="0" fontId="19" numFmtId="0" xfId="0" applyAlignment="1" applyFont="1">
      <alignment shrinkToFit="0" vertical="top" wrapText="1"/>
    </xf>
    <xf borderId="0" fillId="0" fontId="20" numFmtId="0" xfId="0" applyAlignment="1" applyFont="1">
      <alignment horizontal="left" shrinkToFit="0" vertical="bottom" wrapText="1"/>
    </xf>
    <xf borderId="0" fillId="0" fontId="21" numFmtId="0" xfId="0" applyAlignment="1" applyFont="1">
      <alignment shrinkToFit="0" vertical="bottom" wrapText="1"/>
    </xf>
    <xf borderId="0" fillId="0" fontId="22" numFmtId="0" xfId="0" applyAlignment="1" applyFont="1">
      <alignment shrinkToFit="0" vertical="bottom" wrapText="0"/>
    </xf>
    <xf borderId="35" fillId="3" fontId="6" numFmtId="0" xfId="0" applyAlignment="1" applyBorder="1" applyFill="1" applyFont="1">
      <alignment shrinkToFit="0" vertical="bottom" wrapText="0"/>
    </xf>
    <xf borderId="0" fillId="0" fontId="23" numFmtId="0" xfId="0" applyFont="1"/>
    <xf borderId="35" fillId="4" fontId="6" numFmtId="0" xfId="0" applyAlignment="1" applyBorder="1" applyFill="1" applyFont="1">
      <alignment shrinkToFit="0" vertical="bottom" wrapText="0"/>
    </xf>
    <xf borderId="0" fillId="0" fontId="6" numFmtId="2" xfId="0" applyAlignment="1" applyFont="1" applyNumberFormat="1">
      <alignment shrinkToFit="0" vertical="bottom" wrapText="0"/>
    </xf>
    <xf borderId="35" fillId="5" fontId="6" numFmtId="0" xfId="0" applyAlignment="1" applyBorder="1" applyFill="1" applyFont="1">
      <alignment shrinkToFit="0" vertical="bottom" wrapText="0"/>
    </xf>
    <xf borderId="35" fillId="6" fontId="6" numFmtId="0" xfId="0" applyAlignment="1" applyBorder="1" applyFill="1" applyFont="1">
      <alignment shrinkToFit="0" vertical="bottom" wrapText="0"/>
    </xf>
    <xf borderId="35" fillId="7" fontId="6" numFmtId="0" xfId="0" applyAlignment="1" applyBorder="1" applyFill="1" applyFont="1">
      <alignment shrinkToFit="0" vertical="bottom" wrapText="0"/>
    </xf>
    <xf borderId="0" fillId="0" fontId="6" numFmtId="2" xfId="0" applyAlignment="1" applyFont="1" applyNumberFormat="1">
      <alignment horizontal="left" shrinkToFit="0" vertical="bottom" wrapText="0"/>
    </xf>
    <xf borderId="35" fillId="8" fontId="24" numFmtId="0" xfId="0" applyAlignment="1" applyBorder="1" applyFill="1" applyFont="1">
      <alignment horizontal="left" shrinkToFit="0" vertical="bottom" wrapText="0"/>
    </xf>
    <xf borderId="0" fillId="0" fontId="25" numFmtId="0" xfId="0" applyAlignment="1" applyFont="1">
      <alignment horizontal="left" shrinkToFit="0" vertical="bottom" wrapText="0"/>
    </xf>
    <xf borderId="0" fillId="0" fontId="26" numFmtId="0" xfId="0" applyAlignment="1" applyFont="1">
      <alignment shrinkToFit="0" vertical="bottom" wrapText="0"/>
    </xf>
    <xf borderId="0" fillId="0" fontId="27" numFmtId="0" xfId="0" applyAlignment="1" applyFont="1">
      <alignment shrinkToFit="0" vertical="bottom" wrapText="1"/>
    </xf>
    <xf borderId="0" fillId="0" fontId="16" numFmtId="0" xfId="0" applyAlignment="1" applyFont="1">
      <alignment horizontal="center" shrinkToFit="0" vertical="bottom" wrapText="0"/>
    </xf>
    <xf borderId="35" fillId="6" fontId="6" numFmtId="0" xfId="0" applyAlignment="1" applyBorder="1" applyFont="1">
      <alignment shrinkToFit="0" vertical="bottom" wrapText="1"/>
    </xf>
    <xf borderId="35" fillId="6" fontId="6" numFmtId="164" xfId="0" applyAlignment="1" applyBorder="1" applyFont="1" applyNumberFormat="1">
      <alignment shrinkToFit="0" vertical="bottom" wrapText="0"/>
    </xf>
    <xf borderId="35" fillId="6" fontId="16" numFmtId="165" xfId="0" applyAlignment="1" applyBorder="1" applyFont="1" applyNumberFormat="1">
      <alignment shrinkToFit="0" vertical="bottom" wrapText="0"/>
    </xf>
    <xf borderId="0" fillId="0" fontId="16" numFmtId="16" xfId="0" applyAlignment="1" applyFont="1" applyNumberFormat="1">
      <alignment horizontal="center" shrinkToFit="0" vertical="bottom" wrapText="0"/>
    </xf>
    <xf borderId="0" fillId="0" fontId="28" numFmtId="0" xfId="0" applyAlignment="1" applyFont="1">
      <alignment shrinkToFit="0" vertical="bottom" wrapText="0"/>
    </xf>
    <xf borderId="0" fillId="0" fontId="6" numFmtId="166" xfId="0" applyAlignment="1" applyFont="1" applyNumberFormat="1">
      <alignment shrinkToFit="0" vertical="bottom" wrapText="0"/>
    </xf>
    <xf borderId="0" fillId="0" fontId="29" numFmtId="166" xfId="0" applyAlignment="1" applyFont="1" applyNumberFormat="1">
      <alignment shrinkToFit="0" vertical="bottom" wrapText="0"/>
    </xf>
    <xf borderId="0" fillId="0" fontId="29" numFmtId="166" xfId="0" applyAlignment="1" applyFont="1" applyNumberFormat="1">
      <alignment shrinkToFit="0" vertical="bottom" wrapText="1"/>
    </xf>
    <xf borderId="36" fillId="6" fontId="16" numFmtId="0" xfId="0" applyAlignment="1" applyBorder="1" applyFont="1">
      <alignment shrinkToFit="0" vertical="bottom" wrapText="0"/>
    </xf>
    <xf borderId="36" fillId="6" fontId="16" numFmtId="166" xfId="0" applyAlignment="1" applyBorder="1" applyFont="1" applyNumberFormat="1">
      <alignment shrinkToFit="0" vertical="bottom" wrapText="0"/>
    </xf>
    <xf borderId="0" fillId="0" fontId="16" numFmtId="166" xfId="0" applyAlignment="1" applyFont="1" applyNumberFormat="1">
      <alignment shrinkToFit="0" vertical="bottom" wrapText="0"/>
    </xf>
    <xf borderId="0" fillId="0" fontId="6" numFmtId="9" xfId="0" applyAlignment="1" applyFont="1" applyNumberFormat="1">
      <alignment shrinkToFit="0" vertical="bottom" wrapText="0"/>
    </xf>
    <xf borderId="36" fillId="6" fontId="16" numFmtId="9" xfId="0" applyAlignment="1" applyBorder="1" applyFont="1" applyNumberFormat="1">
      <alignment shrinkToFit="0" vertical="bottom" wrapText="0"/>
    </xf>
    <xf borderId="0" fillId="0" fontId="16" numFmtId="9" xfId="0" applyAlignment="1" applyFont="1" applyNumberFormat="1">
      <alignment shrinkToFit="0" vertical="bottom" wrapText="0"/>
    </xf>
    <xf borderId="0" fillId="0" fontId="6" numFmtId="166" xfId="0" applyAlignment="1" applyFont="1" applyNumberFormat="1">
      <alignment shrinkToFit="0" vertical="bottom" wrapText="1"/>
    </xf>
    <xf borderId="0" fillId="0" fontId="6" numFmtId="0" xfId="0" applyAlignment="1" applyFont="1">
      <alignment horizontal="left" shrinkToFit="0" vertical="bottom" wrapText="0"/>
    </xf>
    <xf borderId="0" fillId="0" fontId="6" numFmtId="167" xfId="0" applyAlignment="1" applyFont="1" applyNumberFormat="1">
      <alignment shrinkToFit="0" vertical="bottom" wrapText="1"/>
    </xf>
    <xf borderId="0" fillId="0" fontId="6" numFmtId="16" xfId="0" applyAlignment="1" applyFont="1" applyNumberFormat="1">
      <alignment shrinkToFit="0" vertical="bottom" wrapText="0"/>
    </xf>
    <xf borderId="0" fillId="0" fontId="16" numFmtId="16" xfId="0" applyAlignment="1" applyFont="1" applyNumberFormat="1">
      <alignment shrinkToFit="0" vertical="bottom" wrapText="0"/>
    </xf>
    <xf borderId="0" fillId="0" fontId="6" numFmtId="167" xfId="0" applyAlignment="1" applyFont="1" applyNumberFormat="1">
      <alignment shrinkToFit="0" vertical="bottom" wrapText="0"/>
    </xf>
    <xf borderId="36" fillId="6" fontId="16" numFmtId="167" xfId="0" applyAlignment="1" applyBorder="1" applyFont="1" applyNumberFormat="1">
      <alignment shrinkToFit="0" vertical="bottom" wrapText="0"/>
    </xf>
    <xf borderId="37" fillId="8" fontId="24" numFmtId="0" xfId="0" applyAlignment="1" applyBorder="1" applyFont="1">
      <alignment horizontal="left" shrinkToFit="0" vertical="bottom" wrapText="0"/>
    </xf>
    <xf borderId="38" fillId="0" fontId="2" numFmtId="0" xfId="0" applyBorder="1" applyFont="1"/>
    <xf borderId="39" fillId="0" fontId="2" numFmtId="0" xfId="0" applyBorder="1" applyFont="1"/>
    <xf borderId="0" fillId="0" fontId="30" numFmtId="0" xfId="0" applyAlignment="1" applyFont="1">
      <alignment shrinkToFit="0" vertical="bottom" wrapText="0"/>
    </xf>
    <xf borderId="0" fillId="0" fontId="16" numFmtId="168" xfId="0" applyAlignment="1" applyFont="1" applyNumberFormat="1">
      <alignment shrinkToFit="0" vertical="bottom" wrapText="0"/>
    </xf>
    <xf borderId="33" fillId="0" fontId="16" numFmtId="0" xfId="0" applyAlignment="1" applyBorder="1" applyFont="1">
      <alignment shrinkToFit="0" vertical="bottom" wrapText="0"/>
    </xf>
    <xf borderId="33" fillId="0" fontId="16" numFmtId="16" xfId="0" applyAlignment="1" applyBorder="1" applyFont="1" applyNumberFormat="1">
      <alignment horizontal="center" shrinkToFit="0" vertical="bottom" wrapText="0"/>
    </xf>
    <xf borderId="33" fillId="0" fontId="16" numFmtId="0" xfId="0" applyAlignment="1" applyBorder="1" applyFont="1">
      <alignment horizontal="center" shrinkToFit="0" vertical="bottom" wrapText="0"/>
    </xf>
    <xf borderId="0" fillId="0" fontId="6" numFmtId="3" xfId="0" applyAlignment="1" applyFont="1" applyNumberFormat="1">
      <alignment shrinkToFit="0" vertical="bottom" wrapText="0"/>
    </xf>
    <xf borderId="36" fillId="6" fontId="16" numFmtId="3" xfId="0" applyAlignment="1" applyBorder="1" applyFont="1" applyNumberFormat="1">
      <alignment shrinkToFit="0" vertical="bottom" wrapText="0"/>
    </xf>
    <xf borderId="26" fillId="0" fontId="16" numFmtId="0" xfId="0" applyAlignment="1" applyBorder="1" applyFont="1">
      <alignment shrinkToFit="0" vertical="bottom" wrapText="0"/>
    </xf>
    <xf borderId="26" fillId="0" fontId="16" numFmtId="3" xfId="0" applyAlignment="1" applyBorder="1" applyFont="1" applyNumberFormat="1">
      <alignment shrinkToFit="0" vertical="bottom" wrapText="0"/>
    </xf>
    <xf borderId="33" fillId="0" fontId="6" numFmtId="0" xfId="0" applyAlignment="1" applyBorder="1" applyFont="1">
      <alignment shrinkToFit="0" vertical="bottom" wrapText="0"/>
    </xf>
    <xf borderId="40" fillId="6" fontId="16" numFmtId="0" xfId="0" applyAlignment="1" applyBorder="1" applyFont="1">
      <alignment shrinkToFit="0" vertical="bottom" wrapText="0"/>
    </xf>
    <xf borderId="40" fillId="6" fontId="16" numFmtId="3" xfId="0" applyAlignment="1" applyBorder="1" applyFont="1" applyNumberFormat="1">
      <alignment shrinkToFit="0" vertical="bottom" wrapText="0"/>
    </xf>
    <xf borderId="0" fillId="0" fontId="31" numFmtId="0" xfId="0" applyAlignment="1" applyFont="1">
      <alignment shrinkToFit="0" vertical="bottom" wrapText="0"/>
    </xf>
    <xf borderId="35" fillId="4" fontId="6" numFmtId="2" xfId="0" applyAlignment="1" applyBorder="1" applyFont="1" applyNumberFormat="1">
      <alignment shrinkToFit="0" vertical="bottom" wrapText="0"/>
    </xf>
    <xf borderId="0" fillId="0" fontId="6" numFmtId="4" xfId="0" applyAlignment="1" applyFont="1" applyNumberFormat="1">
      <alignment shrinkToFit="0" vertical="bottom" wrapText="0"/>
    </xf>
    <xf borderId="36" fillId="6" fontId="6" numFmtId="4" xfId="0" applyAlignment="1" applyBorder="1" applyFont="1" applyNumberFormat="1">
      <alignment shrinkToFit="0" vertical="bottom" wrapText="0"/>
    </xf>
    <xf borderId="35" fillId="9" fontId="32" numFmtId="0" xfId="0" applyAlignment="1" applyBorder="1" applyFill="1" applyFont="1">
      <alignment shrinkToFit="0" vertical="bottom" wrapText="0"/>
    </xf>
    <xf borderId="35" fillId="9" fontId="6" numFmtId="0" xfId="0" applyAlignment="1" applyBorder="1" applyFont="1">
      <alignment shrinkToFit="0" vertical="bottom" wrapText="0"/>
    </xf>
    <xf borderId="0" fillId="0" fontId="33" numFmtId="0" xfId="0" applyAlignment="1" applyFont="1">
      <alignment horizontal="left" shrinkToFit="0" vertical="bottom" wrapText="1"/>
    </xf>
    <xf borderId="0" fillId="0" fontId="33" numFmtId="0" xfId="0" applyAlignment="1" applyFont="1">
      <alignment shrinkToFit="0" vertical="bottom" wrapText="0"/>
    </xf>
    <xf borderId="0" fillId="0" fontId="6" numFmtId="168" xfId="0" applyAlignment="1" applyFont="1" applyNumberFormat="1">
      <alignment shrinkToFit="0" vertical="bottom" wrapText="0"/>
    </xf>
    <xf borderId="0" fillId="0" fontId="34" numFmtId="0" xfId="0" applyAlignment="1" applyFont="1">
      <alignment shrinkToFit="0" vertical="bottom" wrapText="0"/>
    </xf>
    <xf borderId="0" fillId="0" fontId="6" numFmtId="169" xfId="0" applyAlignment="1" applyFont="1" applyNumberFormat="1">
      <alignment shrinkToFit="0" vertical="bottom" wrapText="0"/>
    </xf>
    <xf borderId="35" fillId="3" fontId="6" numFmtId="3" xfId="0" applyAlignment="1" applyBorder="1" applyFont="1" applyNumberFormat="1">
      <alignment shrinkToFit="0" vertical="bottom" wrapText="0"/>
    </xf>
    <xf borderId="35" fillId="3" fontId="6" numFmtId="170" xfId="0" applyAlignment="1" applyBorder="1" applyFont="1" applyNumberFormat="1">
      <alignment shrinkToFit="0" vertical="bottom" wrapText="0"/>
    </xf>
    <xf borderId="35" fillId="3" fontId="6" numFmtId="166" xfId="0" applyAlignment="1" applyBorder="1" applyFont="1" applyNumberFormat="1">
      <alignment shrinkToFit="0" vertical="bottom" wrapText="0"/>
    </xf>
    <xf borderId="35" fillId="10" fontId="6" numFmtId="3" xfId="0" applyAlignment="1" applyBorder="1" applyFill="1" applyFont="1" applyNumberFormat="1">
      <alignment shrinkToFit="0" vertical="bottom" wrapText="0"/>
    </xf>
    <xf borderId="0" fillId="0" fontId="16" numFmtId="171" xfId="0" applyAlignment="1" applyFont="1" applyNumberFormat="1">
      <alignment shrinkToFit="0" vertical="bottom" wrapText="0"/>
    </xf>
    <xf borderId="35" fillId="6" fontId="16" numFmtId="0" xfId="0" applyAlignment="1" applyBorder="1" applyFont="1">
      <alignment shrinkToFit="0" vertical="bottom" wrapText="0"/>
    </xf>
    <xf borderId="35" fillId="6" fontId="16" numFmtId="166" xfId="0" applyAlignment="1" applyBorder="1" applyFont="1" applyNumberFormat="1">
      <alignment shrinkToFit="0" vertical="bottom" wrapText="0"/>
    </xf>
    <xf borderId="35" fillId="3" fontId="6" numFmtId="4" xfId="0" applyAlignment="1" applyBorder="1" applyFont="1" applyNumberFormat="1">
      <alignment shrinkToFit="0" vertical="bottom" wrapText="0"/>
    </xf>
    <xf borderId="17" fillId="3" fontId="35" numFmtId="4" xfId="0" applyAlignment="1" applyBorder="1" applyFont="1" applyNumberFormat="1">
      <alignment horizontal="right" shrinkToFit="0" vertical="bottom" wrapText="1"/>
    </xf>
    <xf borderId="41" fillId="3" fontId="6" numFmtId="3" xfId="0" applyAlignment="1" applyBorder="1" applyFont="1" applyNumberFormat="1">
      <alignment shrinkToFit="0" vertical="bottom" wrapText="0"/>
    </xf>
    <xf borderId="35" fillId="3" fontId="36" numFmtId="4" xfId="0" applyAlignment="1" applyBorder="1" applyFont="1" applyNumberFormat="1">
      <alignment shrinkToFit="0" vertical="bottom" wrapText="0"/>
    </xf>
    <xf borderId="0" fillId="0" fontId="16" numFmtId="2" xfId="0" applyAlignment="1" applyFont="1" applyNumberFormat="1">
      <alignment shrinkToFit="0" vertical="bottom" wrapText="0"/>
    </xf>
    <xf borderId="0" fillId="0" fontId="37" numFmtId="4" xfId="0" applyAlignment="1" applyFont="1" applyNumberFormat="1">
      <alignment shrinkToFit="0" vertical="bottom" wrapText="0"/>
    </xf>
    <xf borderId="0" fillId="0" fontId="6" numFmtId="164" xfId="0" applyAlignment="1" applyFont="1" applyNumberFormat="1">
      <alignment shrinkToFit="0" vertical="bottom" wrapText="0"/>
    </xf>
    <xf borderId="35" fillId="3" fontId="36" numFmtId="166" xfId="0" applyAlignment="1" applyBorder="1" applyFont="1" applyNumberFormat="1">
      <alignment shrinkToFit="0" vertical="bottom" wrapText="0"/>
    </xf>
    <xf borderId="41" fillId="3" fontId="6" numFmtId="166" xfId="0" applyAlignment="1" applyBorder="1" applyFont="1" applyNumberFormat="1">
      <alignment shrinkToFit="0" vertical="bottom" wrapText="0"/>
    </xf>
    <xf borderId="0" fillId="0" fontId="16" numFmtId="4" xfId="0" applyAlignment="1" applyFont="1" applyNumberFormat="1">
      <alignment shrinkToFit="0" vertical="bottom" wrapText="0"/>
    </xf>
    <xf borderId="0" fillId="0" fontId="38" numFmtId="0" xfId="0" applyAlignment="1" applyFont="1">
      <alignment readingOrder="0" shrinkToFit="0" vertical="bottom" wrapText="0"/>
    </xf>
    <xf borderId="33" fillId="0" fontId="16" numFmtId="166" xfId="0" applyAlignment="1" applyBorder="1" applyFont="1" applyNumberFormat="1">
      <alignment horizontal="center" shrinkToFit="0" vertical="bottom" wrapText="0"/>
    </xf>
    <xf borderId="30" fillId="0" fontId="6" numFmtId="0" xfId="0" applyAlignment="1" applyBorder="1" applyFont="1">
      <alignment shrinkToFit="0" vertical="bottom" wrapText="0"/>
    </xf>
    <xf borderId="29" fillId="0" fontId="6" numFmtId="2" xfId="0" applyAlignment="1" applyBorder="1" applyFont="1" applyNumberFormat="1">
      <alignment shrinkToFit="0" vertical="bottom" wrapText="0"/>
    </xf>
    <xf borderId="29" fillId="0" fontId="6" numFmtId="3" xfId="0" applyAlignment="1" applyBorder="1" applyFont="1" applyNumberFormat="1">
      <alignment shrinkToFit="0" vertical="bottom" wrapText="0"/>
    </xf>
    <xf borderId="29" fillId="0" fontId="16" numFmtId="2" xfId="0" applyAlignment="1" applyBorder="1" applyFont="1" applyNumberFormat="1">
      <alignment shrinkToFit="0" vertical="bottom" wrapText="0"/>
    </xf>
    <xf borderId="29" fillId="0" fontId="16" numFmtId="3" xfId="0" applyAlignment="1" applyBorder="1" applyFont="1" applyNumberFormat="1">
      <alignment shrinkToFit="0" vertical="bottom" wrapText="0"/>
    </xf>
    <xf borderId="42" fillId="11" fontId="39" numFmtId="2" xfId="0" applyAlignment="1" applyBorder="1" applyFill="1" applyFont="1" applyNumberFormat="1">
      <alignment shrinkToFit="0" vertical="bottom" wrapText="0"/>
    </xf>
    <xf borderId="42" fillId="11" fontId="6" numFmtId="2" xfId="0" applyAlignment="1" applyBorder="1" applyFont="1" applyNumberFormat="1">
      <alignment shrinkToFit="0" vertical="bottom" wrapText="0"/>
    </xf>
    <xf borderId="42" fillId="11" fontId="6" numFmtId="3" xfId="0" applyAlignment="1" applyBorder="1" applyFont="1" applyNumberFormat="1">
      <alignment shrinkToFit="0" vertical="bottom" wrapText="0"/>
    </xf>
    <xf borderId="42" fillId="11" fontId="16" numFmtId="3" xfId="0" applyAlignment="1" applyBorder="1" applyFont="1" applyNumberFormat="1">
      <alignment shrinkToFit="0" vertical="bottom" wrapText="0"/>
    </xf>
    <xf borderId="35" fillId="7" fontId="16" numFmtId="0" xfId="0" applyAlignment="1" applyBorder="1" applyFont="1">
      <alignment shrinkToFit="0" vertical="bottom" wrapText="0"/>
    </xf>
    <xf borderId="0" fillId="0" fontId="16" numFmtId="165" xfId="0" applyAlignment="1" applyFont="1" applyNumberFormat="1">
      <alignment shrinkToFit="0" vertical="bottom" wrapText="0"/>
    </xf>
    <xf borderId="35" fillId="7" fontId="6" numFmtId="168" xfId="0" applyAlignment="1" applyBorder="1" applyFont="1" applyNumberFormat="1">
      <alignment shrinkToFit="0" vertical="bottom" wrapText="0"/>
    </xf>
    <xf borderId="35" fillId="7" fontId="6" numFmtId="2" xfId="0" applyAlignment="1" applyBorder="1" applyFont="1" applyNumberFormat="1">
      <alignment shrinkToFit="0" vertical="bottom" wrapText="0"/>
    </xf>
    <xf borderId="35" fillId="7" fontId="16" numFmtId="171" xfId="0" applyAlignment="1" applyBorder="1" applyFont="1" applyNumberFormat="1">
      <alignment shrinkToFit="0" vertical="bottom" wrapText="0"/>
    </xf>
    <xf borderId="0" fillId="0" fontId="17" numFmtId="0" xfId="0" applyAlignment="1" applyFont="1">
      <alignment shrinkToFit="0" vertical="bottom" wrapText="0"/>
    </xf>
    <xf borderId="0" fillId="0" fontId="16" numFmtId="172" xfId="0" applyAlignment="1" applyFont="1" applyNumberFormat="1">
      <alignment shrinkToFit="0" vertical="bottom" wrapText="0"/>
    </xf>
    <xf borderId="35" fillId="7" fontId="16" numFmtId="2" xfId="0" applyAlignment="1" applyBorder="1" applyFont="1" applyNumberFormat="1">
      <alignment shrinkToFit="0" vertical="bottom" wrapText="0"/>
    </xf>
    <xf borderId="0" fillId="0" fontId="40" numFmtId="0" xfId="0" applyAlignment="1" applyFont="1">
      <alignment shrinkToFit="0" vertical="bottom" wrapText="0"/>
    </xf>
    <xf borderId="0" fillId="0" fontId="16" numFmtId="0" xfId="0" applyAlignment="1" applyFont="1">
      <alignment horizontal="center" shrinkToFit="0" vertical="center" wrapText="1"/>
    </xf>
    <xf borderId="0" fillId="0" fontId="6" numFmtId="0" xfId="0" applyAlignment="1" applyFont="1">
      <alignment shrinkToFit="0" vertical="center" wrapText="1"/>
    </xf>
    <xf borderId="37" fillId="12" fontId="32" numFmtId="0" xfId="0" applyAlignment="1" applyBorder="1" applyFill="1" applyFont="1">
      <alignment horizontal="center" shrinkToFit="0" vertical="bottom" wrapText="0"/>
    </xf>
    <xf borderId="0" fillId="0" fontId="16" numFmtId="0" xfId="0" applyAlignment="1" applyFont="1">
      <alignment horizontal="left" shrinkToFit="0" vertical="bottom" wrapText="1"/>
    </xf>
    <xf borderId="0" fillId="0" fontId="6" numFmtId="0" xfId="0" applyAlignment="1" applyFont="1">
      <alignment horizontal="left" shrinkToFit="0" vertical="bottom" wrapText="1"/>
    </xf>
    <xf borderId="43" fillId="3" fontId="6" numFmtId="0" xfId="0" applyAlignment="1" applyBorder="1" applyFont="1">
      <alignment horizontal="left" shrinkToFit="0" vertical="bottom" wrapText="1"/>
    </xf>
    <xf borderId="44" fillId="0" fontId="2" numFmtId="0" xfId="0" applyBorder="1" applyFont="1"/>
    <xf borderId="45" fillId="0" fontId="2" numFmtId="0" xfId="0" applyBorder="1" applyFont="1"/>
    <xf borderId="46" fillId="0" fontId="2" numFmtId="0" xfId="0" applyBorder="1" applyFont="1"/>
    <xf borderId="0" fillId="0" fontId="6" numFmtId="0" xfId="0" applyAlignment="1" applyFont="1">
      <alignment horizontal="left" shrinkToFit="1" vertical="bottom" wrapText="0"/>
    </xf>
    <xf borderId="0" fillId="0" fontId="41" numFmtId="0" xfId="0" applyAlignment="1" applyFont="1">
      <alignment shrinkToFit="0" vertical="bottom" wrapText="0"/>
    </xf>
    <xf borderId="0" fillId="0" fontId="42" numFmtId="0" xfId="0" applyAlignment="1" applyFont="1">
      <alignment horizontal="center" shrinkToFit="0" vertical="bottom" wrapText="1"/>
    </xf>
    <xf borderId="29" fillId="0" fontId="6" numFmtId="0" xfId="0" applyAlignment="1" applyBorder="1" applyFont="1">
      <alignment shrinkToFit="0" vertical="bottom" wrapText="0"/>
    </xf>
    <xf borderId="47" fillId="13" fontId="6" numFmtId="0" xfId="0" applyAlignment="1" applyBorder="1" applyFill="1" applyFont="1">
      <alignment shrinkToFit="0" vertical="bottom" wrapText="0"/>
    </xf>
    <xf borderId="36" fillId="13" fontId="6" numFmtId="0" xfId="0" applyAlignment="1" applyBorder="1" applyFont="1">
      <alignment shrinkToFit="0" vertical="bottom" wrapText="0"/>
    </xf>
    <xf borderId="42" fillId="14" fontId="6" numFmtId="2" xfId="0" applyAlignment="1" applyBorder="1" applyFill="1" applyFont="1" applyNumberFormat="1">
      <alignment shrinkToFit="0" vertical="bottom" wrapText="0"/>
    </xf>
    <xf borderId="42" fillId="14" fontId="6" numFmtId="0" xfId="0" applyAlignment="1" applyBorder="1" applyFont="1">
      <alignment shrinkToFit="0" vertical="bottom" wrapText="0"/>
    </xf>
    <xf borderId="35" fillId="14" fontId="6" numFmtId="0" xfId="0" applyAlignment="1" applyBorder="1" applyFont="1">
      <alignment shrinkToFit="0" vertical="bottom" wrapText="0"/>
    </xf>
    <xf borderId="21" fillId="0" fontId="6" numFmtId="2" xfId="0" applyAlignment="1" applyBorder="1" applyFont="1" applyNumberFormat="1">
      <alignment shrinkToFit="0" vertical="bottom" wrapText="0"/>
    </xf>
    <xf borderId="22" fillId="0" fontId="6" numFmtId="2" xfId="0" applyAlignment="1" applyBorder="1" applyFont="1" applyNumberFormat="1">
      <alignment shrinkToFit="0" vertical="bottom" wrapText="0"/>
    </xf>
    <xf borderId="21" fillId="0" fontId="6" numFmtId="0" xfId="0" applyAlignment="1" applyBorder="1" applyFont="1">
      <alignment shrinkToFit="0" vertical="bottom" wrapText="0"/>
    </xf>
    <xf borderId="22" fillId="0" fontId="6" numFmtId="0" xfId="0" applyAlignment="1" applyBorder="1" applyFont="1">
      <alignment shrinkToFit="0" vertical="bottom" wrapText="0"/>
    </xf>
    <xf borderId="42" fillId="15" fontId="6" numFmtId="2" xfId="0" applyAlignment="1" applyBorder="1" applyFill="1" applyFont="1" applyNumberFormat="1">
      <alignment shrinkToFit="0" vertical="bottom" wrapText="0"/>
    </xf>
    <xf borderId="42" fillId="15" fontId="6" numFmtId="0" xfId="0" applyAlignment="1" applyBorder="1" applyFont="1">
      <alignment shrinkToFit="0" vertical="bottom" wrapText="0"/>
    </xf>
    <xf borderId="35" fillId="15" fontId="6" numFmtId="0" xfId="0" applyAlignment="1" applyBorder="1" applyFont="1">
      <alignment shrinkToFit="0" vertical="bottom" wrapText="0"/>
    </xf>
    <xf borderId="42" fillId="16" fontId="6" numFmtId="2" xfId="0" applyAlignment="1" applyBorder="1" applyFill="1" applyFont="1" applyNumberFormat="1">
      <alignment shrinkToFit="0" vertical="bottom" wrapText="0"/>
    </xf>
    <xf borderId="42" fillId="16" fontId="6" numFmtId="0" xfId="0" applyAlignment="1" applyBorder="1" applyFont="1">
      <alignment shrinkToFit="0" vertical="bottom" wrapText="0"/>
    </xf>
    <xf borderId="35" fillId="16" fontId="6" numFmtId="0" xfId="0" applyAlignment="1" applyBorder="1" applyFont="1">
      <alignment shrinkToFit="0" vertical="bottom" wrapText="0"/>
    </xf>
    <xf borderId="42" fillId="17" fontId="39" numFmtId="2" xfId="0" applyAlignment="1" applyBorder="1" applyFill="1" applyFont="1" applyNumberFormat="1">
      <alignment shrinkToFit="0" vertical="bottom" wrapText="0"/>
    </xf>
    <xf borderId="42" fillId="17" fontId="6" numFmtId="2" xfId="0" applyAlignment="1" applyBorder="1" applyFont="1" applyNumberFormat="1">
      <alignment shrinkToFit="0" vertical="bottom" wrapText="0"/>
    </xf>
    <xf borderId="42" fillId="17" fontId="6" numFmtId="0" xfId="0" applyAlignment="1" applyBorder="1" applyFont="1">
      <alignment shrinkToFit="0" vertical="bottom" wrapText="0"/>
    </xf>
    <xf borderId="35" fillId="17" fontId="6" numFmtId="0" xfId="0" applyAlignment="1" applyBorder="1" applyFont="1">
      <alignment shrinkToFit="0" vertical="bottom" wrapText="0"/>
    </xf>
    <xf borderId="42" fillId="18" fontId="6" numFmtId="2" xfId="0" applyAlignment="1" applyBorder="1" applyFill="1" applyFont="1" applyNumberFormat="1">
      <alignment shrinkToFit="0" vertical="bottom" wrapText="0"/>
    </xf>
    <xf borderId="35" fillId="18" fontId="6" numFmtId="2" xfId="0" applyAlignment="1" applyBorder="1" applyFont="1" applyNumberFormat="1">
      <alignment shrinkToFit="0" vertical="bottom" wrapText="0"/>
    </xf>
    <xf borderId="35" fillId="18" fontId="6" numFmtId="170" xfId="0" applyAlignment="1" applyBorder="1" applyFont="1" applyNumberFormat="1">
      <alignment shrinkToFit="0" vertical="bottom" wrapText="0"/>
    </xf>
    <xf borderId="42" fillId="18" fontId="6" numFmtId="0" xfId="0" applyAlignment="1" applyBorder="1" applyFont="1">
      <alignment shrinkToFit="0" vertical="bottom" wrapText="0"/>
    </xf>
    <xf borderId="35" fillId="18" fontId="6" numFmtId="0" xfId="0" applyAlignment="1" applyBorder="1" applyFont="1">
      <alignment shrinkToFit="0" vertical="bottom" wrapText="0"/>
    </xf>
    <xf borderId="42" fillId="18" fontId="6" numFmtId="170" xfId="0" applyAlignment="1" applyBorder="1" applyFont="1" applyNumberFormat="1">
      <alignment shrinkToFit="0" vertical="bottom" wrapText="0"/>
    </xf>
    <xf borderId="22" fillId="0" fontId="6" numFmtId="170" xfId="0" applyAlignment="1" applyBorder="1" applyFont="1" applyNumberFormat="1">
      <alignment shrinkToFit="0" vertical="bottom" wrapText="0"/>
    </xf>
    <xf borderId="42" fillId="19" fontId="39" numFmtId="2" xfId="0" applyAlignment="1" applyBorder="1" applyFill="1" applyFont="1" applyNumberFormat="1">
      <alignment shrinkToFit="0" vertical="bottom" wrapText="0"/>
    </xf>
    <xf borderId="42" fillId="19" fontId="6" numFmtId="2" xfId="0" applyAlignment="1" applyBorder="1" applyFont="1" applyNumberFormat="1">
      <alignment shrinkToFit="0" vertical="bottom" wrapText="0"/>
    </xf>
    <xf borderId="42" fillId="19" fontId="6" numFmtId="170" xfId="0" applyAlignment="1" applyBorder="1" applyFont="1" applyNumberFormat="1">
      <alignment shrinkToFit="0" vertical="bottom" wrapText="0"/>
    </xf>
    <xf borderId="42" fillId="19" fontId="6" numFmtId="0" xfId="0" applyAlignment="1" applyBorder="1" applyFont="1">
      <alignment shrinkToFit="0" vertical="bottom" wrapText="0"/>
    </xf>
    <xf borderId="35" fillId="19" fontId="6" numFmtId="0" xfId="0" applyAlignment="1" applyBorder="1" applyFont="1">
      <alignment shrinkToFit="0" vertical="bottom" wrapText="0"/>
    </xf>
    <xf borderId="42" fillId="20" fontId="6" numFmtId="2" xfId="0" applyAlignment="1" applyBorder="1" applyFill="1" applyFont="1" applyNumberFormat="1">
      <alignment shrinkToFit="0" vertical="bottom" wrapText="0"/>
    </xf>
    <xf borderId="42" fillId="20" fontId="6" numFmtId="170" xfId="0" applyAlignment="1" applyBorder="1" applyFont="1" applyNumberFormat="1">
      <alignment shrinkToFit="0" vertical="bottom" wrapText="0"/>
    </xf>
    <xf borderId="42" fillId="20" fontId="6" numFmtId="0" xfId="0" applyAlignment="1" applyBorder="1" applyFont="1">
      <alignment shrinkToFit="0" vertical="bottom" wrapText="0"/>
    </xf>
    <xf borderId="35" fillId="20" fontId="6" numFmtId="0" xfId="0" applyAlignment="1" applyBorder="1" applyFont="1">
      <alignment shrinkToFit="0" vertical="bottom" wrapText="0"/>
    </xf>
    <xf borderId="35" fillId="20" fontId="43" numFmtId="0" xfId="0" applyAlignment="1" applyBorder="1" applyFont="1">
      <alignment shrinkToFit="0" vertical="bottom" wrapText="0"/>
    </xf>
    <xf borderId="35" fillId="21" fontId="44" numFmtId="0" xfId="0" applyAlignment="1" applyBorder="1" applyFill="1" applyFont="1">
      <alignment shrinkToFit="0" vertical="bottom" wrapText="0"/>
    </xf>
    <xf borderId="35" fillId="19" fontId="6" numFmtId="0" xfId="0" applyAlignment="1" applyBorder="1" applyFont="1">
      <alignment shrinkToFit="0" vertical="bottom" wrapText="1"/>
    </xf>
    <xf borderId="42" fillId="20" fontId="39" numFmtId="2" xfId="0" applyAlignment="1" applyBorder="1" applyFont="1" applyNumberFormat="1">
      <alignment shrinkToFit="0" vertical="bottom" wrapText="0"/>
    </xf>
    <xf borderId="35" fillId="20" fontId="45" numFmtId="0" xfId="0" applyAlignment="1" applyBorder="1" applyFont="1">
      <alignment shrinkToFit="0" vertical="bottom" wrapText="0"/>
    </xf>
    <xf borderId="42" fillId="20" fontId="6" numFmtId="173" xfId="0" applyAlignment="1" applyBorder="1" applyFont="1" applyNumberFormat="1">
      <alignment shrinkToFit="0" vertical="bottom" wrapText="0"/>
    </xf>
    <xf borderId="42" fillId="20" fontId="6" numFmtId="10" xfId="0" applyAlignment="1" applyBorder="1" applyFont="1" applyNumberFormat="1">
      <alignment shrinkToFit="0" vertical="bottom" wrapText="0"/>
    </xf>
    <xf borderId="48" fillId="20" fontId="6" numFmtId="2" xfId="0" applyAlignment="1" applyBorder="1" applyFont="1" applyNumberFormat="1">
      <alignment shrinkToFit="0" vertical="bottom" wrapText="0"/>
    </xf>
    <xf borderId="48" fillId="20" fontId="6" numFmtId="173" xfId="0" applyAlignment="1" applyBorder="1" applyFont="1" applyNumberFormat="1">
      <alignment shrinkToFit="0" vertical="bottom" wrapText="0"/>
    </xf>
    <xf borderId="48" fillId="20" fontId="6" numFmtId="0" xfId="0" applyAlignment="1" applyBorder="1" applyFont="1">
      <alignment shrinkToFit="0" vertical="bottom" wrapText="0"/>
    </xf>
    <xf borderId="40" fillId="20" fontId="6" numFmtId="0" xfId="0" applyAlignment="1" applyBorder="1" applyFont="1">
      <alignment shrinkToFit="0" vertical="bottom" wrapText="0"/>
    </xf>
    <xf borderId="0" fillId="0" fontId="6" numFmtId="173" xfId="0" applyAlignment="1" applyFont="1" applyNumberFormat="1">
      <alignment shrinkToFit="0" vertical="bottom" wrapText="0"/>
    </xf>
    <xf borderId="37" fillId="22" fontId="32" numFmtId="0" xfId="0" applyAlignment="1" applyBorder="1" applyFill="1" applyFont="1">
      <alignment horizontal="center" shrinkToFit="0" vertical="bottom" wrapText="0"/>
    </xf>
    <xf borderId="35" fillId="22" fontId="6" numFmtId="0" xfId="0" applyAlignment="1" applyBorder="1" applyFont="1">
      <alignment shrinkToFit="0" vertical="bottom" wrapText="0"/>
    </xf>
    <xf borderId="33" fillId="0" fontId="16" numFmtId="16" xfId="0" applyAlignment="1" applyBorder="1" applyFont="1" applyNumberFormat="1">
      <alignment shrinkToFit="0" vertical="bottom" wrapText="0"/>
    </xf>
    <xf borderId="49" fillId="3" fontId="6" numFmtId="3" xfId="0" applyAlignment="1" applyBorder="1" applyFont="1" applyNumberFormat="1">
      <alignment shrinkToFit="0" vertical="bottom" wrapText="0"/>
    </xf>
    <xf borderId="35" fillId="3" fontId="6" numFmtId="166" xfId="0" applyAlignment="1" applyBorder="1" applyFont="1" applyNumberFormat="1">
      <alignment horizontal="right" shrinkToFit="0" vertical="bottom" wrapText="0"/>
    </xf>
    <xf borderId="35" fillId="3" fontId="36" numFmtId="3" xfId="0" applyAlignment="1" applyBorder="1" applyFont="1" applyNumberFormat="1">
      <alignment shrinkToFit="0" vertical="bottom" wrapText="0"/>
    </xf>
    <xf borderId="0" fillId="0" fontId="37" numFmtId="3" xfId="0" applyAlignment="1" applyFont="1" applyNumberFormat="1">
      <alignment shrinkToFit="0" vertical="bottom" wrapText="0"/>
    </xf>
    <xf borderId="0" fillId="0" fontId="6" numFmtId="166" xfId="0" applyAlignment="1" applyFont="1" applyNumberFormat="1">
      <alignment horizontal="right" shrinkToFit="0" vertical="bottom" wrapText="0"/>
    </xf>
    <xf borderId="35" fillId="4" fontId="6" numFmtId="171" xfId="0" applyAlignment="1" applyBorder="1" applyFont="1" applyNumberFormat="1">
      <alignment shrinkToFit="0" vertical="bottom" wrapText="0"/>
    </xf>
    <xf borderId="35" fillId="4" fontId="6" numFmtId="166" xfId="0" applyAlignment="1" applyBorder="1" applyFont="1" applyNumberFormat="1">
      <alignment shrinkToFit="0" vertical="bottom" wrapText="0"/>
    </xf>
    <xf borderId="33" fillId="0" fontId="16" numFmtId="166" xfId="0" applyAlignment="1" applyBorder="1" applyFont="1" applyNumberFormat="1">
      <alignment shrinkToFit="0" vertical="bottom" wrapText="0"/>
    </xf>
    <xf borderId="50" fillId="4" fontId="6" numFmtId="171" xfId="0" applyAlignment="1" applyBorder="1" applyFont="1" applyNumberFormat="1">
      <alignment shrinkToFit="0" vertical="bottom" wrapText="0"/>
    </xf>
    <xf borderId="35" fillId="7" fontId="6" numFmtId="165" xfId="0" applyAlignment="1" applyBorder="1" applyFont="1" applyNumberFormat="1">
      <alignment shrinkToFit="0" vertical="bottom" wrapText="0"/>
    </xf>
    <xf borderId="0" fillId="0" fontId="6" numFmtId="171" xfId="0" applyAlignment="1" applyFont="1" applyNumberFormat="1">
      <alignment shrinkToFit="0" vertical="bottom" wrapText="0"/>
    </xf>
    <xf borderId="37" fillId="22" fontId="32" numFmtId="0" xfId="0" applyAlignment="1" applyBorder="1" applyFont="1">
      <alignment horizontal="left" shrinkToFit="0" vertical="bottom" wrapText="0"/>
    </xf>
    <xf borderId="43" fillId="4" fontId="6" numFmtId="0" xfId="0" applyAlignment="1" applyBorder="1" applyFont="1">
      <alignment horizontal="left" shrinkToFit="0" vertical="bottom" wrapText="1"/>
    </xf>
    <xf borderId="43" fillId="4" fontId="6" numFmtId="0" xfId="0" applyAlignment="1" applyBorder="1" applyFont="1">
      <alignment horizontal="left" shrinkToFit="1" vertical="bottom" wrapText="0"/>
    </xf>
    <xf borderId="51" fillId="0" fontId="2" numFmtId="0" xfId="0" applyBorder="1" applyFont="1"/>
    <xf borderId="35" fillId="23" fontId="32" numFmtId="0" xfId="0" applyAlignment="1" applyBorder="1" applyFill="1" applyFont="1">
      <alignment shrinkToFit="0" vertical="bottom" wrapText="0"/>
    </xf>
    <xf borderId="35" fillId="23" fontId="6" numFmtId="0" xfId="0" applyAlignment="1" applyBorder="1" applyFont="1">
      <alignment shrinkToFit="0" vertical="bottom" wrapText="0"/>
    </xf>
    <xf borderId="35" fillId="23" fontId="16" numFmtId="0" xfId="0" applyAlignment="1" applyBorder="1" applyFont="1">
      <alignment shrinkToFit="0" vertical="bottom" wrapText="0"/>
    </xf>
    <xf borderId="0" fillId="0" fontId="33" numFmtId="0" xfId="0" applyAlignment="1" applyFont="1">
      <alignment shrinkToFit="0" vertical="bottom" wrapText="1"/>
    </xf>
    <xf borderId="0" fillId="0" fontId="6" numFmtId="0" xfId="0" applyAlignment="1" applyFont="1">
      <alignment horizontal="right" shrinkToFit="0" vertical="bottom" wrapText="0"/>
    </xf>
    <xf borderId="0" fillId="0" fontId="16" numFmtId="3" xfId="0" applyAlignment="1" applyFont="1" applyNumberFormat="1">
      <alignment shrinkToFit="0" vertical="bottom" wrapText="0"/>
    </xf>
    <xf borderId="52" fillId="0" fontId="46" numFmtId="3" xfId="0" applyAlignment="1" applyBorder="1" applyFont="1" applyNumberFormat="1">
      <alignment horizontal="right" shrinkToFit="0" vertical="top" wrapText="1"/>
    </xf>
    <xf borderId="33" fillId="0" fontId="47" numFmtId="0" xfId="0" applyAlignment="1" applyBorder="1" applyFont="1">
      <alignment shrinkToFit="0" vertical="bottom" wrapText="0"/>
    </xf>
    <xf borderId="53" fillId="3" fontId="35" numFmtId="3" xfId="0" applyAlignment="1" applyBorder="1" applyFont="1" applyNumberFormat="1">
      <alignment horizontal="right" shrinkToFit="0" vertical="top" wrapText="0"/>
    </xf>
    <xf borderId="35" fillId="10" fontId="6" numFmtId="170" xfId="0" applyAlignment="1" applyBorder="1" applyFont="1" applyNumberFormat="1">
      <alignment shrinkToFit="0" vertical="bottom" wrapText="0"/>
    </xf>
    <xf borderId="41" fillId="3" fontId="6" numFmtId="0" xfId="0" applyAlignment="1" applyBorder="1" applyFont="1">
      <alignment shrinkToFit="0" vertical="bottom" wrapText="0"/>
    </xf>
    <xf borderId="41" fillId="3" fontId="6" numFmtId="170" xfId="0" applyAlignment="1" applyBorder="1" applyFont="1" applyNumberFormat="1">
      <alignment shrinkToFit="0" vertical="bottom" wrapText="0"/>
    </xf>
    <xf borderId="35" fillId="4" fontId="6" numFmtId="4" xfId="0" applyAlignment="1" applyBorder="1" applyFont="1" applyNumberFormat="1">
      <alignment horizontal="right" shrinkToFit="0" vertical="bottom" wrapText="0"/>
    </xf>
    <xf borderId="40" fillId="4" fontId="6" numFmtId="2" xfId="0" applyAlignment="1" applyBorder="1" applyFont="1" applyNumberFormat="1">
      <alignment shrinkToFit="0" vertical="bottom" wrapText="0"/>
    </xf>
    <xf borderId="40" fillId="4" fontId="6" numFmtId="0" xfId="0" applyAlignment="1" applyBorder="1" applyFont="1">
      <alignment shrinkToFit="0" vertical="bottom" wrapText="0"/>
    </xf>
    <xf borderId="26" fillId="0" fontId="6" numFmtId="0" xfId="0" applyAlignment="1" applyBorder="1" applyFont="1">
      <alignment shrinkToFit="0" vertical="bottom" wrapText="0"/>
    </xf>
    <xf borderId="26" fillId="0" fontId="6" numFmtId="168" xfId="0" applyAlignment="1" applyBorder="1" applyFont="1" applyNumberFormat="1">
      <alignment shrinkToFit="0" vertical="bottom" wrapText="0"/>
    </xf>
    <xf borderId="26" fillId="0" fontId="6" numFmtId="3" xfId="0" applyAlignment="1" applyBorder="1" applyFont="1" applyNumberFormat="1">
      <alignment shrinkToFit="0" vertical="bottom" wrapText="0"/>
    </xf>
    <xf borderId="0" fillId="0" fontId="6" numFmtId="10" xfId="0" applyAlignment="1" applyFont="1" applyNumberFormat="1">
      <alignment shrinkToFit="0" vertical="bottom" wrapText="0"/>
    </xf>
    <xf borderId="26" fillId="0" fontId="6" numFmtId="167" xfId="0" applyAlignment="1" applyBorder="1" applyFont="1" applyNumberFormat="1">
      <alignment shrinkToFit="0" vertical="bottom" wrapText="0"/>
    </xf>
    <xf borderId="26" fillId="0" fontId="16" numFmtId="9" xfId="0" applyAlignment="1" applyBorder="1" applyFont="1" applyNumberFormat="1">
      <alignment shrinkToFit="0" vertical="bottom" wrapText="0"/>
    </xf>
    <xf borderId="0" fillId="0" fontId="48" numFmtId="16" xfId="0" applyAlignment="1" applyFont="1" applyNumberFormat="1">
      <alignment shrinkToFit="0" vertical="bottom" wrapText="0"/>
    </xf>
    <xf borderId="0" fillId="0" fontId="6" numFmtId="174" xfId="0" applyAlignment="1" applyFont="1" applyNumberFormat="1">
      <alignment shrinkToFit="0" vertical="bottom" wrapText="0"/>
    </xf>
    <xf borderId="0" fillId="0" fontId="6" numFmtId="175" xfId="0" applyAlignment="1" applyFont="1" applyNumberFormat="1">
      <alignment shrinkToFit="0" vertical="bottom" wrapText="0"/>
    </xf>
    <xf borderId="0" fillId="0" fontId="6" numFmtId="172" xfId="0" applyAlignment="1" applyFont="1" applyNumberFormat="1">
      <alignment shrinkToFit="0" vertical="bottom" wrapText="0"/>
    </xf>
    <xf borderId="0" fillId="0" fontId="49" numFmtId="0" xfId="0" applyAlignment="1" applyFont="1">
      <alignment horizontal="left" shrinkToFit="0" vertical="bottom" wrapText="0"/>
    </xf>
    <xf borderId="37" fillId="23" fontId="32" numFmtId="0" xfId="0" applyAlignment="1" applyBorder="1" applyFont="1">
      <alignment horizontal="left" shrinkToFit="0" vertical="bottom" wrapText="0"/>
    </xf>
    <xf borderId="37" fillId="3" fontId="6" numFmtId="0" xfId="0" applyAlignment="1" applyBorder="1" applyFont="1">
      <alignment horizontal="left" shrinkToFit="0" vertical="bottom" wrapText="0"/>
    </xf>
    <xf borderId="35" fillId="4" fontId="16" numFmtId="0" xfId="0" applyAlignment="1" applyBorder="1" applyFont="1">
      <alignment shrinkToFit="0" vertical="bottom" wrapText="0"/>
    </xf>
    <xf borderId="35" fillId="4" fontId="33" numFmtId="0" xfId="0" applyAlignment="1" applyBorder="1" applyFont="1">
      <alignment shrinkToFit="0" vertical="bottom" wrapText="0"/>
    </xf>
    <xf borderId="43" fillId="4" fontId="33" numFmtId="0" xfId="0" applyAlignment="1" applyBorder="1" applyFont="1">
      <alignment horizontal="left" shrinkToFit="0" vertical="top" wrapText="1"/>
    </xf>
    <xf borderId="0" fillId="0" fontId="16" numFmtId="0" xfId="0" applyAlignment="1" applyFont="1">
      <alignment horizontal="left" shrinkToFit="0" vertical="bottom" wrapText="0"/>
    </xf>
    <xf borderId="37" fillId="2" fontId="32" numFmtId="0" xfId="0" applyAlignment="1" applyBorder="1" applyFont="1">
      <alignment shrinkToFit="0" vertical="bottom" wrapText="0"/>
    </xf>
    <xf borderId="0" fillId="0" fontId="33" numFmtId="0" xfId="0" applyAlignment="1" applyFont="1">
      <alignment horizontal="left" shrinkToFit="0" vertical="bottom" wrapText="0"/>
    </xf>
    <xf borderId="0" fillId="0" fontId="35" numFmtId="3" xfId="0" applyAlignment="1" applyFont="1" applyNumberFormat="1">
      <alignment shrinkToFit="0" vertical="bottom" wrapText="0"/>
    </xf>
    <xf borderId="0" fillId="0" fontId="6" numFmtId="170" xfId="0" applyAlignment="1" applyFont="1" applyNumberFormat="1">
      <alignment shrinkToFit="0" vertical="bottom" wrapText="0"/>
    </xf>
    <xf borderId="0" fillId="0" fontId="50" numFmtId="3" xfId="0" applyAlignment="1" applyFont="1" applyNumberFormat="1">
      <alignment shrinkToFit="0" vertical="bottom" wrapText="0"/>
    </xf>
    <xf borderId="40" fillId="3" fontId="6" numFmtId="0" xfId="0" applyAlignment="1" applyBorder="1" applyFont="1">
      <alignment shrinkToFit="0" vertical="bottom" wrapText="0"/>
    </xf>
    <xf borderId="33" fillId="0" fontId="6" numFmtId="3" xfId="0" applyAlignment="1" applyBorder="1" applyFont="1" applyNumberFormat="1">
      <alignment shrinkToFit="0" vertical="bottom" wrapText="0"/>
    </xf>
    <xf borderId="35" fillId="3" fontId="34" numFmtId="0" xfId="0" applyAlignment="1" applyBorder="1" applyFont="1">
      <alignment shrinkToFit="0" vertical="bottom" wrapText="0"/>
    </xf>
    <xf borderId="0" fillId="0" fontId="34" numFmtId="3" xfId="0" applyAlignment="1" applyFont="1" applyNumberFormat="1">
      <alignment shrinkToFit="0" vertical="bottom" wrapText="0"/>
    </xf>
    <xf borderId="33" fillId="0" fontId="37" numFmtId="3" xfId="0" applyAlignment="1" applyBorder="1" applyFont="1" applyNumberFormat="1">
      <alignment shrinkToFit="0" vertical="bottom" wrapText="0"/>
    </xf>
    <xf borderId="54" fillId="0" fontId="6" numFmtId="3" xfId="0" applyAlignment="1" applyBorder="1" applyFont="1" applyNumberFormat="1">
      <alignment shrinkToFit="0" vertical="bottom" wrapText="0"/>
    </xf>
    <xf borderId="33" fillId="0" fontId="6" numFmtId="170" xfId="0" applyAlignment="1" applyBorder="1" applyFont="1" applyNumberFormat="1">
      <alignment shrinkToFit="0" vertical="bottom" wrapText="0"/>
    </xf>
    <xf borderId="55" fillId="0" fontId="6" numFmtId="3" xfId="0" applyAlignment="1" applyBorder="1" applyFont="1" applyNumberFormat="1">
      <alignment shrinkToFit="0" vertical="bottom" wrapText="0"/>
    </xf>
    <xf borderId="41" fillId="0" fontId="6" numFmtId="3" xfId="0" applyAlignment="1" applyBorder="1" applyFont="1" applyNumberFormat="1">
      <alignment shrinkToFit="0" vertical="bottom" wrapText="0"/>
    </xf>
    <xf borderId="33" fillId="0" fontId="51" numFmtId="3" xfId="0" applyAlignment="1" applyBorder="1" applyFont="1" applyNumberFormat="1">
      <alignment shrinkToFit="0" vertical="bottom" wrapText="0"/>
    </xf>
    <xf borderId="37" fillId="3" fontId="6" numFmtId="0" xfId="0" applyAlignment="1" applyBorder="1" applyFont="1">
      <alignment shrinkToFit="0" vertical="bottom" wrapText="0"/>
    </xf>
    <xf borderId="35" fillId="3" fontId="16" numFmtId="0" xfId="0" applyAlignment="1" applyBorder="1" applyFont="1">
      <alignment shrinkToFit="0" vertical="bottom" wrapText="0"/>
    </xf>
    <xf borderId="56" fillId="10" fontId="35" numFmtId="3" xfId="0" applyAlignment="1" applyBorder="1" applyFont="1" applyNumberFormat="1">
      <alignment horizontal="right" shrinkToFit="0" vertical="top" wrapText="0"/>
    </xf>
    <xf borderId="41" fillId="10" fontId="6" numFmtId="170" xfId="0" applyAlignment="1" applyBorder="1" applyFont="1" applyNumberFormat="1">
      <alignment shrinkToFit="0" vertical="bottom" wrapText="0"/>
    </xf>
    <xf borderId="26" fillId="0" fontId="6" numFmtId="9" xfId="0" applyAlignment="1" applyBorder="1" applyFont="1" applyNumberFormat="1">
      <alignment shrinkToFit="0" vertical="bottom" wrapText="0"/>
    </xf>
    <xf borderId="37" fillId="24" fontId="32" numFmtId="0" xfId="0" applyAlignment="1" applyBorder="1" applyFill="1" applyFont="1">
      <alignment horizontal="left" shrinkToFit="0" vertical="bottom" wrapText="0"/>
    </xf>
    <xf borderId="35" fillId="24" fontId="6" numFmtId="0" xfId="0" applyAlignment="1" applyBorder="1" applyFont="1">
      <alignment shrinkToFit="0" vertical="bottom" wrapText="0"/>
    </xf>
    <xf borderId="0" fillId="0" fontId="16" numFmtId="16" xfId="0" applyAlignment="1" applyFont="1" applyNumberFormat="1">
      <alignment horizontal="center" shrinkToFit="0" vertical="bottom" wrapText="1"/>
    </xf>
    <xf borderId="35" fillId="6" fontId="16" numFmtId="3" xfId="0" applyAlignment="1" applyBorder="1" applyFont="1" applyNumberFormat="1">
      <alignment shrinkToFit="0" vertical="bottom" wrapText="0"/>
    </xf>
    <xf borderId="35" fillId="3" fontId="6" numFmtId="176" xfId="0" applyAlignment="1" applyBorder="1" applyFont="1" applyNumberFormat="1">
      <alignment shrinkToFit="0" vertical="bottom" wrapText="0"/>
    </xf>
    <xf borderId="41" fillId="3" fontId="6" numFmtId="176" xfId="0" applyAlignment="1" applyBorder="1" applyFont="1" applyNumberFormat="1">
      <alignment shrinkToFit="0" vertical="bottom" wrapText="0"/>
    </xf>
    <xf borderId="0" fillId="0" fontId="35" numFmtId="176" xfId="0" applyAlignment="1" applyFont="1" applyNumberFormat="1">
      <alignment shrinkToFit="0" vertical="bottom" wrapText="0"/>
    </xf>
    <xf borderId="0" fillId="0" fontId="6" numFmtId="176" xfId="0" applyAlignment="1" applyFont="1" applyNumberFormat="1">
      <alignment shrinkToFit="0" vertical="bottom" wrapText="0"/>
    </xf>
    <xf borderId="35" fillId="12" fontId="52" numFmtId="0" xfId="0" applyAlignment="1" applyBorder="1" applyFont="1">
      <alignment shrinkToFit="0" vertical="bottom" wrapText="0"/>
    </xf>
    <xf borderId="35" fillId="5" fontId="6" numFmtId="177" xfId="0" applyAlignment="1" applyBorder="1" applyFont="1" applyNumberFormat="1">
      <alignment shrinkToFit="0" vertical="bottom" wrapText="0"/>
    </xf>
    <xf borderId="35" fillId="5" fontId="6" numFmtId="178" xfId="0" applyAlignment="1" applyBorder="1" applyFont="1" applyNumberFormat="1">
      <alignment shrinkToFit="0" vertical="bottom" wrapText="0"/>
    </xf>
    <xf borderId="0" fillId="0" fontId="6" numFmtId="178" xfId="0" applyAlignment="1" applyFont="1" applyNumberFormat="1">
      <alignment shrinkToFit="0" vertical="bottom" wrapText="0"/>
    </xf>
    <xf borderId="35" fillId="3" fontId="6" numFmtId="179" xfId="0" applyAlignment="1" applyBorder="1" applyFont="1" applyNumberFormat="1">
      <alignment shrinkToFit="0" vertical="bottom" wrapText="0"/>
    </xf>
    <xf borderId="35" fillId="4" fontId="6" numFmtId="180" xfId="0" applyAlignment="1" applyBorder="1" applyFont="1" applyNumberFormat="1">
      <alignment shrinkToFit="0" vertical="bottom" wrapText="0"/>
    </xf>
    <xf borderId="35" fillId="4" fontId="6" numFmtId="178" xfId="0" applyAlignment="1" applyBorder="1" applyFont="1" applyNumberFormat="1">
      <alignment shrinkToFit="0" vertical="bottom" wrapText="0"/>
    </xf>
    <xf borderId="35" fillId="4" fontId="6" numFmtId="3" xfId="0" applyAlignment="1" applyBorder="1" applyFont="1" applyNumberFormat="1">
      <alignment shrinkToFit="0" vertical="bottom" wrapText="0"/>
    </xf>
    <xf borderId="35" fillId="4" fontId="6" numFmtId="176" xfId="0" applyAlignment="1" applyBorder="1" applyFont="1" applyNumberFormat="1">
      <alignment shrinkToFit="0" vertical="bottom" wrapText="0"/>
    </xf>
    <xf borderId="35" fillId="25" fontId="16" numFmtId="0" xfId="0" applyAlignment="1" applyBorder="1" applyFill="1" applyFont="1">
      <alignment shrinkToFit="0" vertical="bottom" wrapText="0"/>
    </xf>
    <xf borderId="35" fillId="25" fontId="16" numFmtId="166" xfId="0" applyAlignment="1" applyBorder="1" applyFont="1" applyNumberFormat="1">
      <alignment shrinkToFit="0" vertical="bottom" wrapText="0"/>
    </xf>
    <xf borderId="37" fillId="7" fontId="6" numFmtId="0" xfId="0" applyAlignment="1" applyBorder="1" applyFont="1">
      <alignment horizontal="left" shrinkToFit="0" vertical="top" wrapText="1"/>
    </xf>
    <xf borderId="0" fillId="0" fontId="6" numFmtId="0" xfId="0" applyAlignment="1" applyFont="1">
      <alignment horizontal="left" shrinkToFit="0" vertical="top" wrapText="1"/>
    </xf>
    <xf borderId="35" fillId="3" fontId="6" numFmtId="181" xfId="0" applyAlignment="1" applyBorder="1" applyFont="1" applyNumberFormat="1">
      <alignment shrinkToFit="0" vertical="bottom" wrapText="0"/>
    </xf>
    <xf borderId="0" fillId="0" fontId="6" numFmtId="181" xfId="0" applyAlignment="1" applyFont="1" applyNumberFormat="1">
      <alignment shrinkToFit="0" vertical="bottom" wrapText="0"/>
    </xf>
    <xf borderId="35" fillId="4" fontId="6" numFmtId="1" xfId="0" applyAlignment="1" applyBorder="1" applyFont="1" applyNumberFormat="1">
      <alignment shrinkToFit="0" vertical="bottom" wrapText="0"/>
    </xf>
    <xf borderId="35" fillId="4" fontId="6" numFmtId="179" xfId="0" applyAlignment="1" applyBorder="1" applyFont="1" applyNumberFormat="1">
      <alignment shrinkToFit="0" vertical="bottom" wrapText="0"/>
    </xf>
    <xf borderId="0" fillId="0" fontId="6" numFmtId="180" xfId="0" applyAlignment="1" applyFont="1" applyNumberFormat="1">
      <alignment shrinkToFit="0" vertical="bottom" wrapText="0"/>
    </xf>
    <xf borderId="0" fillId="0" fontId="6" numFmtId="182" xfId="0" applyAlignment="1" applyFont="1" applyNumberFormat="1">
      <alignment shrinkToFit="0" vertical="bottom" wrapText="0"/>
    </xf>
    <xf borderId="0" fillId="0" fontId="16" numFmtId="38" xfId="0" applyAlignment="1" applyFont="1" applyNumberFormat="1">
      <alignment shrinkToFit="0" vertical="bottom" wrapText="0"/>
    </xf>
    <xf borderId="0" fillId="0" fontId="6" numFmtId="183" xfId="0" applyAlignment="1" applyFont="1" applyNumberFormat="1">
      <alignment shrinkToFit="0" vertical="bottom" wrapText="0"/>
    </xf>
    <xf borderId="0" fillId="0" fontId="16" numFmtId="16" xfId="0" applyAlignment="1" applyFont="1" applyNumberFormat="1">
      <alignment shrinkToFit="0" vertical="bottom" wrapText="1"/>
    </xf>
    <xf borderId="35" fillId="10" fontId="6" numFmtId="181" xfId="0" applyAlignment="1" applyBorder="1" applyFont="1" applyNumberFormat="1">
      <alignment shrinkToFit="0" vertical="bottom" wrapText="0"/>
    </xf>
    <xf borderId="35" fillId="10" fontId="53" numFmtId="181" xfId="0" applyAlignment="1" applyBorder="1" applyFont="1" applyNumberFormat="1">
      <alignment shrinkToFit="0" vertical="bottom" wrapText="0"/>
    </xf>
    <xf borderId="35" fillId="10" fontId="6" numFmtId="176" xfId="0" applyAlignment="1" applyBorder="1" applyFont="1" applyNumberFormat="1">
      <alignment shrinkToFit="0" vertical="bottom" wrapText="0"/>
    </xf>
    <xf borderId="35" fillId="10" fontId="53" numFmtId="176" xfId="0" applyAlignment="1" applyBorder="1" applyFont="1" applyNumberFormat="1">
      <alignment shrinkToFit="0" vertical="bottom" wrapText="0"/>
    </xf>
    <xf borderId="35" fillId="10" fontId="6" numFmtId="183" xfId="0" applyAlignment="1" applyBorder="1" applyFont="1" applyNumberFormat="1">
      <alignment shrinkToFit="0" vertical="bottom" wrapText="0"/>
    </xf>
    <xf borderId="35" fillId="12" fontId="6" numFmtId="0" xfId="0" applyAlignment="1" applyBorder="1" applyFont="1">
      <alignment shrinkToFit="0" vertical="bottom" wrapText="0"/>
    </xf>
    <xf borderId="35" fillId="3" fontId="6" numFmtId="9" xfId="0" applyAlignment="1" applyBorder="1" applyFont="1" applyNumberFormat="1">
      <alignment shrinkToFit="0" vertical="bottom" wrapText="0"/>
    </xf>
    <xf borderId="0" fillId="0" fontId="6" numFmtId="184" xfId="0" applyAlignment="1" applyFont="1" applyNumberFormat="1">
      <alignment shrinkToFit="0" vertical="bottom" wrapText="0"/>
    </xf>
    <xf borderId="0" fillId="0" fontId="54" numFmtId="0" xfId="0" applyAlignment="1" applyFont="1">
      <alignment shrinkToFit="0" vertical="bottom" wrapText="0"/>
    </xf>
    <xf borderId="35" fillId="5" fontId="6" numFmtId="3" xfId="0" applyAlignment="1" applyBorder="1" applyFont="1" applyNumberFormat="1">
      <alignment shrinkToFit="0" vertical="bottom" wrapText="0"/>
    </xf>
    <xf borderId="35" fillId="5" fontId="6" numFmtId="166" xfId="0" applyAlignment="1" applyBorder="1" applyFont="1" applyNumberFormat="1">
      <alignment shrinkToFit="0" vertical="bottom" wrapText="0"/>
    </xf>
    <xf borderId="35" fillId="26" fontId="6" numFmtId="0" xfId="0" applyAlignment="1" applyBorder="1" applyFill="1" applyFont="1">
      <alignment shrinkToFit="0" vertical="bottom" wrapText="0"/>
    </xf>
    <xf borderId="35" fillId="4" fontId="6" numFmtId="4" xfId="0" applyAlignment="1" applyBorder="1" applyFont="1" applyNumberFormat="1">
      <alignment shrinkToFit="0" vertical="bottom" wrapText="0"/>
    </xf>
    <xf borderId="0" fillId="0" fontId="6" numFmtId="185" xfId="0" applyAlignment="1" applyFont="1" applyNumberFormat="1">
      <alignment shrinkToFit="0" vertical="bottom" wrapText="0"/>
    </xf>
    <xf borderId="0" fillId="0" fontId="6" numFmtId="165" xfId="0" applyAlignment="1" applyFont="1" applyNumberFormat="1">
      <alignment shrinkToFit="0" vertical="bottom" wrapText="0"/>
    </xf>
    <xf borderId="0" fillId="0" fontId="6" numFmtId="186" xfId="0" applyAlignment="1" applyFont="1" applyNumberFormat="1">
      <alignment shrinkToFit="0" vertical="bottom" wrapText="0"/>
    </xf>
    <xf borderId="33" fillId="0" fontId="55" numFmtId="0" xfId="0" applyAlignment="1" applyBorder="1" applyFont="1">
      <alignment shrinkToFit="0" vertical="bottom" wrapText="0"/>
    </xf>
    <xf borderId="0" fillId="0" fontId="36" numFmtId="183" xfId="0" applyAlignment="1" applyFont="1" applyNumberFormat="1">
      <alignment shrinkToFit="0" vertical="bottom" wrapText="0"/>
    </xf>
    <xf borderId="0" fillId="0" fontId="36" numFmtId="0" xfId="0" applyAlignment="1" applyFont="1">
      <alignment shrinkToFit="0" vertical="bottom" wrapText="0"/>
    </xf>
    <xf borderId="33" fillId="0" fontId="36" numFmtId="183" xfId="0" applyAlignment="1" applyBorder="1" applyFont="1" applyNumberFormat="1">
      <alignment shrinkToFit="0" vertical="bottom" wrapText="0"/>
    </xf>
    <xf borderId="33" fillId="0" fontId="36" numFmtId="0" xfId="0" applyAlignment="1" applyBorder="1" applyFont="1">
      <alignment shrinkToFit="0" vertical="bottom" wrapText="0"/>
    </xf>
    <xf borderId="0" fillId="0" fontId="36" numFmtId="1" xfId="0" applyAlignment="1" applyFont="1" applyNumberFormat="1">
      <alignment shrinkToFit="0" vertical="bottom" wrapText="0"/>
    </xf>
    <xf borderId="33" fillId="0" fontId="36" numFmtId="1" xfId="0" applyAlignment="1" applyBorder="1" applyFont="1" applyNumberFormat="1">
      <alignment shrinkToFit="0" vertical="bottom" wrapText="0"/>
    </xf>
    <xf borderId="0" fillId="0" fontId="6" numFmtId="1" xfId="0" applyAlignment="1" applyFont="1" applyNumberFormat="1">
      <alignment shrinkToFit="0" vertical="bottom" wrapText="0"/>
    </xf>
    <xf borderId="0" fillId="0" fontId="18" numFmtId="0" xfId="0" applyAlignment="1" applyFont="1">
      <alignment horizontal="left" shrinkToFit="0" vertical="bottom" wrapText="0"/>
    </xf>
    <xf borderId="0" fillId="0" fontId="16" numFmtId="164" xfId="0" applyAlignment="1" applyFont="1" applyNumberFormat="1">
      <alignment shrinkToFit="0" vertical="bottom" wrapText="0"/>
    </xf>
    <xf borderId="35" fillId="7" fontId="6" numFmtId="3" xfId="0" applyAlignment="1" applyBorder="1" applyFont="1" applyNumberFormat="1">
      <alignment shrinkToFit="0" vertical="bottom" wrapText="0"/>
    </xf>
    <xf borderId="35" fillId="7" fontId="6" numFmtId="4" xfId="0" applyAlignment="1" applyBorder="1" applyFont="1" applyNumberFormat="1">
      <alignment shrinkToFit="0" vertical="bottom" wrapText="0"/>
    </xf>
    <xf borderId="35" fillId="7" fontId="6" numFmtId="182" xfId="0" applyAlignment="1" applyBorder="1" applyFont="1" applyNumberFormat="1">
      <alignment shrinkToFit="0" vertical="bottom" wrapText="0"/>
    </xf>
    <xf borderId="35" fillId="7" fontId="6" numFmtId="174" xfId="0" applyAlignment="1" applyBorder="1" applyFont="1" applyNumberFormat="1">
      <alignment shrinkToFit="0" vertical="bottom" wrapText="0"/>
    </xf>
    <xf borderId="0" fillId="0" fontId="16" numFmtId="167" xfId="0" applyAlignment="1" applyFont="1" applyNumberFormat="1">
      <alignment shrinkToFit="0" vertical="bottom" wrapText="0"/>
    </xf>
    <xf borderId="0" fillId="0" fontId="16" numFmtId="0" xfId="0" applyAlignment="1" applyFont="1">
      <alignment horizontal="left" shrinkToFit="1" vertical="bottom" wrapText="0"/>
    </xf>
    <xf borderId="43" fillId="5" fontId="6" numFmtId="0" xfId="0" applyAlignment="1" applyBorder="1" applyFont="1">
      <alignment horizontal="left" shrinkToFit="0" vertical="bottom" wrapText="1"/>
    </xf>
    <xf borderId="0" fillId="0" fontId="56" numFmtId="0" xfId="0" applyAlignment="1" applyFont="1">
      <alignment horizontal="left" shrinkToFit="0" vertical="bottom" wrapText="1"/>
    </xf>
    <xf borderId="37" fillId="4" fontId="6" numFmtId="0" xfId="0" applyAlignment="1" applyBorder="1" applyFont="1">
      <alignment horizontal="left" shrinkToFit="0" vertical="bottom" wrapText="0"/>
    </xf>
    <xf borderId="43" fillId="5" fontId="6" numFmtId="0" xfId="0" applyAlignment="1" applyBorder="1" applyFont="1">
      <alignment horizontal="left" shrinkToFit="0" vertical="top" wrapText="1"/>
    </xf>
    <xf borderId="35" fillId="5" fontId="16" numFmtId="0" xfId="0" applyAlignment="1" applyBorder="1" applyFont="1">
      <alignment shrinkToFit="0" vertical="bottom" wrapText="0"/>
    </xf>
    <xf borderId="37" fillId="5" fontId="57" numFmtId="0" xfId="0" applyAlignment="1" applyBorder="1" applyFont="1">
      <alignment horizontal="left" shrinkToFit="0" vertical="top" wrapText="1"/>
    </xf>
    <xf borderId="0" fillId="0" fontId="58" numFmtId="0" xfId="0" applyAlignment="1" applyFont="1">
      <alignment shrinkToFit="0" vertical="bottom" wrapText="0"/>
    </xf>
    <xf borderId="0" fillId="0" fontId="18" numFmtId="0" xfId="0" applyAlignment="1" applyFont="1">
      <alignment horizontal="left" shrinkToFit="0" vertical="bottom" wrapText="1"/>
    </xf>
    <xf borderId="0" fillId="0" fontId="39" numFmtId="0" xfId="0" applyAlignment="1" applyFont="1">
      <alignment shrinkToFit="0" vertical="bottom" wrapText="1"/>
    </xf>
    <xf borderId="0" fillId="0" fontId="6" numFmtId="0" xfId="0" applyAlignment="1" applyFont="1">
      <alignment horizontal="center" shrinkToFit="0" vertical="top" wrapText="1"/>
    </xf>
    <xf borderId="33" fillId="0" fontId="6" numFmtId="0" xfId="0" applyAlignment="1" applyBorder="1" applyFont="1">
      <alignment shrinkToFit="0" vertical="bottom" wrapText="1"/>
    </xf>
    <xf borderId="0" fillId="0" fontId="6" numFmtId="176" xfId="0" applyAlignment="1" applyFont="1" applyNumberFormat="1">
      <alignment shrinkToFit="0" vertical="bottom" wrapText="1"/>
    </xf>
    <xf borderId="0" fillId="0" fontId="6" numFmtId="178" xfId="0" applyAlignment="1" applyFont="1" applyNumberFormat="1">
      <alignment shrinkToFit="0" vertical="bottom" wrapText="1"/>
    </xf>
    <xf borderId="35" fillId="27" fontId="6" numFmtId="0" xfId="0" applyAlignment="1" applyBorder="1" applyFill="1" applyFont="1">
      <alignment shrinkToFit="0" vertical="bottom" wrapText="1"/>
    </xf>
    <xf borderId="0" fillId="0" fontId="6" numFmtId="171" xfId="0" applyAlignment="1" applyFont="1" applyNumberFormat="1">
      <alignment shrinkToFit="0" vertical="bottom" wrapText="1"/>
    </xf>
    <xf borderId="50" fillId="28" fontId="6" numFmtId="171" xfId="0" applyAlignment="1" applyBorder="1" applyFill="1" applyFont="1" applyNumberFormat="1">
      <alignment shrinkToFit="0" vertical="bottom" wrapText="1"/>
    </xf>
    <xf borderId="0" fillId="0" fontId="6" numFmtId="10" xfId="0" applyAlignment="1" applyFont="1" applyNumberFormat="1">
      <alignment shrinkToFit="0" vertical="bottom" wrapText="1"/>
    </xf>
    <xf borderId="0" fillId="0" fontId="16" numFmtId="0" xfId="0" applyAlignment="1" applyFont="1">
      <alignment shrinkToFit="0" vertical="center" wrapText="0"/>
    </xf>
    <xf borderId="0" fillId="0" fontId="6" numFmtId="0" xfId="0" applyAlignment="1" applyFont="1">
      <alignment horizontal="left" shrinkToFit="0" vertical="center" wrapText="0"/>
    </xf>
    <xf borderId="37" fillId="29" fontId="32" numFmtId="0" xfId="0" applyAlignment="1" applyBorder="1" applyFill="1" applyFont="1">
      <alignment shrinkToFit="0" vertical="bottom" wrapText="0"/>
    </xf>
    <xf borderId="0" fillId="0" fontId="16" numFmtId="0" xfId="0" applyAlignment="1" applyFont="1">
      <alignment shrinkToFit="0" vertical="bottom" wrapText="1"/>
    </xf>
    <xf borderId="0" fillId="0" fontId="59" numFmtId="0" xfId="0" applyAlignment="1" applyFont="1">
      <alignment shrinkToFit="0" vertical="bottom" wrapText="0"/>
    </xf>
    <xf borderId="57" fillId="23" fontId="6" numFmtId="167" xfId="0" applyAlignment="1" applyBorder="1" applyFont="1" applyNumberFormat="1">
      <alignment shrinkToFit="0" vertical="bottom" wrapText="0"/>
    </xf>
    <xf borderId="35" fillId="3" fontId="6" numFmtId="167" xfId="0" applyAlignment="1" applyBorder="1" applyFont="1" applyNumberFormat="1">
      <alignment shrinkToFit="0" vertical="bottom" wrapText="0"/>
    </xf>
    <xf borderId="41" fillId="3" fontId="6" numFmtId="9" xfId="0" applyAlignment="1" applyBorder="1" applyFont="1" applyNumberFormat="1">
      <alignment shrinkToFit="0" vertical="bottom" wrapText="0"/>
    </xf>
    <xf borderId="58" fillId="23" fontId="6" numFmtId="167" xfId="0" applyAlignment="1" applyBorder="1" applyFont="1" applyNumberFormat="1">
      <alignment shrinkToFit="0" vertical="bottom" wrapText="0"/>
    </xf>
    <xf borderId="59" fillId="23" fontId="6" numFmtId="167" xfId="0" applyAlignment="1" applyBorder="1" applyFont="1" applyNumberFormat="1">
      <alignment shrinkToFit="0" vertical="bottom" wrapText="0"/>
    </xf>
    <xf borderId="35" fillId="30" fontId="6" numFmtId="167" xfId="0" applyAlignment="1" applyBorder="1" applyFill="1" applyFont="1" applyNumberFormat="1">
      <alignment shrinkToFit="0" vertical="bottom" wrapText="0"/>
    </xf>
    <xf borderId="37" fillId="29" fontId="32" numFmtId="0" xfId="0" applyAlignment="1" applyBorder="1" applyFont="1">
      <alignment horizontal="left" shrinkToFit="0" vertical="bottom" wrapText="0"/>
    </xf>
    <xf borderId="0" fillId="0" fontId="60" numFmtId="0" xfId="0" applyAlignment="1" applyFont="1">
      <alignment shrinkToFit="0" vertical="bottom" wrapText="1"/>
    </xf>
    <xf borderId="37" fillId="3" fontId="6" numFmtId="0" xfId="0" applyAlignment="1" applyBorder="1" applyFont="1">
      <alignment horizontal="left" shrinkToFit="0" vertical="bottom" wrapText="1"/>
    </xf>
    <xf borderId="35" fillId="3" fontId="6" numFmtId="0" xfId="0" applyAlignment="1" applyBorder="1" applyFont="1">
      <alignment shrinkToFit="0" vertical="bottom" wrapText="1"/>
    </xf>
    <xf borderId="35" fillId="3" fontId="6" numFmtId="0" xfId="0" applyAlignment="1" applyBorder="1" applyFont="1">
      <alignment horizontal="left" shrinkToFit="0" vertical="bottom" wrapText="1"/>
    </xf>
    <xf borderId="43" fillId="31" fontId="61" numFmtId="0" xfId="0" applyAlignment="1" applyBorder="1" applyFill="1" applyFont="1">
      <alignment shrinkToFit="0" vertical="bottom" wrapText="1"/>
    </xf>
    <xf borderId="0" fillId="0" fontId="62" numFmtId="0" xfId="0" applyAlignment="1" applyFont="1">
      <alignment shrinkToFit="0" vertical="bottom" wrapText="0"/>
    </xf>
    <xf borderId="0" fillId="0" fontId="16" numFmtId="0" xfId="0" applyAlignment="1" applyFont="1">
      <alignment horizontal="center" shrinkToFit="0" vertical="bottom" wrapText="1"/>
    </xf>
    <xf borderId="36" fillId="6" fontId="16" numFmtId="4" xfId="0" applyAlignment="1" applyBorder="1" applyFont="1" applyNumberFormat="1">
      <alignment shrinkToFit="0" vertical="bottom" wrapText="0"/>
    </xf>
    <xf borderId="35" fillId="3" fontId="6" numFmtId="3" xfId="0" applyAlignment="1" applyBorder="1" applyFont="1" applyNumberFormat="1">
      <alignment shrinkToFit="0" vertical="bottom" wrapText="1"/>
    </xf>
    <xf borderId="35" fillId="3" fontId="16" numFmtId="4" xfId="0" applyAlignment="1" applyBorder="1" applyFont="1" applyNumberFormat="1">
      <alignment shrinkToFit="0" vertical="bottom" wrapText="0"/>
    </xf>
    <xf borderId="60" fillId="3" fontId="6" numFmtId="0" xfId="0" applyAlignment="1" applyBorder="1" applyFont="1">
      <alignment shrinkToFit="0" vertical="bottom" wrapText="0"/>
    </xf>
    <xf borderId="60" fillId="3" fontId="6" numFmtId="3" xfId="0" applyAlignment="1" applyBorder="1" applyFont="1" applyNumberFormat="1">
      <alignment shrinkToFit="0" vertical="bottom" wrapText="0"/>
    </xf>
    <xf borderId="60" fillId="3" fontId="6" numFmtId="3" xfId="0" applyAlignment="1" applyBorder="1" applyFont="1" applyNumberFormat="1">
      <alignment shrinkToFit="0" vertical="bottom" wrapText="1"/>
    </xf>
    <xf borderId="60" fillId="3" fontId="16" numFmtId="3" xfId="0" applyAlignment="1" applyBorder="1" applyFont="1" applyNumberFormat="1">
      <alignment shrinkToFit="0" vertical="bottom" wrapText="0"/>
    </xf>
    <xf borderId="35" fillId="6" fontId="16" numFmtId="4" xfId="0" applyAlignment="1" applyBorder="1" applyFont="1" applyNumberFormat="1">
      <alignment shrinkToFit="0" vertical="bottom" wrapText="0"/>
    </xf>
    <xf borderId="35" fillId="3" fontId="6" numFmtId="2" xfId="0" applyAlignment="1" applyBorder="1" applyFont="1" applyNumberFormat="1">
      <alignment shrinkToFit="0" vertical="bottom" wrapText="0"/>
    </xf>
    <xf borderId="35" fillId="6" fontId="16" numFmtId="2" xfId="0" applyAlignment="1" applyBorder="1" applyFont="1" applyNumberFormat="1">
      <alignment shrinkToFit="0" vertical="bottom" wrapText="0"/>
    </xf>
    <xf borderId="35" fillId="3" fontId="6" numFmtId="171" xfId="0" applyAlignment="1" applyBorder="1" applyFont="1" applyNumberFormat="1">
      <alignment shrinkToFit="0" vertical="bottom" wrapText="0"/>
    </xf>
    <xf borderId="0" fillId="0" fontId="63" numFmtId="16" xfId="0" applyAlignment="1" applyFont="1" applyNumberFormat="1">
      <alignment shrinkToFit="0" vertical="bottom" wrapText="0"/>
    </xf>
    <xf borderId="35" fillId="3" fontId="6" numFmtId="1" xfId="0" applyAlignment="1" applyBorder="1" applyFont="1" applyNumberFormat="1">
      <alignment shrinkToFit="0" vertical="bottom" wrapText="0"/>
    </xf>
    <xf borderId="35" fillId="6" fontId="16" numFmtId="171" xfId="0" applyAlignment="1" applyBorder="1" applyFont="1" applyNumberFormat="1">
      <alignment shrinkToFit="0" vertical="bottom" wrapText="0"/>
    </xf>
    <xf borderId="0" fillId="0" fontId="6" numFmtId="187" xfId="0" applyAlignment="1" applyFont="1" applyNumberFormat="1">
      <alignment shrinkToFit="0" vertical="bottom" wrapText="0"/>
    </xf>
    <xf borderId="43" fillId="31" fontId="24" numFmtId="0" xfId="0" applyAlignment="1" applyBorder="1" applyFont="1">
      <alignment horizontal="left" shrinkToFit="0" vertical="bottom" wrapText="1"/>
    </xf>
    <xf borderId="0" fillId="0" fontId="61" numFmtId="0" xfId="0" applyAlignment="1" applyFont="1">
      <alignment shrinkToFit="0" vertical="bottom" wrapText="1"/>
    </xf>
    <xf borderId="35" fillId="5" fontId="24" numFmtId="0" xfId="0" applyAlignment="1" applyBorder="1" applyFont="1">
      <alignment horizontal="left" shrinkToFit="0" vertical="bottom" wrapText="0"/>
    </xf>
    <xf borderId="35" fillId="2" fontId="16" numFmtId="16" xfId="0" applyAlignment="1" applyBorder="1" applyFont="1" applyNumberFormat="1">
      <alignment shrinkToFit="0" vertical="bottom" wrapText="0"/>
    </xf>
    <xf borderId="35" fillId="2" fontId="6" numFmtId="16" xfId="0" applyAlignment="1" applyBorder="1" applyFont="1" applyNumberFormat="1">
      <alignment shrinkToFit="0" vertical="bottom" wrapText="0"/>
    </xf>
    <xf borderId="35" fillId="32" fontId="16" numFmtId="16" xfId="0" applyAlignment="1" applyBorder="1" applyFill="1" applyFont="1" applyNumberFormat="1">
      <alignment shrinkToFit="0" vertical="bottom" wrapText="0"/>
    </xf>
    <xf borderId="35" fillId="32" fontId="6" numFmtId="0" xfId="0" applyAlignment="1" applyBorder="1" applyFont="1">
      <alignment shrinkToFit="0" vertical="bottom" wrapText="0"/>
    </xf>
    <xf borderId="35" fillId="5" fontId="16" numFmtId="16" xfId="0" applyAlignment="1" applyBorder="1" applyFont="1" applyNumberFormat="1">
      <alignment shrinkToFit="0" vertical="bottom" wrapText="0"/>
    </xf>
    <xf borderId="35" fillId="2" fontId="6" numFmtId="0" xfId="0" applyAlignment="1" applyBorder="1" applyFont="1">
      <alignment shrinkToFit="0" vertical="bottom" wrapText="0"/>
    </xf>
    <xf borderId="35" fillId="33" fontId="64" numFmtId="0" xfId="0" applyAlignment="1" applyBorder="1" applyFill="1" applyFont="1">
      <alignment shrinkToFit="0" vertical="bottom" wrapText="0"/>
    </xf>
    <xf borderId="35" fillId="33" fontId="6" numFmtId="1" xfId="0" applyAlignment="1" applyBorder="1" applyFont="1" applyNumberFormat="1">
      <alignment shrinkToFit="0" vertical="bottom" wrapText="0"/>
    </xf>
    <xf borderId="35" fillId="33" fontId="6" numFmtId="0" xfId="0" applyAlignment="1" applyBorder="1" applyFont="1">
      <alignment shrinkToFit="0" vertical="bottom" wrapText="0"/>
    </xf>
    <xf borderId="35" fillId="33" fontId="6" numFmtId="2" xfId="0" applyAlignment="1" applyBorder="1" applyFont="1" applyNumberFormat="1">
      <alignment shrinkToFit="0" vertical="bottom" wrapText="0"/>
    </xf>
    <xf borderId="35" fillId="32" fontId="6" numFmtId="2" xfId="0" applyAlignment="1" applyBorder="1" applyFont="1" applyNumberFormat="1">
      <alignment shrinkToFit="0" vertical="bottom" wrapText="0"/>
    </xf>
    <xf borderId="35" fillId="5" fontId="6" numFmtId="2" xfId="0" applyAlignment="1" applyBorder="1" applyFont="1" applyNumberFormat="1">
      <alignment shrinkToFit="0" vertical="bottom" wrapText="0"/>
    </xf>
    <xf borderId="35" fillId="5" fontId="6" numFmtId="168" xfId="0" applyAlignment="1" applyBorder="1" applyFont="1" applyNumberFormat="1">
      <alignment shrinkToFit="0" vertical="bottom" wrapText="0"/>
    </xf>
    <xf borderId="17" fillId="5" fontId="6" numFmtId="4" xfId="0" applyAlignment="1" applyBorder="1" applyFont="1" applyNumberFormat="1">
      <alignment shrinkToFit="0" vertical="bottom" wrapText="0"/>
    </xf>
    <xf borderId="35" fillId="4" fontId="6" numFmtId="166" xfId="0" applyAlignment="1" applyBorder="1" applyFont="1" applyNumberFormat="1">
      <alignment horizontal="right" shrinkToFit="0" vertical="bottom" wrapText="0"/>
    </xf>
    <xf borderId="35" fillId="34" fontId="33" numFmtId="0" xfId="0" applyAlignment="1" applyBorder="1" applyFill="1" applyFont="1">
      <alignment shrinkToFit="0" vertical="bottom" wrapText="0"/>
    </xf>
    <xf borderId="35" fillId="34" fontId="6" numFmtId="0" xfId="0" applyAlignment="1" applyBorder="1" applyFont="1">
      <alignment shrinkToFit="0" vertical="bottom" wrapText="0"/>
    </xf>
    <xf borderId="35" fillId="34" fontId="6" numFmtId="166" xfId="0" applyAlignment="1" applyBorder="1" applyFont="1" applyNumberFormat="1">
      <alignment shrinkToFit="0" vertical="bottom" wrapText="0"/>
    </xf>
    <xf borderId="35" fillId="7" fontId="6" numFmtId="1" xfId="0" applyAlignment="1" applyBorder="1" applyFont="1" applyNumberFormat="1">
      <alignment shrinkToFit="0" vertical="bottom" wrapText="0"/>
    </xf>
    <xf borderId="35" fillId="7" fontId="6" numFmtId="171" xfId="0" applyAlignment="1" applyBorder="1" applyFont="1" applyNumberFormat="1">
      <alignment shrinkToFit="0" vertical="bottom" wrapText="0"/>
    </xf>
    <xf borderId="37" fillId="5" fontId="24" numFmtId="0" xfId="0" applyAlignment="1" applyBorder="1" applyFont="1">
      <alignment horizontal="left" shrinkToFit="0" vertical="bottom" wrapText="0"/>
    </xf>
    <xf borderId="0" fillId="0" fontId="6" numFmtId="0" xfId="0" applyAlignment="1" applyFont="1">
      <alignment shrinkToFit="1" vertical="bottom" wrapText="0"/>
    </xf>
    <xf borderId="0" fillId="0" fontId="6" numFmtId="0" xfId="0" applyAlignment="1" applyFont="1">
      <alignment horizontal="center" shrinkToFit="0" vertical="bottom" wrapText="1"/>
    </xf>
    <xf borderId="37" fillId="33" fontId="6" numFmtId="0" xfId="0" applyAlignment="1" applyBorder="1" applyFont="1">
      <alignment horizontal="left" shrinkToFit="0" vertical="bottom" wrapText="1"/>
    </xf>
    <xf borderId="37" fillId="33" fontId="6" numFmtId="0" xfId="0" applyAlignment="1" applyBorder="1" applyFont="1">
      <alignment horizontal="left" shrinkToFit="0" vertical="bottom" wrapText="0"/>
    </xf>
    <xf borderId="35" fillId="3" fontId="6" numFmtId="0" xfId="0" applyAlignment="1" applyBorder="1" applyFont="1">
      <alignment horizontal="left" shrinkToFit="0" vertical="bottom" wrapText="0"/>
    </xf>
    <xf borderId="43" fillId="3" fontId="6" numFmtId="0" xfId="0" applyAlignment="1" applyBorder="1" applyFont="1">
      <alignment horizontal="left" shrinkToFit="0" vertical="top" wrapText="1"/>
    </xf>
    <xf borderId="37" fillId="4" fontId="6" numFmtId="0" xfId="0" applyAlignment="1" applyBorder="1" applyFont="1">
      <alignment horizontal="left" shrinkToFit="0" vertical="top" wrapText="1"/>
    </xf>
    <xf borderId="35" fillId="4" fontId="6" numFmtId="0" xfId="0" applyAlignment="1" applyBorder="1" applyFont="1">
      <alignment horizontal="left" shrinkToFit="0" vertical="top" wrapText="1"/>
    </xf>
    <xf borderId="35" fillId="21" fontId="6" numFmtId="0" xfId="0" applyAlignment="1" applyBorder="1" applyFont="1">
      <alignment shrinkToFit="0" vertical="bottom" wrapText="0"/>
    </xf>
    <xf borderId="43" fillId="21" fontId="6" numFmtId="0" xfId="0" applyAlignment="1" applyBorder="1" applyFont="1">
      <alignment horizontal="left" shrinkToFit="0" vertical="top" wrapText="1"/>
    </xf>
    <xf borderId="37" fillId="35" fontId="24" numFmtId="0" xfId="0" applyAlignment="1" applyBorder="1" applyFill="1" applyFont="1">
      <alignment horizontal="left" shrinkToFit="0" vertical="bottom" wrapText="0"/>
    </xf>
    <xf borderId="35" fillId="35" fontId="6" numFmtId="0" xfId="0" applyAlignment="1" applyBorder="1" applyFont="1">
      <alignment shrinkToFit="0" vertical="bottom" wrapText="0"/>
    </xf>
    <xf borderId="0" fillId="0" fontId="8" numFmtId="0" xfId="0" applyAlignment="1" applyFont="1">
      <alignment shrinkToFit="0" vertical="bottom" wrapText="0"/>
    </xf>
    <xf borderId="35" fillId="6" fontId="6" numFmtId="4" xfId="0" applyAlignment="1" applyBorder="1" applyFont="1" applyNumberFormat="1">
      <alignment shrinkToFit="0" vertical="bottom" wrapText="0"/>
    </xf>
    <xf borderId="35" fillId="6" fontId="6" numFmtId="166" xfId="0" applyAlignment="1" applyBorder="1" applyFont="1" applyNumberFormat="1">
      <alignment shrinkToFit="0" vertical="bottom" wrapText="0"/>
    </xf>
    <xf borderId="35" fillId="36" fontId="16" numFmtId="0" xfId="0" applyAlignment="1" applyBorder="1" applyFill="1" applyFont="1">
      <alignment shrinkToFit="0" vertical="bottom" wrapText="0"/>
    </xf>
    <xf borderId="35" fillId="36" fontId="6" numFmtId="0" xfId="0" applyAlignment="1" applyBorder="1" applyFont="1">
      <alignment shrinkToFit="0" vertical="bottom" wrapText="0"/>
    </xf>
    <xf borderId="35" fillId="36" fontId="6" numFmtId="4" xfId="0" applyAlignment="1" applyBorder="1" applyFont="1" applyNumberFormat="1">
      <alignment shrinkToFit="0" vertical="bottom" wrapText="0"/>
    </xf>
    <xf borderId="35" fillId="36" fontId="6" numFmtId="166" xfId="0" applyAlignment="1" applyBorder="1" applyFont="1" applyNumberFormat="1">
      <alignment shrinkToFit="0" vertical="bottom" wrapText="0"/>
    </xf>
    <xf borderId="0" fillId="0" fontId="6" numFmtId="16" xfId="0" applyAlignment="1" applyFont="1" applyNumberFormat="1">
      <alignment shrinkToFit="0" vertical="bottom" wrapText="1"/>
    </xf>
    <xf borderId="0" fillId="0" fontId="65" numFmtId="3" xfId="0" applyAlignment="1" applyFont="1" applyNumberFormat="1">
      <alignment shrinkToFit="0" vertical="bottom" wrapText="0"/>
    </xf>
    <xf borderId="41" fillId="30" fontId="6" numFmtId="0" xfId="0" applyAlignment="1" applyBorder="1" applyFont="1">
      <alignment shrinkToFit="0" vertical="bottom" wrapText="0"/>
    </xf>
    <xf borderId="54" fillId="30" fontId="6" numFmtId="0" xfId="0" applyAlignment="1" applyBorder="1" applyFont="1">
      <alignment shrinkToFit="0" vertical="bottom" wrapText="0"/>
    </xf>
    <xf borderId="35" fillId="6" fontId="6" numFmtId="3" xfId="0" applyAlignment="1" applyBorder="1" applyFont="1" applyNumberFormat="1">
      <alignment shrinkToFit="0" vertical="bottom" wrapText="0"/>
    </xf>
    <xf borderId="35" fillId="6" fontId="6" numFmtId="188" xfId="0" applyAlignment="1" applyBorder="1" applyFont="1" applyNumberFormat="1">
      <alignment shrinkToFit="0" vertical="bottom" wrapText="0"/>
    </xf>
    <xf borderId="35" fillId="6" fontId="6" numFmtId="171" xfId="0" applyAlignment="1" applyBorder="1" applyFont="1" applyNumberFormat="1">
      <alignment shrinkToFit="0" vertical="bottom" wrapText="0"/>
    </xf>
    <xf borderId="35" fillId="36" fontId="6" numFmtId="3" xfId="0" applyAlignment="1" applyBorder="1" applyFont="1" applyNumberFormat="1">
      <alignment shrinkToFit="0" vertical="bottom" wrapText="0"/>
    </xf>
    <xf borderId="35" fillId="36" fontId="6" numFmtId="188" xfId="0" applyAlignment="1" applyBorder="1" applyFont="1" applyNumberFormat="1">
      <alignment shrinkToFit="0" vertical="bottom" wrapText="0"/>
    </xf>
    <xf borderId="41" fillId="30" fontId="6" numFmtId="171" xfId="0" applyAlignment="1" applyBorder="1" applyFont="1" applyNumberFormat="1">
      <alignment shrinkToFit="0" vertical="bottom" wrapText="0"/>
    </xf>
    <xf borderId="35" fillId="30" fontId="6" numFmtId="171" xfId="0" applyAlignment="1" applyBorder="1" applyFont="1" applyNumberFormat="1">
      <alignment shrinkToFit="0" vertical="bottom" wrapText="0"/>
    </xf>
    <xf borderId="33" fillId="0" fontId="6" numFmtId="171" xfId="0" applyAlignment="1" applyBorder="1" applyFont="1" applyNumberFormat="1">
      <alignment shrinkToFit="0" vertical="bottom" wrapText="0"/>
    </xf>
    <xf borderId="35" fillId="36" fontId="16" numFmtId="171" xfId="0" applyAlignment="1" applyBorder="1" applyFont="1" applyNumberFormat="1">
      <alignment shrinkToFit="0" vertical="bottom" wrapText="0"/>
    </xf>
    <xf borderId="35" fillId="36" fontId="16" numFmtId="166" xfId="0" applyAlignment="1" applyBorder="1" applyFont="1" applyNumberFormat="1">
      <alignment shrinkToFit="0" vertical="bottom" wrapText="0"/>
    </xf>
    <xf borderId="41" fillId="30" fontId="16" numFmtId="0" xfId="0" applyAlignment="1" applyBorder="1" applyFont="1">
      <alignment shrinkToFit="0" vertical="bottom" wrapText="0"/>
    </xf>
    <xf borderId="35" fillId="37" fontId="6" numFmtId="0" xfId="0" applyAlignment="1" applyBorder="1" applyFill="1" applyFont="1">
      <alignment shrinkToFit="0" vertical="bottom" wrapText="0"/>
    </xf>
    <xf borderId="35" fillId="6" fontId="59" numFmtId="0" xfId="0" applyAlignment="1" applyBorder="1" applyFont="1">
      <alignment shrinkToFit="0" vertical="bottom" wrapText="0"/>
    </xf>
    <xf borderId="35" fillId="6" fontId="6" numFmtId="168" xfId="0" applyAlignment="1" applyBorder="1" applyFont="1" applyNumberFormat="1">
      <alignment shrinkToFit="0" vertical="bottom" wrapText="0"/>
    </xf>
    <xf borderId="35" fillId="37" fontId="16" numFmtId="2" xfId="0" applyAlignment="1" applyBorder="1" applyFont="1" applyNumberFormat="1">
      <alignment shrinkToFit="0" vertical="bottom" wrapText="0"/>
    </xf>
    <xf borderId="35" fillId="6" fontId="6" numFmtId="165" xfId="0" applyAlignment="1" applyBorder="1" applyFont="1" applyNumberFormat="1">
      <alignment shrinkToFit="0" vertical="bottom" wrapText="0"/>
    </xf>
    <xf borderId="35" fillId="6" fontId="16" numFmtId="164" xfId="0" applyAlignment="1" applyBorder="1" applyFont="1" applyNumberFormat="1">
      <alignment shrinkToFit="0" vertical="bottom" wrapText="0"/>
    </xf>
    <xf borderId="35" fillId="36" fontId="16" numFmtId="164" xfId="0" applyAlignment="1" applyBorder="1" applyFont="1" applyNumberFormat="1">
      <alignment shrinkToFit="0" vertical="bottom" wrapText="0"/>
    </xf>
    <xf borderId="61" fillId="11" fontId="16" numFmtId="0" xfId="0" applyAlignment="1" applyBorder="1" applyFont="1">
      <alignment shrinkToFit="0" vertical="bottom" wrapText="0"/>
    </xf>
    <xf borderId="61" fillId="11" fontId="6" numFmtId="0" xfId="0" applyAlignment="1" applyBorder="1" applyFont="1">
      <alignment shrinkToFit="0" vertical="bottom" wrapText="0"/>
    </xf>
    <xf borderId="61" fillId="11" fontId="6" numFmtId="3" xfId="0" applyAlignment="1" applyBorder="1" applyFont="1" applyNumberFormat="1">
      <alignment shrinkToFit="0" vertical="bottom" wrapText="0"/>
    </xf>
    <xf borderId="61" fillId="11" fontId="16" numFmtId="3" xfId="0" applyAlignment="1" applyBorder="1" applyFont="1" applyNumberFormat="1">
      <alignment shrinkToFit="0" vertical="bottom" wrapText="0"/>
    </xf>
    <xf borderId="61" fillId="11" fontId="16" numFmtId="164" xfId="0" applyAlignment="1" applyBorder="1" applyFont="1" applyNumberFormat="1">
      <alignment shrinkToFit="0" vertical="bottom" wrapText="0"/>
    </xf>
    <xf borderId="61" fillId="11" fontId="6" numFmtId="175" xfId="0" applyAlignment="1" applyBorder="1" applyFont="1" applyNumberFormat="1">
      <alignment shrinkToFit="0" vertical="bottom" wrapText="0"/>
    </xf>
    <xf borderId="35" fillId="35" fontId="24" numFmtId="0" xfId="0" applyAlignment="1" applyBorder="1" applyFont="1">
      <alignment horizontal="left" shrinkToFit="0" vertical="bottom" wrapText="0"/>
    </xf>
    <xf borderId="0" fillId="0" fontId="24" numFmtId="0" xfId="0" applyAlignment="1" applyFont="1">
      <alignment horizontal="left" shrinkToFit="0" vertical="bottom" wrapText="0"/>
    </xf>
    <xf borderId="0" fillId="0" fontId="33" numFmtId="0" xfId="0" applyAlignment="1" applyFont="1">
      <alignment horizontal="left" shrinkToFit="0" vertical="top" wrapText="1"/>
    </xf>
    <xf borderId="0" fillId="0" fontId="6" numFmtId="0" xfId="0" applyAlignment="1" applyFont="1">
      <alignment horizontal="left" shrinkToFit="0" vertical="top" wrapText="0"/>
    </xf>
    <xf borderId="0" fillId="0" fontId="6" numFmtId="0" xfId="0" applyAlignment="1" applyFont="1">
      <alignment horizontal="center" shrinkToFit="0" vertical="top" wrapText="0"/>
    </xf>
    <xf borderId="0" fillId="0" fontId="33" numFmtId="16" xfId="0" applyAlignment="1" applyFont="1" applyNumberFormat="1">
      <alignment horizontal="left" shrinkToFit="0" vertical="top" wrapText="1"/>
    </xf>
    <xf borderId="0" fillId="0" fontId="6" numFmtId="16" xfId="0" applyAlignment="1" applyFont="1" applyNumberFormat="1">
      <alignment horizontal="left" shrinkToFit="0" vertical="top" wrapText="1"/>
    </xf>
    <xf borderId="0" fillId="0" fontId="66" numFmtId="14" xfId="0" applyAlignment="1" applyFont="1" applyNumberFormat="1">
      <alignment shrinkToFit="0" vertical="bottom" wrapText="0"/>
    </xf>
    <xf borderId="35" fillId="12" fontId="6" numFmtId="166" xfId="0" applyAlignment="1" applyBorder="1" applyFont="1" applyNumberFormat="1">
      <alignment shrinkToFit="0" vertical="bottom" wrapText="0"/>
    </xf>
    <xf borderId="0" fillId="0" fontId="36" numFmtId="4" xfId="0" applyAlignment="1" applyFont="1" applyNumberFormat="1">
      <alignment shrinkToFit="0" vertical="bottom" wrapText="0"/>
    </xf>
    <xf borderId="35" fillId="4" fontId="6" numFmtId="165" xfId="0" applyAlignment="1" applyBorder="1" applyFont="1" applyNumberFormat="1">
      <alignment shrinkToFit="0" vertical="bottom" wrapText="0"/>
    </xf>
    <xf borderId="35" fillId="4" fontId="6" numFmtId="168" xfId="0" applyAlignment="1" applyBorder="1" applyFont="1" applyNumberFormat="1">
      <alignment shrinkToFit="0" vertical="bottom" wrapText="0"/>
    </xf>
    <xf borderId="17" fillId="0" fontId="6" numFmtId="0" xfId="0" applyAlignment="1" applyBorder="1" applyFont="1">
      <alignment shrinkToFit="0" vertical="bottom" wrapText="0"/>
    </xf>
    <xf borderId="17" fillId="0" fontId="6" numFmtId="3" xfId="0" applyAlignment="1" applyBorder="1" applyFont="1" applyNumberFormat="1">
      <alignment shrinkToFit="0" vertical="bottom" wrapText="0"/>
    </xf>
    <xf borderId="0" fillId="0" fontId="6" numFmtId="0" xfId="0" applyFont="1"/>
    <xf borderId="35" fillId="4" fontId="6" numFmtId="183" xfId="0" applyAlignment="1" applyBorder="1" applyFont="1" applyNumberFormat="1">
      <alignment horizontal="right" shrinkToFit="0" vertical="bottom" wrapText="0"/>
    </xf>
    <xf borderId="35" fillId="32" fontId="6" numFmtId="16" xfId="0" applyAlignment="1" applyBorder="1" applyFont="1" applyNumberFormat="1">
      <alignment shrinkToFit="0" vertical="bottom" wrapText="0"/>
    </xf>
    <xf borderId="35" fillId="5" fontId="6" numFmtId="16" xfId="0" applyAlignment="1" applyBorder="1" applyFont="1" applyNumberFormat="1">
      <alignment shrinkToFit="0" vertical="bottom" wrapText="0"/>
    </xf>
    <xf borderId="0" fillId="0" fontId="59" numFmtId="0" xfId="0" applyAlignment="1" applyFont="1">
      <alignment horizontal="left" shrinkToFit="0" vertical="bottom" wrapText="0"/>
    </xf>
    <xf borderId="33" fillId="0" fontId="67" numFmtId="0" xfId="0" applyAlignment="1" applyBorder="1" applyFont="1">
      <alignment shrinkToFit="0" vertical="bottom" wrapText="1"/>
    </xf>
    <xf borderId="17" fillId="0" fontId="35" numFmtId="170" xfId="0" applyAlignment="1" applyBorder="1" applyFont="1" applyNumberFormat="1">
      <alignment horizontal="right" shrinkToFit="0" vertical="bottom" wrapText="1"/>
    </xf>
    <xf borderId="0" fillId="0" fontId="36" numFmtId="170" xfId="0" applyAlignment="1" applyFont="1" applyNumberFormat="1">
      <alignment shrinkToFit="0" vertical="bottom" wrapText="0"/>
    </xf>
    <xf borderId="0" fillId="0" fontId="36" numFmtId="3" xfId="0" applyAlignment="1" applyFont="1" applyNumberFormat="1">
      <alignment shrinkToFit="0" vertical="bottom" wrapText="0"/>
    </xf>
    <xf borderId="62" fillId="0" fontId="6" numFmtId="3" xfId="0" applyAlignment="1" applyBorder="1" applyFont="1" applyNumberFormat="1">
      <alignment shrinkToFit="0" vertical="bottom" wrapText="0"/>
    </xf>
    <xf borderId="63" fillId="0" fontId="6" numFmtId="3" xfId="0" applyAlignment="1" applyBorder="1" applyFont="1" applyNumberFormat="1">
      <alignment shrinkToFit="0" vertical="bottom" wrapText="0"/>
    </xf>
    <xf borderId="64" fillId="0" fontId="6" numFmtId="3" xfId="0" applyAlignment="1" applyBorder="1" applyFont="1" applyNumberFormat="1">
      <alignment shrinkToFit="0" vertical="bottom" wrapText="0"/>
    </xf>
    <xf borderId="41" fillId="0" fontId="6" numFmtId="176" xfId="0" applyAlignment="1" applyBorder="1" applyFont="1" applyNumberFormat="1">
      <alignment shrinkToFit="0" vertical="bottom" wrapText="0"/>
    </xf>
    <xf borderId="33" fillId="0" fontId="6" numFmtId="176" xfId="0" applyAlignment="1" applyBorder="1" applyFont="1" applyNumberForma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12.xml.rels><?xml version="1.0" encoding="UTF-8" standalone="yes"?><Relationships xmlns="http://schemas.openxmlformats.org/package/2006/relationships"><Relationship Id="rId1" Type="http://customschemas.google.com/relationships/workbookmetadata" Target="commentsmeta11"/></Relationships>
</file>

<file path=xl/_rels/comments13.xml.rels><?xml version="1.0" encoding="UTF-8" standalone="yes"?><Relationships xmlns="http://schemas.openxmlformats.org/package/2006/relationships"><Relationship Id="rId1" Type="http://customschemas.google.com/relationships/workbookmetadata" Target="commentsmeta12"/></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customschemas.google.com/relationships/workbookmetadata" Target="metadata"/><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s>
</file>

<file path=xl/drawings/_rels/drawing2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s>
</file>

<file path=xl/drawings/_rels/drawing27.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54</xdr:row>
      <xdr:rowOff>0</xdr:rowOff>
    </xdr:from>
    <xdr:ext cx="2933700" cy="4476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200025</xdr:colOff>
      <xdr:row>53</xdr:row>
      <xdr:rowOff>57150</xdr:rowOff>
    </xdr:from>
    <xdr:ext cx="2257425" cy="1009650"/>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4</xdr:row>
      <xdr:rowOff>57150</xdr:rowOff>
    </xdr:from>
    <xdr:ext cx="4010025" cy="23526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85725</xdr:colOff>
      <xdr:row>22</xdr:row>
      <xdr:rowOff>57150</xdr:rowOff>
    </xdr:from>
    <xdr:ext cx="2047875" cy="19431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10</xdr:row>
      <xdr:rowOff>95250</xdr:rowOff>
    </xdr:from>
    <xdr:ext cx="1285875" cy="952500"/>
    <xdr:sp>
      <xdr:nvSpPr>
        <xdr:cNvPr id="8" name="Shape 8"/>
        <xdr:cNvSpPr/>
      </xdr:nvSpPr>
      <xdr:spPr>
        <a:xfrm>
          <a:off x="4707825" y="3308513"/>
          <a:ext cx="1276350" cy="942975"/>
        </a:xfrm>
        <a:prstGeom prst="rect">
          <a:avLst/>
        </a:prstGeom>
        <a:no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The  change in on-campus solar production occuring around FY07/08 is due to  the solar PV panels added during the  renovation of the Franklin Environmental Center at Hillcrest  completed in 2008."CVPS kWh from CH</a:t>
          </a:r>
          <a:r>
            <a:rPr baseline="-25000" i="0" lang="en-US" sz="1100" u="none" strike="noStrike">
              <a:solidFill>
                <a:srgbClr val="000000"/>
              </a:solidFill>
              <a:latin typeface="Calibri"/>
              <a:ea typeface="Calibri"/>
              <a:cs typeface="Calibri"/>
              <a:sym typeface="Calibri"/>
            </a:rPr>
            <a:t>4</a:t>
          </a:r>
          <a:r>
            <a:rPr i="0" lang="en-US" sz="1100" u="none" strike="noStrike">
              <a:solidFill>
                <a:srgbClr val="000000"/>
              </a:solidFill>
              <a:latin typeface="Calibri"/>
              <a:ea typeface="Calibri"/>
              <a:cs typeface="Calibri"/>
              <a:sym typeface="Calibri"/>
            </a:rPr>
            <a:t> dig." refers to Cow Power electricity purchased for the President's house and for Weybridge House. The variation in amount purchase is likely due ot usage changes from year to year, but the cause of those changes is not known. The amount of electricity co-generated on campus changes year to year based on how much steam is produced. TThere is not a consistant directional trend in total electricity usage over the past 5 years. </a:t>
          </a:r>
          <a:endParaRPr sz="1400"/>
        </a:p>
      </xdr:txBody>
    </xdr:sp>
    <xdr:clientData fLocksWithSheet="0"/>
  </xdr:oneCellAnchor>
  <xdr:oneCellAnchor>
    <xdr:from>
      <xdr:col>18</xdr:col>
      <xdr:colOff>38100</xdr:colOff>
      <xdr:row>146</xdr:row>
      <xdr:rowOff>38100</xdr:rowOff>
    </xdr:from>
    <xdr:ext cx="2695575" cy="1143000"/>
    <xdr:sp>
      <xdr:nvSpPr>
        <xdr:cNvPr id="9" name="Shape 9"/>
        <xdr:cNvSpPr/>
      </xdr:nvSpPr>
      <xdr:spPr>
        <a:xfrm>
          <a:off x="4002975" y="3213263"/>
          <a:ext cx="2686050" cy="1133475"/>
        </a:xfrm>
        <a:prstGeom prst="rect">
          <a:avLst/>
        </a:prstGeom>
        <a:gradFill>
          <a:gsLst>
            <a:gs pos="0">
              <a:srgbClr val="9BC1FF"/>
            </a:gs>
            <a:gs pos="100000">
              <a:srgbClr val="3F80CD"/>
            </a:gs>
          </a:gsLst>
          <a:lin ang="5400000" scaled="0"/>
        </a:grad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FFFFFF"/>
              </a:solidFill>
              <a:latin typeface="Calibri"/>
              <a:ea typeface="Calibri"/>
              <a:cs typeface="Calibri"/>
              <a:sym typeface="Calibri"/>
            </a:rPr>
            <a:t>The MTCDE from electricity any given year is highly corelated with the percentage of electricity that CVPS/GMP is getting from the ISO/NE and  NPCC grid. The formula used for the NPCC grid should be updated if possible. </a:t>
          </a:r>
          <a:endParaRPr sz="1400"/>
        </a:p>
      </xdr:txBody>
    </xdr:sp>
    <xdr:clientData fLocksWithSheet="0"/>
  </xdr:oneCellAnchor>
  <xdr:oneCellAnchor>
    <xdr:from>
      <xdr:col>19</xdr:col>
      <xdr:colOff>371475</xdr:colOff>
      <xdr:row>15</xdr:row>
      <xdr:rowOff>57150</xdr:rowOff>
    </xdr:from>
    <xdr:ext cx="1419225" cy="533400"/>
    <xdr:sp>
      <xdr:nvSpPr>
        <xdr:cNvPr id="10" name="Shape 10"/>
        <xdr:cNvSpPr/>
      </xdr:nvSpPr>
      <xdr:spPr>
        <a:xfrm>
          <a:off x="4641150" y="3518063"/>
          <a:ext cx="1409700" cy="523875"/>
        </a:xfrm>
        <a:prstGeom prst="rect">
          <a:avLst/>
        </a:prstGeom>
        <a:no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*Previously known as C entral Vermont Public Service. CVPS merged with Green Mountain Power in 2012.</a:t>
          </a:r>
          <a:endParaRPr sz="1400"/>
        </a:p>
      </xdr:txBody>
    </xdr:sp>
    <xdr:clientData fLocksWithSheet="0"/>
  </xdr:oneCellAnchor>
  <xdr:oneCellAnchor>
    <xdr:from>
      <xdr:col>20</xdr:col>
      <xdr:colOff>257175</xdr:colOff>
      <xdr:row>2</xdr:row>
      <xdr:rowOff>0</xdr:rowOff>
    </xdr:from>
    <xdr:ext cx="1390650" cy="1381125"/>
    <xdr:sp>
      <xdr:nvSpPr>
        <xdr:cNvPr id="11" name="Shape 11"/>
        <xdr:cNvSpPr/>
      </xdr:nvSpPr>
      <xdr:spPr>
        <a:xfrm>
          <a:off x="4655438" y="3094200"/>
          <a:ext cx="1381125" cy="13716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FY18/19 total kWh from GMP excludes kWh from renters who reimburse College for electricity billed to College for their units. Previous years used an estimated 300,000 kWh based on a survey of which units reimbursed.</a:t>
          </a:r>
          <a:endParaRPr sz="1400"/>
        </a:p>
      </xdr:txBody>
    </xdr:sp>
    <xdr:clientData fLocksWithSheet="0"/>
  </xdr:oneCellAnchor>
  <xdr:oneCellAnchor>
    <xdr:from>
      <xdr:col>20</xdr:col>
      <xdr:colOff>247650</xdr:colOff>
      <xdr:row>18</xdr:row>
      <xdr:rowOff>57150</xdr:rowOff>
    </xdr:from>
    <xdr:ext cx="1209675" cy="876300"/>
    <xdr:sp>
      <xdr:nvSpPr>
        <xdr:cNvPr id="12" name="Shape 12"/>
        <xdr:cNvSpPr/>
      </xdr:nvSpPr>
      <xdr:spPr>
        <a:xfrm>
          <a:off x="4745925" y="3346613"/>
          <a:ext cx="1200150" cy="866775"/>
        </a:xfrm>
        <a:prstGeom prst="rect">
          <a:avLst/>
        </a:prstGeom>
        <a:solidFill>
          <a:srgbClr val="FFFFFF"/>
        </a:solidFill>
        <a:ln cap="flat" cmpd="sng" w="9525">
          <a:solidFill>
            <a:srgbClr val="BCBCBC"/>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all 3 chp turbines were off line for a portion of August 2016</a:t>
          </a:r>
          <a:endParaRPr sz="1400"/>
        </a:p>
      </xdr:txBody>
    </xdr:sp>
    <xdr:clientData fLocksWithSheet="0"/>
  </xdr:oneCellAnchor>
  <xdr:oneCellAnchor>
    <xdr:from>
      <xdr:col>20</xdr:col>
      <xdr:colOff>295275</xdr:colOff>
      <xdr:row>27</xdr:row>
      <xdr:rowOff>19050</xdr:rowOff>
    </xdr:from>
    <xdr:ext cx="11620500" cy="266700"/>
    <xdr:sp>
      <xdr:nvSpPr>
        <xdr:cNvPr id="13" name="Shape 13"/>
        <xdr:cNvSpPr/>
      </xdr:nvSpPr>
      <xdr:spPr>
        <a:xfrm>
          <a:off x="0" y="3651413"/>
          <a:ext cx="10692000"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Note: GMP's fuel mix for the electricity MC purchases was 100% carbon neutral and 68% renewable as of 2020: https://greenmountainpower.com/energy-mix/ </a:t>
          </a:r>
          <a:endParaRPr sz="1400"/>
        </a:p>
      </xdr:txBody>
    </xdr:sp>
    <xdr:clientData fLocksWithSheet="0"/>
  </xdr:oneCellAnchor>
  <xdr:oneCellAnchor>
    <xdr:from>
      <xdr:col>20</xdr:col>
      <xdr:colOff>0</xdr:colOff>
      <xdr:row>25</xdr:row>
      <xdr:rowOff>0</xdr:rowOff>
    </xdr:from>
    <xdr:ext cx="1828800" cy="266700"/>
    <xdr:sp>
      <xdr:nvSpPr>
        <xdr:cNvPr id="14" name="Shape 14"/>
        <xdr:cNvSpPr/>
      </xdr:nvSpPr>
      <xdr:spPr>
        <a:xfrm>
          <a:off x="4436363" y="3651413"/>
          <a:ext cx="1819275"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*oil &amp; natural gas combined </a:t>
          </a:r>
          <a:endParaRPr sz="1400"/>
        </a:p>
      </xdr:txBody>
    </xdr:sp>
    <xdr:clientData fLocksWithSheet="0"/>
  </xdr:oneCellAnchor>
  <xdr:oneCellAnchor>
    <xdr:from>
      <xdr:col>19</xdr:col>
      <xdr:colOff>485775</xdr:colOff>
      <xdr:row>29</xdr:row>
      <xdr:rowOff>0</xdr:rowOff>
    </xdr:from>
    <xdr:ext cx="2381250" cy="266700"/>
    <xdr:sp>
      <xdr:nvSpPr>
        <xdr:cNvPr id="15" name="Shape 15"/>
        <xdr:cNvSpPr/>
      </xdr:nvSpPr>
      <xdr:spPr>
        <a:xfrm>
          <a:off x="4160138" y="3651413"/>
          <a:ext cx="2371725"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*includes other RE (Landfill, methane)</a:t>
          </a:r>
          <a:endParaRPr sz="1400"/>
        </a:p>
      </xdr:txBody>
    </xdr:sp>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19050</xdr:colOff>
      <xdr:row>11</xdr:row>
      <xdr:rowOff>38100</xdr:rowOff>
    </xdr:from>
    <xdr:ext cx="2705100" cy="1514475"/>
    <xdr:sp>
      <xdr:nvSpPr>
        <xdr:cNvPr id="16" name="Shape 16"/>
        <xdr:cNvSpPr/>
      </xdr:nvSpPr>
      <xdr:spPr>
        <a:xfrm>
          <a:off x="3998213" y="3027525"/>
          <a:ext cx="2695575" cy="1504950"/>
        </a:xfrm>
        <a:prstGeom prst="rect">
          <a:avLst/>
        </a:prstGeom>
        <a:gradFill>
          <a:gsLst>
            <a:gs pos="0">
              <a:srgbClr val="9BC1FF"/>
            </a:gs>
            <a:gs pos="100000">
              <a:srgbClr val="3F80CD"/>
            </a:gs>
          </a:gsLst>
          <a:lin ang="5400000" scaled="0"/>
        </a:grad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FFFFFF"/>
              </a:solidFill>
              <a:latin typeface="Calibri"/>
              <a:ea typeface="Calibri"/>
              <a:cs typeface="Calibri"/>
              <a:sym typeface="Calibri"/>
            </a:rPr>
            <a:t>The biomass facility came online partway through FY 08/09, and then was online for all of FY09/10 and 10/11. The plant operators continued to learn to operate the facility and keep it running smoothly, likely explaining the increased use of biomass in FY10/11. </a:t>
          </a:r>
          <a:endParaRPr sz="1400"/>
        </a:p>
      </xdr:txBody>
    </xdr:sp>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590550</xdr:colOff>
      <xdr:row>26</xdr:row>
      <xdr:rowOff>57150</xdr:rowOff>
    </xdr:from>
    <xdr:ext cx="3171825" cy="2676525"/>
    <xdr:sp>
      <xdr:nvSpPr>
        <xdr:cNvPr id="17" name="Shape 17"/>
        <xdr:cNvSpPr/>
      </xdr:nvSpPr>
      <xdr:spPr>
        <a:xfrm>
          <a:off x="3764850" y="2446500"/>
          <a:ext cx="3162300" cy="2667000"/>
        </a:xfrm>
        <a:prstGeom prst="rect">
          <a:avLst/>
        </a:prstGeom>
        <a:gradFill>
          <a:gsLst>
            <a:gs pos="0">
              <a:srgbClr val="9BC1FF"/>
            </a:gs>
            <a:gs pos="100000">
              <a:srgbClr val="3F80CD"/>
            </a:gs>
          </a:gsLst>
          <a:lin ang="5400000" scaled="0"/>
        </a:grad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FFFFFF"/>
              </a:solidFill>
              <a:latin typeface="Calibri"/>
              <a:ea typeface="Calibri"/>
              <a:cs typeface="Calibri"/>
              <a:sym typeface="Calibri"/>
            </a:rPr>
            <a:t>The  change in on-campus solar production occuring around FY07/08 is due to  the solar PV panels added during the  renovation of the Franklin Environmental Center at Hillcrest  completed in 2008."CVPS kWh from CH</a:t>
          </a:r>
          <a:r>
            <a:rPr baseline="-25000" i="0" lang="en-US" sz="1100" u="none" strike="noStrike">
              <a:solidFill>
                <a:srgbClr val="FFFFFF"/>
              </a:solidFill>
              <a:latin typeface="Calibri"/>
              <a:ea typeface="Calibri"/>
              <a:cs typeface="Calibri"/>
              <a:sym typeface="Calibri"/>
            </a:rPr>
            <a:t>4</a:t>
          </a:r>
          <a:r>
            <a:rPr i="0" lang="en-US" sz="1100" u="none" strike="noStrike">
              <a:solidFill>
                <a:srgbClr val="FFFFFF"/>
              </a:solidFill>
              <a:latin typeface="Calibri"/>
              <a:ea typeface="Calibri"/>
              <a:cs typeface="Calibri"/>
              <a:sym typeface="Calibri"/>
            </a:rPr>
            <a:t> dig." refers to Cow Power electricity purchased for the President's house and for Weybridge House. The variation in amount purchase is likely due ot usage changes from year to year, but the cause of those changes is not known. The amount of electricity co-generated on campus changes year to year based on how much steam is produced. TThere is not a consistant directional trend in total electricity usage over the past 5 years. </a:t>
          </a:r>
          <a:endParaRPr sz="1400"/>
        </a:p>
      </xdr:txBody>
    </xdr:sp>
    <xdr:clientData fLocksWithSheet="0"/>
  </xdr:oneCellAnchor>
  <xdr:oneCellAnchor>
    <xdr:from>
      <xdr:col>12</xdr:col>
      <xdr:colOff>600075</xdr:colOff>
      <xdr:row>145</xdr:row>
      <xdr:rowOff>0</xdr:rowOff>
    </xdr:from>
    <xdr:ext cx="3067050" cy="1143000"/>
    <xdr:sp>
      <xdr:nvSpPr>
        <xdr:cNvPr id="18" name="Shape 18"/>
        <xdr:cNvSpPr/>
      </xdr:nvSpPr>
      <xdr:spPr>
        <a:xfrm>
          <a:off x="3817238" y="3213263"/>
          <a:ext cx="3057525" cy="1133475"/>
        </a:xfrm>
        <a:prstGeom prst="rect">
          <a:avLst/>
        </a:prstGeom>
        <a:gradFill>
          <a:gsLst>
            <a:gs pos="0">
              <a:srgbClr val="9BC1FF"/>
            </a:gs>
            <a:gs pos="100000">
              <a:srgbClr val="3F80CD"/>
            </a:gs>
          </a:gsLst>
          <a:lin ang="5400000" scaled="0"/>
        </a:grad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FFFFFF"/>
              </a:solidFill>
              <a:latin typeface="Calibri"/>
              <a:ea typeface="Calibri"/>
              <a:cs typeface="Calibri"/>
              <a:sym typeface="Calibri"/>
            </a:rPr>
            <a:t>The MTCDE from electricity any given year is highly corelated with the percentage of electricity that CVPS/GMP is getting from the ISO/NE and  NPCC grid. The formula used for the NPCC grid should be updated if possible. </a:t>
          </a:r>
          <a:endParaRPr sz="1400"/>
        </a:p>
      </xdr:txBody>
    </xdr:sp>
    <xdr:clientData fLocksWithSheet="0"/>
  </xdr:oneCellAnchor>
  <xdr:oneCellAnchor>
    <xdr:from>
      <xdr:col>13</xdr:col>
      <xdr:colOff>561975</xdr:colOff>
      <xdr:row>20</xdr:row>
      <xdr:rowOff>142875</xdr:rowOff>
    </xdr:from>
    <xdr:ext cx="2743200" cy="733425"/>
    <xdr:sp>
      <xdr:nvSpPr>
        <xdr:cNvPr id="19" name="Shape 19"/>
        <xdr:cNvSpPr/>
      </xdr:nvSpPr>
      <xdr:spPr>
        <a:xfrm>
          <a:off x="3979163" y="3418050"/>
          <a:ext cx="2733675" cy="723900"/>
        </a:xfrm>
        <a:prstGeom prst="rect">
          <a:avLst/>
        </a:prstGeom>
        <a:gradFill>
          <a:gsLst>
            <a:gs pos="0">
              <a:srgbClr val="9BC1FF"/>
            </a:gs>
            <a:gs pos="100000">
              <a:srgbClr val="3F80CD"/>
            </a:gs>
          </a:gsLst>
          <a:lin ang="5400000" scaled="0"/>
        </a:grad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FFFFFF"/>
              </a:solidFill>
              <a:latin typeface="Calibri"/>
              <a:ea typeface="Calibri"/>
              <a:cs typeface="Calibri"/>
              <a:sym typeface="Calibri"/>
            </a:rPr>
            <a:t>*Previously known as C entral Vermont Public Service. CVPS merged with Green Mountain Power in 2012.</a:t>
          </a:r>
          <a:endParaRPr sz="1400"/>
        </a:p>
      </xdr:txBody>
    </xdr:sp>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180975</xdr:colOff>
      <xdr:row>1</xdr:row>
      <xdr:rowOff>104775</xdr:rowOff>
    </xdr:from>
    <xdr:ext cx="2343150" cy="952500"/>
    <xdr:sp>
      <xdr:nvSpPr>
        <xdr:cNvPr id="20" name="Shape 20"/>
        <xdr:cNvSpPr/>
      </xdr:nvSpPr>
      <xdr:spPr>
        <a:xfrm>
          <a:off x="4179188" y="3308513"/>
          <a:ext cx="2333625" cy="9429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rgbClr val="000000"/>
              </a:solidFill>
              <a:latin typeface="Calibri"/>
              <a:ea typeface="Calibri"/>
              <a:cs typeface="Calibri"/>
              <a:sym typeface="Calibri"/>
            </a:rPr>
            <a:t>Note FY 19/20 and 20/21 are not actuals and need to updated. Changes in Middlebury accounting system for travel will require a new format and is being worked on.</a:t>
          </a:r>
          <a:r>
            <a:rPr i="0" lang="en-US" sz="1100" u="none" strike="noStrike">
              <a:solidFill>
                <a:srgbClr val="000000"/>
              </a:solidFill>
              <a:latin typeface="Calibri"/>
              <a:ea typeface="Calibri"/>
              <a:cs typeface="Calibri"/>
              <a:sym typeface="Calibri"/>
            </a:rPr>
            <a:t> </a:t>
          </a:r>
          <a:endParaRPr sz="1400"/>
        </a:p>
      </xdr:txBody>
    </xdr:sp>
    <xdr:clientData fLocksWithSheet="0"/>
  </xdr:oneCellAnchor>
  <xdr:oneCellAnchor>
    <xdr:from>
      <xdr:col>18</xdr:col>
      <xdr:colOff>1162050</xdr:colOff>
      <xdr:row>10</xdr:row>
      <xdr:rowOff>133350</xdr:rowOff>
    </xdr:from>
    <xdr:ext cx="38100" cy="266700"/>
    <xdr:sp>
      <xdr:nvSpPr>
        <xdr:cNvPr id="21" name="Shape 21"/>
        <xdr:cNvSpPr/>
      </xdr:nvSpPr>
      <xdr:spPr>
        <a:xfrm flipH="1">
          <a:off x="5226937" y="3646650"/>
          <a:ext cx="238125" cy="266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7</xdr:col>
      <xdr:colOff>790575</xdr:colOff>
      <xdr:row>13</xdr:row>
      <xdr:rowOff>133350</xdr:rowOff>
    </xdr:from>
    <xdr:ext cx="1552575" cy="276225"/>
    <xdr:sp>
      <xdr:nvSpPr>
        <xdr:cNvPr id="22" name="Shape 22"/>
        <xdr:cNvSpPr/>
      </xdr:nvSpPr>
      <xdr:spPr>
        <a:xfrm>
          <a:off x="4574475" y="3646650"/>
          <a:ext cx="1543050" cy="2667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Mileage and car rental  </a:t>
          </a:r>
          <a:endParaRPr sz="1400"/>
        </a:p>
      </xdr:txBody>
    </xdr:sp>
    <xdr:clientData fLocksWithSheet="0"/>
  </xdr:oneCellAnchor>
  <xdr:oneCellAnchor>
    <xdr:from>
      <xdr:col>19</xdr:col>
      <xdr:colOff>476250</xdr:colOff>
      <xdr:row>10</xdr:row>
      <xdr:rowOff>66675</xdr:rowOff>
    </xdr:from>
    <xdr:ext cx="2019300" cy="781050"/>
    <xdr:sp>
      <xdr:nvSpPr>
        <xdr:cNvPr id="23" name="Shape 23"/>
        <xdr:cNvSpPr/>
      </xdr:nvSpPr>
      <xdr:spPr>
        <a:xfrm>
          <a:off x="4341113" y="3394238"/>
          <a:ext cx="2009775" cy="7715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see note on next tab re: adjustment to formula converting  $ to gallons - retroactive to FY06/07 </a:t>
          </a:r>
          <a:endParaRPr sz="1400"/>
        </a:p>
      </xdr:txBody>
    </xdr:sp>
    <xdr:clientData fLocksWithSheet="0"/>
  </xdr:oneCellAnchor>
  <xdr:oneCellAnchor>
    <xdr:from>
      <xdr:col>9</xdr:col>
      <xdr:colOff>104775</xdr:colOff>
      <xdr:row>29</xdr:row>
      <xdr:rowOff>104775</xdr:rowOff>
    </xdr:from>
    <xdr:ext cx="1676400" cy="276225"/>
    <xdr:sp>
      <xdr:nvSpPr>
        <xdr:cNvPr id="24" name="Shape 24"/>
        <xdr:cNvSpPr/>
      </xdr:nvSpPr>
      <xdr:spPr>
        <a:xfrm>
          <a:off x="4512563" y="3646650"/>
          <a:ext cx="1666875" cy="2667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tolls and parking included </a:t>
          </a:r>
          <a:endParaRPr sz="1400"/>
        </a:p>
      </xdr:txBody>
    </xdr:sp>
    <xdr:clientData fLocksWithSheet="0"/>
  </xdr:oneCellAnchor>
  <xdr:oneCellAnchor>
    <xdr:from>
      <xdr:col>7</xdr:col>
      <xdr:colOff>171450</xdr:colOff>
      <xdr:row>143</xdr:row>
      <xdr:rowOff>152400</xdr:rowOff>
    </xdr:from>
    <xdr:ext cx="5048250" cy="1114425"/>
    <xdr:sp>
      <xdr:nvSpPr>
        <xdr:cNvPr id="25" name="Shape 25"/>
        <xdr:cNvSpPr/>
      </xdr:nvSpPr>
      <xdr:spPr>
        <a:xfrm>
          <a:off x="2826638" y="3227550"/>
          <a:ext cx="5038725" cy="11049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	FY20	FY21	FY22	FY23</a:t>
          </a:r>
          <a:endParaRPr sz="1400"/>
        </a:p>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Air est	1499.2	1499.2	1996.8	2651.9</a:t>
          </a:r>
          <a:endParaRPr sz="1400"/>
        </a:p>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Air actual	1812.5	118.5	1119.9	2305.8	</a:t>
          </a:r>
          <a:endParaRPr sz="1400"/>
        </a:p>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Diff	313	-1380.7	-876.9	-346.1</a:t>
          </a:r>
          <a:endParaRPr sz="1400"/>
        </a:p>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Total Difference:  -2291</a:t>
          </a:r>
          <a:endParaRPr sz="1400"/>
        </a:p>
        <a:p>
          <a:pPr indent="0" lvl="0" marL="0" rtl="0" algn="l">
            <a:spcBef>
              <a:spcPts val="0"/>
            </a:spcBef>
            <a:spcAft>
              <a:spcPts val="0"/>
            </a:spcAft>
            <a:buNone/>
          </a:pPr>
          <a:r>
            <a:t/>
          </a:r>
          <a:endParaRPr i="0" sz="1100" u="none" strike="noStrike">
            <a:solidFill>
              <a:srgbClr val="000000"/>
            </a:solidFill>
            <a:latin typeface="Calibri"/>
            <a:ea typeface="Calibri"/>
            <a:cs typeface="Calibri"/>
            <a:sym typeface="Calibri"/>
          </a:endParaRPr>
        </a:p>
      </xdr:txBody>
    </xdr:sp>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4</xdr:row>
      <xdr:rowOff>0</xdr:rowOff>
    </xdr:from>
    <xdr:ext cx="4953000" cy="23526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57150</xdr:colOff>
      <xdr:row>21</xdr:row>
      <xdr:rowOff>85725</xdr:rowOff>
    </xdr:from>
    <xdr:ext cx="2447925" cy="19431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352425</xdr:colOff>
      <xdr:row>6</xdr:row>
      <xdr:rowOff>28575</xdr:rowOff>
    </xdr:from>
    <xdr:ext cx="3067050" cy="819150"/>
    <xdr:sp>
      <xdr:nvSpPr>
        <xdr:cNvPr id="26" name="Shape 26"/>
        <xdr:cNvSpPr/>
      </xdr:nvSpPr>
      <xdr:spPr>
        <a:xfrm>
          <a:off x="3817238" y="3375188"/>
          <a:ext cx="3057525" cy="809625"/>
        </a:xfrm>
        <a:prstGeom prst="rect">
          <a:avLst/>
        </a:prstGeom>
        <a:gradFill>
          <a:gsLst>
            <a:gs pos="0">
              <a:srgbClr val="9BC1FF"/>
            </a:gs>
            <a:gs pos="100000">
              <a:srgbClr val="3F80CD"/>
            </a:gs>
          </a:gsLst>
          <a:lin ang="5400000" scaled="0"/>
        </a:grad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FFFFFF"/>
              </a:solidFill>
              <a:latin typeface="Calibri"/>
              <a:ea typeface="Calibri"/>
              <a:cs typeface="Calibri"/>
              <a:sym typeface="Calibri"/>
            </a:rPr>
            <a:t>Decrease in wastegoing to landfills  likely due to an increased diversion rate thanks to increased recycling and composting efforts in recent years. </a:t>
          </a:r>
          <a:endParaRPr sz="1400"/>
        </a:p>
      </xdr:txBody>
    </xdr:sp>
    <xdr:clientData fLocksWithSheet="0"/>
  </xdr:oneCellAnchor>
  <xdr:oneCellAnchor>
    <xdr:from>
      <xdr:col>17</xdr:col>
      <xdr:colOff>447675</xdr:colOff>
      <xdr:row>7</xdr:row>
      <xdr:rowOff>0</xdr:rowOff>
    </xdr:from>
    <xdr:ext cx="4057650" cy="266700"/>
    <xdr:sp>
      <xdr:nvSpPr>
        <xdr:cNvPr id="27" name="Shape 27"/>
        <xdr:cNvSpPr/>
      </xdr:nvSpPr>
      <xdr:spPr>
        <a:xfrm>
          <a:off x="3321938" y="3651413"/>
          <a:ext cx="4048125"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note: FY 21 is provisional. Need to be updated with actuals </a:t>
          </a:r>
          <a:endParaRPr sz="1400"/>
        </a:p>
      </xdr:txBody>
    </xdr:sp>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190500</xdr:colOff>
      <xdr:row>5</xdr:row>
      <xdr:rowOff>19050</xdr:rowOff>
    </xdr:from>
    <xdr:ext cx="2867025" cy="390525"/>
    <xdr:sp>
      <xdr:nvSpPr>
        <xdr:cNvPr id="28" name="Shape 28"/>
        <xdr:cNvSpPr/>
      </xdr:nvSpPr>
      <xdr:spPr>
        <a:xfrm>
          <a:off x="3917250" y="3589500"/>
          <a:ext cx="2857500" cy="381000"/>
        </a:xfrm>
        <a:prstGeom prst="rect">
          <a:avLst/>
        </a:prstGeom>
        <a:gradFill>
          <a:gsLst>
            <a:gs pos="0">
              <a:srgbClr val="9BC1FF"/>
            </a:gs>
            <a:gs pos="100000">
              <a:srgbClr val="3F80CD"/>
            </a:gs>
          </a:gsLst>
          <a:lin ang="5400000" scaled="0"/>
        </a:grad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FFFFFF"/>
              </a:solidFill>
              <a:latin typeface="Calibri"/>
              <a:ea typeface="Calibri"/>
              <a:cs typeface="Calibri"/>
              <a:sym typeface="Calibri"/>
            </a:rPr>
            <a:t>Offsets are purchased for the Snow Bowl</a:t>
          </a:r>
          <a:endParaRPr sz="1400"/>
        </a:p>
      </xdr:txBody>
    </xdr:sp>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4</xdr:row>
      <xdr:rowOff>95250</xdr:rowOff>
    </xdr:from>
    <xdr:ext cx="4924425" cy="23526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57150</xdr:colOff>
      <xdr:row>23</xdr:row>
      <xdr:rowOff>85725</xdr:rowOff>
    </xdr:from>
    <xdr:ext cx="2476500" cy="19431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514350</xdr:colOff>
      <xdr:row>6</xdr:row>
      <xdr:rowOff>0</xdr:rowOff>
    </xdr:from>
    <xdr:ext cx="3028950" cy="1066800"/>
    <xdr:sp>
      <xdr:nvSpPr>
        <xdr:cNvPr id="29" name="Shape 29"/>
        <xdr:cNvSpPr/>
      </xdr:nvSpPr>
      <xdr:spPr>
        <a:xfrm>
          <a:off x="3836288" y="3251363"/>
          <a:ext cx="3019425" cy="1057275"/>
        </a:xfrm>
        <a:prstGeom prst="rect">
          <a:avLst/>
        </a:prstGeom>
        <a:gradFill>
          <a:gsLst>
            <a:gs pos="0">
              <a:srgbClr val="9BC1FF"/>
            </a:gs>
            <a:gs pos="100000">
              <a:srgbClr val="3F80CD"/>
            </a:gs>
          </a:gsLst>
          <a:lin ang="5400000" scaled="0"/>
        </a:grad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FFFFFF"/>
              </a:solidFill>
              <a:latin typeface="Calibri"/>
              <a:ea typeface="Calibri"/>
              <a:cs typeface="Calibri"/>
              <a:sym typeface="Calibri"/>
            </a:rPr>
            <a:t>The method used to calculate emissions from emplyee commuting was revised for FY09/10. The estimation is now based on survey data rather than on information about the town that each employee lives in. </a:t>
          </a:r>
          <a:endParaRPr sz="1400"/>
        </a:p>
      </xdr:txBody>
    </xdr:sp>
    <xdr:clientData fLocksWithSheet="0"/>
  </xdr:oneCellAnchor>
  <xdr:oneCellAnchor>
    <xdr:from>
      <xdr:col>6</xdr:col>
      <xdr:colOff>342900</xdr:colOff>
      <xdr:row>17</xdr:row>
      <xdr:rowOff>114300</xdr:rowOff>
    </xdr:from>
    <xdr:ext cx="2000250" cy="962025"/>
    <xdr:sp>
      <xdr:nvSpPr>
        <xdr:cNvPr id="30" name="Shape 30"/>
        <xdr:cNvSpPr/>
      </xdr:nvSpPr>
      <xdr:spPr>
        <a:xfrm>
          <a:off x="4350638" y="3303750"/>
          <a:ext cx="1990725" cy="952500"/>
        </a:xfrm>
        <a:prstGeom prst="rect">
          <a:avLst/>
        </a:prstGeom>
        <a:solidFill>
          <a:srgbClr val="8EB4E3"/>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We have commuting data from 09/10 and 10/11, was that because we actually surveyed faculty and staff members?  Yes</a:t>
          </a:r>
          <a:endParaRPr sz="1400"/>
        </a:p>
      </xdr:txBody>
    </xdr:sp>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4</xdr:row>
      <xdr:rowOff>95250</xdr:rowOff>
    </xdr:from>
    <xdr:ext cx="4924425" cy="23526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57150</xdr:colOff>
      <xdr:row>23</xdr:row>
      <xdr:rowOff>85725</xdr:rowOff>
    </xdr:from>
    <xdr:ext cx="2476500" cy="19431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247650</xdr:colOff>
      <xdr:row>3</xdr:row>
      <xdr:rowOff>209550</xdr:rowOff>
    </xdr:from>
    <xdr:ext cx="1638300" cy="2466975"/>
    <xdr:sp>
      <xdr:nvSpPr>
        <xdr:cNvPr id="3" name="Shape 3"/>
        <xdr:cNvSpPr/>
      </xdr:nvSpPr>
      <xdr:spPr>
        <a:xfrm>
          <a:off x="4603050" y="3103725"/>
          <a:ext cx="1485900" cy="1352550"/>
        </a:xfrm>
        <a:prstGeom prst="rect">
          <a:avLst/>
        </a:prstGeom>
        <a:solidFill>
          <a:srgbClr val="FFFFFF"/>
        </a:solidFill>
        <a:ln cap="flat" cmpd="sng" w="9525">
          <a:solidFill>
            <a:srgbClr val="BCBCBC"/>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000" u="none" strike="noStrike">
              <a:solidFill>
                <a:srgbClr val="000000"/>
              </a:solidFill>
              <a:latin typeface="Calibri"/>
              <a:ea typeface="Calibri"/>
              <a:cs typeface="Calibri"/>
              <a:sym typeface="Calibri"/>
            </a:rPr>
            <a:t>Note</a:t>
          </a:r>
          <a:r>
            <a:rPr i="0" lang="en-US" sz="1000" u="none" strike="noStrike">
              <a:solidFill>
                <a:srgbClr val="000000"/>
              </a:solidFill>
              <a:latin typeface="Calibri"/>
              <a:ea typeface="Calibri"/>
              <a:cs typeface="Calibri"/>
              <a:sym typeface="Calibri"/>
            </a:rPr>
            <a:t> re: Scope 3 FY20: due to the pandemic and campus shutdown,   college related travel was significantly curtailed for the last five months of the fiscal year. Final figures are not yet available but a rough estimate would be FY19 travel emissions x 7/12 (year) or about 2,445 metric tonnes.</a:t>
          </a:r>
          <a:endParaRPr sz="1400"/>
        </a:p>
      </xdr:txBody>
    </xdr:sp>
    <xdr:clientData fLocksWithSheet="0"/>
  </xdr:oneCellAnchor>
  <xdr:oneCellAnchor>
    <xdr:from>
      <xdr:col>18</xdr:col>
      <xdr:colOff>104775</xdr:colOff>
      <xdr:row>7</xdr:row>
      <xdr:rowOff>57150</xdr:rowOff>
    </xdr:from>
    <xdr:ext cx="1895475" cy="1743075"/>
    <xdr:sp>
      <xdr:nvSpPr>
        <xdr:cNvPr id="4" name="Shape 4"/>
        <xdr:cNvSpPr/>
      </xdr:nvSpPr>
      <xdr:spPr>
        <a:xfrm>
          <a:off x="4403025" y="2913225"/>
          <a:ext cx="1885950" cy="17335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rgbClr val="000000"/>
              </a:solidFill>
              <a:latin typeface="Calibri"/>
              <a:ea typeface="Calibri"/>
              <a:cs typeface="Calibri"/>
              <a:sym typeface="Calibri"/>
            </a:rPr>
            <a:t>NOTE</a:t>
          </a:r>
          <a:r>
            <a:rPr i="0" lang="en-US" sz="1100" u="none" strike="noStrike">
              <a:solidFill>
                <a:srgbClr val="000000"/>
              </a:solidFill>
              <a:latin typeface="Calibri"/>
              <a:ea typeface="Calibri"/>
              <a:cs typeface="Calibri"/>
              <a:sym typeface="Calibri"/>
            </a:rPr>
            <a:t>: FY23 adjustment in travel related carbon emissions is: minus 4853 due to overestimates of travel during the FY20, 21 and 22 time periods. For carbon offset purhchase purposes, emissions for 2023 to offset are: 9967.2 - 4,853 = 5,114 MTCDE See scope 3 Travel for calculations.</a:t>
          </a:r>
          <a:endParaRPr sz="1400"/>
        </a:p>
      </xdr:txBody>
    </xdr:sp>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0</xdr:colOff>
      <xdr:row>3</xdr:row>
      <xdr:rowOff>114300</xdr:rowOff>
    </xdr:from>
    <xdr:ext cx="1609725" cy="2019300"/>
    <xdr:sp>
      <xdr:nvSpPr>
        <xdr:cNvPr id="5" name="Shape 5"/>
        <xdr:cNvSpPr/>
      </xdr:nvSpPr>
      <xdr:spPr>
        <a:xfrm>
          <a:off x="4545900" y="2775113"/>
          <a:ext cx="1600200" cy="2009775"/>
        </a:xfrm>
        <a:prstGeom prst="rect">
          <a:avLst/>
        </a:prstGeom>
        <a:solidFill>
          <a:srgbClr val="FFFFFF"/>
        </a:solidFill>
        <a:ln cap="flat" cmpd="sng" w="9525">
          <a:solidFill>
            <a:srgbClr val="BCBCBC"/>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000" u="none" strike="noStrike">
              <a:solidFill>
                <a:srgbClr val="000000"/>
              </a:solidFill>
              <a:latin typeface="Calibri"/>
              <a:ea typeface="Calibri"/>
              <a:cs typeface="Calibri"/>
              <a:sym typeface="Calibri"/>
            </a:rPr>
            <a:t>Note</a:t>
          </a:r>
          <a:r>
            <a:rPr i="0" lang="en-US" sz="1000" u="none" strike="noStrike">
              <a:solidFill>
                <a:srgbClr val="000000"/>
              </a:solidFill>
              <a:latin typeface="Calibri"/>
              <a:ea typeface="Calibri"/>
              <a:cs typeface="Calibri"/>
              <a:sym typeface="Calibri"/>
            </a:rPr>
            <a:t>: in FY19 the College accounting system was migrated to a new platform which coutned travel expenses differently than in the past. The GHGI method for estimating emissions from purchased travel is being revised and FY 20 data will be posted when available.</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561975</xdr:colOff>
      <xdr:row>50</xdr:row>
      <xdr:rowOff>76200</xdr:rowOff>
    </xdr:from>
    <xdr:ext cx="3648075" cy="923925"/>
    <xdr:sp>
      <xdr:nvSpPr>
        <xdr:cNvPr id="6" name="Shape 6"/>
        <xdr:cNvSpPr/>
      </xdr:nvSpPr>
      <xdr:spPr>
        <a:xfrm>
          <a:off x="3526725" y="3322800"/>
          <a:ext cx="3638550" cy="914400"/>
        </a:xfrm>
        <a:prstGeom prst="rect">
          <a:avLst/>
        </a:prstGeom>
        <a:gradFill>
          <a:gsLst>
            <a:gs pos="0">
              <a:srgbClr val="9BC1FF"/>
            </a:gs>
            <a:gs pos="100000">
              <a:srgbClr val="3F80CD"/>
            </a:gs>
          </a:gsLst>
          <a:lin ang="5400000" scaled="0"/>
        </a:gradFill>
        <a:ln cap="flat" cmpd="sng" w="9525">
          <a:solidFill>
            <a:srgbClr val="4A7EB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FFFFFF"/>
              </a:solidFill>
              <a:latin typeface="Calibri"/>
              <a:ea typeface="Calibri"/>
              <a:cs typeface="Calibri"/>
              <a:sym typeface="Calibri"/>
            </a:rPr>
            <a:t>The biomass facility came online partway through FY 08/09, and then was online for all of FY09/10 and 10/11. The plant operators continued to learn to operate the facility and keep it running smoothly, explaining the increased proportion of biomass to #6 fuel oil in FY10/11. </a:t>
          </a:r>
          <a:endParaRPr sz="1400"/>
        </a:p>
      </xdr:txBody>
    </xdr:sp>
    <xdr:clientData fLocksWithSheet="0"/>
  </xdr:oneCellAnchor>
  <xdr:oneCellAnchor>
    <xdr:from>
      <xdr:col>19</xdr:col>
      <xdr:colOff>619125</xdr:colOff>
      <xdr:row>57</xdr:row>
      <xdr:rowOff>76200</xdr:rowOff>
    </xdr:from>
    <xdr:ext cx="1905000" cy="781050"/>
    <xdr:sp>
      <xdr:nvSpPr>
        <xdr:cNvPr id="7" name="Shape 7"/>
        <xdr:cNvSpPr/>
      </xdr:nvSpPr>
      <xdr:spPr>
        <a:xfrm>
          <a:off x="4398263" y="3394238"/>
          <a:ext cx="1895475" cy="7715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solidFill>
                <a:srgbClr val="000000"/>
              </a:solidFill>
              <a:latin typeface="Calibri"/>
              <a:ea typeface="Calibri"/>
              <a:cs typeface="Calibri"/>
              <a:sym typeface="Calibri"/>
            </a:rPr>
            <a:t>FY 19 NatGas includes addt'l 21 mcf for off central system buidlings  converted to nat gas</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4</xdr:row>
      <xdr:rowOff>85725</xdr:rowOff>
    </xdr:from>
    <xdr:ext cx="4848225" cy="23145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104775</xdr:colOff>
      <xdr:row>22</xdr:row>
      <xdr:rowOff>57150</xdr:rowOff>
    </xdr:from>
    <xdr:ext cx="2266950" cy="18192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4.xml"/><Relationship Id="rId3"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6.xml"/><Relationship Id="rId3"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7.xml"/><Relationship Id="rId3"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8.xml"/><Relationship Id="rId3"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pcc.ch/"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0.xml"/><Relationship Id="rId3" Type="http://schemas.openxmlformats.org/officeDocument/2006/relationships/vmlDrawing" Target="../drawings/vmlDrawing8.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1.xml"/><Relationship Id="rId3" Type="http://schemas.openxmlformats.org/officeDocument/2006/relationships/vmlDrawing" Target="../drawings/vmlDrawing9.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4.xml"/><Relationship Id="rId3"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5.xml"/><Relationship Id="rId3"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31.xml"/><Relationship Id="rId3" Type="http://schemas.openxmlformats.org/officeDocument/2006/relationships/vmlDrawing" Target="../drawings/vmlDrawing12.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32.xml"/><Relationship Id="rId3" Type="http://schemas.openxmlformats.org/officeDocument/2006/relationships/vmlDrawing" Target="../drawings/vmlDrawing13.v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eia.gov/totalenergy/data/monthly/pdf/sec13_4.pdf" TargetMode="External"/><Relationship Id="rId3" Type="http://schemas.openxmlformats.org/officeDocument/2006/relationships/drawing" Target="../drawings/drawing7.xml"/><Relationship Id="rId4"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hyperlink" Target="https://publicservice.vermont.gov/renewable_energy/cedf/reports"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epa.gov/sites/production/files/2015-07/documents/emission-factors_2014.pdf" TargetMode="External"/><Relationship Id="rId2" Type="http://schemas.openxmlformats.org/officeDocument/2006/relationships/hyperlink" Target="https://www.epa.gov/sites/production/files/2015-07/documents/emission-factors_2014.pdf" TargetMode="External"/><Relationship Id="rId3" Type="http://schemas.openxmlformats.org/officeDocument/2006/relationships/hyperlink" Target="https://www.epa.gov/sites/production/files/2015-07/documents/emission-factors_2014.pdf" TargetMode="External"/><Relationship Id="rId4" Type="http://schemas.openxmlformats.org/officeDocument/2006/relationships/hyperlink" Target="https://www.epa.gov/energy/greenhouse-gases-equivalencies-calculator-calculations-and-references" TargetMode="External"/><Relationship Id="rId5" Type="http://schemas.openxmlformats.org/officeDocument/2006/relationships/hyperlink" Target="https://fpr.vermont.gov/sites/fpr/files/Forest_and_Forestry/Forest_Based_Business/Library/2018%20HARVEST_RPT_FINAL.pdf" TargetMode="External"/><Relationship Id="rId6" Type="http://schemas.openxmlformats.org/officeDocument/2006/relationships/hyperlink" Target="https://fpr.vermont.gov/sites/fpr/files/Forest_and_Forestry/Forest_Based_Business/Library/2018%20HARVEST_RPT_FINAL.pdf" TargetMode="External"/><Relationship Id="rId7" Type="http://schemas.openxmlformats.org/officeDocument/2006/relationships/hyperlink" Target="https://www.fs.fed.us/nrs/pubs/ru/ru_fs119.pdf"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FFCC"/>
    <pageSetUpPr/>
  </sheetPr>
  <sheetViews>
    <sheetView workbookViewId="0"/>
  </sheetViews>
  <sheetFormatPr customHeight="1" defaultColWidth="12.63" defaultRowHeight="15.0"/>
  <cols>
    <col customWidth="1" min="1" max="2" width="8.88"/>
    <col customWidth="1" min="3" max="3" width="16.5"/>
    <col customWidth="1" min="4" max="4" width="16.38"/>
    <col customWidth="1" min="5" max="6" width="8.88"/>
    <col customWidth="1" min="7" max="7" width="23.88"/>
    <col customWidth="1" min="8" max="8" width="8.88"/>
    <col customWidth="1" min="9" max="9" width="9.5"/>
    <col customWidth="1" min="10" max="28" width="8.88"/>
  </cols>
  <sheetData>
    <row r="1" ht="12.75" customHeight="1">
      <c r="A1" s="1" t="s">
        <v>0</v>
      </c>
      <c r="B1" s="2"/>
      <c r="C1" s="2"/>
      <c r="D1" s="2"/>
      <c r="E1" s="2"/>
      <c r="F1" s="2"/>
      <c r="G1" s="2"/>
      <c r="H1" s="2"/>
      <c r="I1" s="3"/>
    </row>
    <row r="2" ht="12.75" customHeight="1">
      <c r="A2" s="4"/>
      <c r="I2" s="5"/>
    </row>
    <row r="3" ht="37.5" customHeight="1">
      <c r="A3" s="6"/>
      <c r="B3" s="7"/>
      <c r="C3" s="7"/>
      <c r="D3" s="7"/>
      <c r="E3" s="7"/>
      <c r="F3" s="7"/>
      <c r="G3" s="7"/>
      <c r="H3" s="7"/>
      <c r="I3" s="8"/>
    </row>
    <row r="4" ht="25.5" customHeight="1">
      <c r="A4" s="9" t="s">
        <v>1</v>
      </c>
    </row>
    <row r="5" ht="12.75" customHeight="1"/>
    <row r="6" ht="12.75" customHeight="1"/>
    <row r="7" ht="51.0" customHeight="1"/>
    <row r="8" ht="19.5" customHeight="1">
      <c r="A8" s="10"/>
    </row>
    <row r="9" ht="54.75" customHeight="1">
      <c r="A9" s="11" t="s">
        <v>2</v>
      </c>
      <c r="M9" s="12"/>
    </row>
    <row r="10" ht="6.0" customHeight="1">
      <c r="A10" s="13"/>
      <c r="B10" s="13"/>
      <c r="C10" s="13"/>
      <c r="D10" s="13"/>
      <c r="E10" s="13"/>
      <c r="F10" s="13"/>
      <c r="G10" s="13"/>
      <c r="H10" s="13"/>
      <c r="I10" s="13"/>
    </row>
    <row r="11" ht="13.5" customHeight="1">
      <c r="A11" s="14" t="s">
        <v>3</v>
      </c>
      <c r="B11" s="15"/>
      <c r="C11" s="15"/>
      <c r="D11" s="15"/>
      <c r="E11" s="15"/>
      <c r="F11" s="15"/>
      <c r="G11" s="16"/>
      <c r="H11" s="14" t="s">
        <v>4</v>
      </c>
      <c r="I11" s="16"/>
    </row>
    <row r="12" ht="12.75" customHeight="1">
      <c r="A12" s="17"/>
      <c r="G12" s="18"/>
      <c r="H12" s="17"/>
      <c r="I12" s="18"/>
    </row>
    <row r="13" ht="13.5" customHeight="1">
      <c r="A13" s="19"/>
      <c r="B13" s="20"/>
      <c r="C13" s="20"/>
      <c r="D13" s="20"/>
      <c r="E13" s="20"/>
      <c r="F13" s="20"/>
      <c r="G13" s="21"/>
      <c r="H13" s="19"/>
      <c r="I13" s="21"/>
    </row>
    <row r="14" ht="18.0" customHeight="1">
      <c r="A14" s="22"/>
      <c r="B14" s="22"/>
      <c r="C14" s="23" t="s">
        <v>5</v>
      </c>
      <c r="D14" s="23" t="s">
        <v>6</v>
      </c>
      <c r="E14" s="23" t="s">
        <v>7</v>
      </c>
      <c r="F14" s="22"/>
      <c r="G14" s="22"/>
      <c r="H14" s="22"/>
      <c r="I14" s="22"/>
    </row>
    <row r="15" ht="12.75" customHeight="1">
      <c r="A15" s="14" t="s">
        <v>8</v>
      </c>
      <c r="B15" s="15"/>
      <c r="C15" s="15"/>
      <c r="D15" s="15"/>
      <c r="E15" s="15"/>
      <c r="F15" s="15"/>
      <c r="G15" s="16"/>
      <c r="H15" s="14" t="s">
        <v>9</v>
      </c>
      <c r="I15" s="15"/>
    </row>
    <row r="16" ht="12.75" customHeight="1">
      <c r="A16" s="17"/>
      <c r="G16" s="18"/>
      <c r="H16" s="17"/>
    </row>
    <row r="17" ht="13.5" customHeight="1">
      <c r="A17" s="19"/>
      <c r="B17" s="20"/>
      <c r="C17" s="20"/>
      <c r="D17" s="20"/>
      <c r="E17" s="20"/>
      <c r="F17" s="20"/>
      <c r="G17" s="21"/>
      <c r="H17" s="19"/>
      <c r="I17" s="20"/>
    </row>
    <row r="18" ht="18.0" customHeight="1">
      <c r="A18" s="22"/>
      <c r="B18" s="22"/>
      <c r="C18" s="22"/>
      <c r="D18" s="22"/>
      <c r="E18" s="22"/>
      <c r="F18" s="22"/>
      <c r="G18" s="22"/>
      <c r="H18" s="22"/>
      <c r="I18" s="22"/>
    </row>
    <row r="19" ht="12.75" customHeight="1">
      <c r="A19" s="14" t="s">
        <v>10</v>
      </c>
      <c r="B19" s="15"/>
      <c r="C19" s="15"/>
      <c r="D19" s="15"/>
      <c r="E19" s="15"/>
      <c r="F19" s="15"/>
      <c r="G19" s="16"/>
      <c r="H19" s="14" t="s">
        <v>9</v>
      </c>
      <c r="I19" s="16"/>
    </row>
    <row r="20" ht="12.75" customHeight="1">
      <c r="A20" s="17"/>
      <c r="G20" s="18"/>
      <c r="H20" s="17"/>
      <c r="I20" s="18"/>
    </row>
    <row r="21" ht="12.75" customHeight="1">
      <c r="A21" s="19"/>
      <c r="B21" s="20"/>
      <c r="C21" s="20"/>
      <c r="D21" s="20"/>
      <c r="E21" s="20"/>
      <c r="F21" s="20"/>
      <c r="G21" s="21"/>
      <c r="H21" s="19"/>
      <c r="I21" s="21"/>
    </row>
    <row r="22" ht="18.0" customHeight="1">
      <c r="A22" s="22"/>
      <c r="B22" s="22"/>
      <c r="C22" s="22"/>
      <c r="D22" s="22"/>
      <c r="E22" s="22"/>
      <c r="F22" s="22"/>
      <c r="G22" s="22"/>
      <c r="H22" s="22"/>
      <c r="I22" s="22"/>
    </row>
    <row r="23" ht="12.75" customHeight="1">
      <c r="A23" s="14" t="s">
        <v>11</v>
      </c>
      <c r="B23" s="15"/>
      <c r="C23" s="15"/>
      <c r="D23" s="15"/>
      <c r="E23" s="15"/>
      <c r="F23" s="15"/>
      <c r="G23" s="16"/>
      <c r="H23" s="14" t="s">
        <v>9</v>
      </c>
      <c r="I23" s="16"/>
    </row>
    <row r="24" ht="12.75" customHeight="1">
      <c r="A24" s="17"/>
      <c r="G24" s="18"/>
      <c r="H24" s="17"/>
      <c r="I24" s="18"/>
    </row>
    <row r="25" ht="12.75" customHeight="1">
      <c r="A25" s="19"/>
      <c r="B25" s="20"/>
      <c r="C25" s="20"/>
      <c r="D25" s="20"/>
      <c r="E25" s="20"/>
      <c r="F25" s="20"/>
      <c r="G25" s="21"/>
      <c r="H25" s="19"/>
      <c r="I25" s="21"/>
    </row>
    <row r="26" ht="18.0" customHeight="1">
      <c r="A26" s="22"/>
      <c r="B26" s="22"/>
      <c r="C26" s="22"/>
      <c r="D26" s="22"/>
      <c r="E26" s="22"/>
      <c r="F26" s="22"/>
      <c r="G26" s="22"/>
      <c r="H26" s="22"/>
      <c r="I26" s="22"/>
    </row>
    <row r="27" ht="12.75" customHeight="1">
      <c r="A27" s="14" t="s">
        <v>12</v>
      </c>
      <c r="B27" s="15"/>
      <c r="C27" s="15"/>
      <c r="D27" s="15"/>
      <c r="E27" s="15"/>
      <c r="F27" s="15"/>
      <c r="G27" s="16"/>
      <c r="H27" s="14" t="s">
        <v>9</v>
      </c>
      <c r="I27" s="16"/>
    </row>
    <row r="28" ht="12.75" customHeight="1">
      <c r="A28" s="17"/>
      <c r="G28" s="18"/>
      <c r="H28" s="17"/>
      <c r="I28" s="18"/>
    </row>
    <row r="29" ht="12.75" customHeight="1">
      <c r="A29" s="19"/>
      <c r="B29" s="20"/>
      <c r="C29" s="20"/>
      <c r="D29" s="20"/>
      <c r="E29" s="20"/>
      <c r="F29" s="20"/>
      <c r="G29" s="21"/>
      <c r="H29" s="19"/>
      <c r="I29" s="21"/>
    </row>
    <row r="30" ht="18.0" customHeight="1">
      <c r="A30" s="22"/>
      <c r="B30" s="22"/>
      <c r="C30" s="22"/>
      <c r="D30" s="22"/>
      <c r="E30" s="22"/>
      <c r="F30" s="22"/>
      <c r="G30" s="22"/>
      <c r="H30" s="22"/>
      <c r="I30" s="22"/>
    </row>
    <row r="31" ht="12.75" customHeight="1">
      <c r="A31" s="14" t="s">
        <v>13</v>
      </c>
      <c r="B31" s="15"/>
      <c r="C31" s="15"/>
      <c r="D31" s="15"/>
      <c r="E31" s="15"/>
      <c r="F31" s="15"/>
      <c r="G31" s="16"/>
      <c r="H31" s="14" t="s">
        <v>9</v>
      </c>
      <c r="I31" s="16"/>
    </row>
    <row r="32" ht="12.75" customHeight="1">
      <c r="A32" s="17"/>
      <c r="G32" s="18"/>
      <c r="H32" s="17"/>
      <c r="I32" s="18"/>
    </row>
    <row r="33" ht="12.75" customHeight="1">
      <c r="A33" s="19"/>
      <c r="B33" s="20"/>
      <c r="C33" s="20"/>
      <c r="D33" s="20"/>
      <c r="E33" s="20"/>
      <c r="F33" s="20"/>
      <c r="G33" s="21"/>
      <c r="H33" s="19"/>
      <c r="I33" s="21"/>
    </row>
    <row r="34" ht="12.75" customHeight="1">
      <c r="A34" s="24"/>
      <c r="B34" s="24"/>
      <c r="C34" s="24"/>
      <c r="D34" s="24"/>
      <c r="E34" s="24"/>
      <c r="F34" s="24"/>
      <c r="G34" s="24"/>
      <c r="H34" s="24"/>
      <c r="I34" s="24"/>
    </row>
    <row r="35" ht="12.75" customHeight="1">
      <c r="A35" s="24"/>
      <c r="B35" s="24"/>
      <c r="C35" s="24"/>
      <c r="D35" s="24" t="s">
        <v>14</v>
      </c>
      <c r="E35" s="24"/>
      <c r="F35" s="24"/>
      <c r="G35" s="24"/>
      <c r="H35" s="24" t="s">
        <v>9</v>
      </c>
      <c r="I35" s="24"/>
    </row>
    <row r="36" ht="18.0" customHeight="1">
      <c r="A36" s="22"/>
      <c r="B36" s="22"/>
      <c r="C36" s="22"/>
      <c r="D36" s="22"/>
      <c r="E36" s="22"/>
      <c r="F36" s="22"/>
      <c r="G36" s="22"/>
      <c r="H36" s="22"/>
      <c r="I36" s="22"/>
    </row>
    <row r="37" ht="12.75" customHeight="1">
      <c r="A37" s="14" t="s">
        <v>15</v>
      </c>
      <c r="B37" s="15"/>
      <c r="C37" s="15"/>
      <c r="D37" s="15"/>
      <c r="E37" s="15"/>
      <c r="F37" s="15"/>
      <c r="G37" s="16"/>
      <c r="H37" s="14" t="s">
        <v>9</v>
      </c>
      <c r="I37" s="16"/>
    </row>
    <row r="38" ht="12.75" customHeight="1">
      <c r="A38" s="17"/>
      <c r="G38" s="18"/>
      <c r="H38" s="17"/>
      <c r="I38" s="18"/>
    </row>
    <row r="39" ht="12.75" customHeight="1">
      <c r="A39" s="19"/>
      <c r="B39" s="20"/>
      <c r="C39" s="20"/>
      <c r="D39" s="20"/>
      <c r="E39" s="20"/>
      <c r="F39" s="20"/>
      <c r="G39" s="21"/>
      <c r="H39" s="19"/>
      <c r="I39" s="21"/>
    </row>
    <row r="40" ht="18.0" customHeight="1">
      <c r="A40" s="22"/>
      <c r="B40" s="22"/>
      <c r="C40" s="22"/>
      <c r="D40" s="22"/>
      <c r="E40" s="22"/>
      <c r="F40" s="22"/>
      <c r="G40" s="22"/>
      <c r="H40" s="22"/>
      <c r="I40" s="22"/>
    </row>
    <row r="41" ht="12.75" customHeight="1">
      <c r="A41" s="14" t="s">
        <v>16</v>
      </c>
      <c r="B41" s="15"/>
      <c r="C41" s="15"/>
      <c r="D41" s="15"/>
      <c r="E41" s="15"/>
      <c r="F41" s="15"/>
      <c r="G41" s="16"/>
      <c r="H41" s="14" t="s">
        <v>9</v>
      </c>
      <c r="I41" s="16"/>
    </row>
    <row r="42" ht="12.75" customHeight="1">
      <c r="A42" s="17"/>
      <c r="G42" s="18"/>
      <c r="H42" s="17"/>
      <c r="I42" s="18"/>
    </row>
    <row r="43" ht="12.75" customHeight="1">
      <c r="A43" s="19"/>
      <c r="B43" s="20"/>
      <c r="C43" s="20"/>
      <c r="D43" s="20"/>
      <c r="E43" s="20"/>
      <c r="F43" s="20"/>
      <c r="G43" s="21"/>
      <c r="H43" s="19"/>
      <c r="I43" s="21"/>
    </row>
    <row r="44" ht="12.75" customHeight="1">
      <c r="A44" s="25"/>
      <c r="B44" s="25"/>
      <c r="C44" s="25"/>
      <c r="D44" s="25"/>
      <c r="E44" s="25"/>
      <c r="F44" s="25"/>
      <c r="G44" s="25"/>
      <c r="H44" s="25"/>
      <c r="I44" s="25"/>
    </row>
    <row r="45" ht="12.75" customHeight="1">
      <c r="A45" s="14" t="s">
        <v>17</v>
      </c>
      <c r="B45" s="15"/>
      <c r="C45" s="15"/>
      <c r="D45" s="15"/>
      <c r="E45" s="15"/>
      <c r="F45" s="15"/>
      <c r="G45" s="16"/>
      <c r="H45" s="14" t="s">
        <v>9</v>
      </c>
      <c r="I45" s="16"/>
    </row>
    <row r="46" ht="12.75" customHeight="1">
      <c r="A46" s="17"/>
      <c r="G46" s="18"/>
      <c r="H46" s="17"/>
      <c r="I46" s="18"/>
    </row>
    <row r="47" ht="12.75" customHeight="1">
      <c r="A47" s="19"/>
      <c r="B47" s="20"/>
      <c r="C47" s="20"/>
      <c r="D47" s="20"/>
      <c r="E47" s="20"/>
      <c r="F47" s="20"/>
      <c r="G47" s="21"/>
      <c r="H47" s="19"/>
      <c r="I47" s="21"/>
    </row>
    <row r="48" ht="12.75" customHeight="1">
      <c r="A48" s="25"/>
      <c r="B48" s="25"/>
      <c r="C48" s="25"/>
      <c r="D48" s="25"/>
      <c r="E48" s="25"/>
      <c r="F48" s="25"/>
      <c r="G48" s="25"/>
      <c r="H48" s="25"/>
      <c r="I48" s="25"/>
    </row>
    <row r="49" ht="12.75" customHeight="1"/>
    <row r="50" ht="12.75" customHeight="1">
      <c r="A50" s="14" t="s">
        <v>18</v>
      </c>
      <c r="B50" s="15"/>
      <c r="C50" s="15"/>
      <c r="D50" s="15"/>
      <c r="E50" s="15"/>
      <c r="F50" s="15"/>
      <c r="G50" s="16"/>
      <c r="H50" s="14" t="s">
        <v>9</v>
      </c>
      <c r="I50" s="16"/>
      <c r="J50" s="26"/>
      <c r="K50" s="15"/>
      <c r="L50" s="15"/>
      <c r="M50" s="15"/>
      <c r="N50" s="15"/>
      <c r="O50" s="15"/>
      <c r="P50" s="16"/>
      <c r="Q50" s="26"/>
      <c r="R50" s="16"/>
      <c r="S50" s="26"/>
      <c r="T50" s="15"/>
      <c r="U50" s="15"/>
      <c r="V50" s="15"/>
      <c r="W50" s="15"/>
      <c r="X50" s="15"/>
      <c r="Y50" s="16"/>
      <c r="Z50" s="26"/>
      <c r="AA50" s="16"/>
      <c r="AB50" s="27"/>
    </row>
    <row r="51" ht="12.75" customHeight="1">
      <c r="A51" s="17"/>
      <c r="G51" s="18"/>
      <c r="H51" s="17"/>
      <c r="I51" s="18"/>
      <c r="J51" s="17"/>
      <c r="P51" s="18"/>
      <c r="Q51" s="17"/>
      <c r="R51" s="18"/>
      <c r="S51" s="17"/>
      <c r="Y51" s="18"/>
      <c r="Z51" s="17"/>
      <c r="AA51" s="18"/>
      <c r="AB51" s="28"/>
    </row>
    <row r="52" ht="12.75" customHeight="1">
      <c r="A52" s="19"/>
      <c r="B52" s="20"/>
      <c r="C52" s="20"/>
      <c r="D52" s="20"/>
      <c r="E52" s="20"/>
      <c r="F52" s="20"/>
      <c r="G52" s="21"/>
      <c r="H52" s="19"/>
      <c r="I52" s="21"/>
      <c r="J52" s="19"/>
      <c r="K52" s="20"/>
      <c r="L52" s="20"/>
      <c r="M52" s="20"/>
      <c r="N52" s="20"/>
      <c r="O52" s="20"/>
      <c r="P52" s="21"/>
      <c r="Q52" s="19"/>
      <c r="R52" s="21"/>
      <c r="S52" s="19"/>
      <c r="T52" s="20"/>
      <c r="U52" s="20"/>
      <c r="V52" s="20"/>
      <c r="W52" s="20"/>
      <c r="X52" s="20"/>
      <c r="Y52" s="21"/>
      <c r="Z52" s="19"/>
      <c r="AA52" s="21"/>
      <c r="AB52" s="29"/>
    </row>
    <row r="53" ht="12.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c r="F72" s="30"/>
      <c r="G72" s="25"/>
      <c r="H72" s="25"/>
      <c r="I72" s="25"/>
    </row>
    <row r="73" ht="12.75" customHeight="1">
      <c r="F73" s="25"/>
      <c r="G73" s="25"/>
      <c r="H73" s="25"/>
      <c r="I73" s="25"/>
    </row>
    <row r="74" ht="12.75" customHeight="1">
      <c r="F74" s="25"/>
      <c r="G74" s="25"/>
      <c r="H74" s="25"/>
      <c r="I74" s="25"/>
    </row>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9">
    <mergeCell ref="A1:I3"/>
    <mergeCell ref="A4:I7"/>
    <mergeCell ref="A8:I8"/>
    <mergeCell ref="A9:I9"/>
    <mergeCell ref="A11:G13"/>
    <mergeCell ref="H11:I13"/>
    <mergeCell ref="H15:I17"/>
    <mergeCell ref="A15:G17"/>
    <mergeCell ref="A19:G21"/>
    <mergeCell ref="H19:I21"/>
    <mergeCell ref="A23:G25"/>
    <mergeCell ref="H23:I25"/>
    <mergeCell ref="A27:G29"/>
    <mergeCell ref="H27:I29"/>
    <mergeCell ref="A45:G47"/>
    <mergeCell ref="A50:G52"/>
    <mergeCell ref="H50:I52"/>
    <mergeCell ref="J50:P52"/>
    <mergeCell ref="Q50:R52"/>
    <mergeCell ref="S50:Y52"/>
    <mergeCell ref="Z50:AA52"/>
    <mergeCell ref="AB50:AB52"/>
    <mergeCell ref="A31:G33"/>
    <mergeCell ref="H31:I33"/>
    <mergeCell ref="A37:G39"/>
    <mergeCell ref="H37:I39"/>
    <mergeCell ref="A41:G43"/>
    <mergeCell ref="H41:I43"/>
    <mergeCell ref="H45:I47"/>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3.63"/>
    <col customWidth="1" min="2" max="2" width="8.5"/>
    <col customWidth="1" min="3" max="3" width="17.13"/>
    <col customWidth="1" min="4" max="4" width="11.13"/>
    <col customWidth="1" min="5" max="5" width="11.63"/>
    <col customWidth="1" min="6" max="6" width="17.0"/>
    <col customWidth="1" min="7" max="7" width="11.5"/>
    <col customWidth="1" min="8" max="8" width="10.5"/>
    <col customWidth="1" min="9" max="9" width="9.63"/>
    <col customWidth="1" min="10" max="10" width="9.0"/>
    <col customWidth="1" min="11" max="13" width="9.13"/>
    <col customWidth="1" min="14" max="14" width="8.88"/>
    <col customWidth="1" min="15" max="16" width="9.5"/>
    <col customWidth="1" min="17" max="20" width="8.88"/>
    <col customWidth="1" min="21" max="21" width="21.5"/>
    <col customWidth="1" min="22" max="26" width="10.0"/>
  </cols>
  <sheetData>
    <row r="1" ht="27.75" customHeight="1">
      <c r="A1" s="212" t="s">
        <v>435</v>
      </c>
      <c r="B1" s="90"/>
      <c r="C1" s="90"/>
      <c r="D1" s="90"/>
      <c r="E1" s="90"/>
      <c r="F1" s="90"/>
      <c r="G1" s="91"/>
      <c r="H1" s="213"/>
      <c r="I1" s="213"/>
      <c r="J1" s="213"/>
    </row>
    <row r="2" ht="12.75" customHeight="1">
      <c r="A2" s="110" t="s">
        <v>436</v>
      </c>
    </row>
    <row r="3" ht="12.75" customHeight="1"/>
    <row r="4" ht="12.75" customHeight="1">
      <c r="Q4" s="25"/>
      <c r="R4" s="25"/>
    </row>
    <row r="5" ht="12.75" customHeight="1">
      <c r="A5" s="25"/>
      <c r="B5" s="25"/>
      <c r="C5" s="25"/>
      <c r="D5" s="25"/>
      <c r="E5" s="25"/>
      <c r="F5" s="25"/>
      <c r="G5" s="25"/>
      <c r="Q5" s="25"/>
      <c r="R5" s="25"/>
      <c r="U5" s="47"/>
    </row>
    <row r="6" ht="15.75" customHeight="1">
      <c r="A6" s="92" t="s">
        <v>437</v>
      </c>
      <c r="B6" s="25"/>
      <c r="C6" s="25"/>
      <c r="D6" s="25"/>
      <c r="E6" s="25"/>
      <c r="F6" s="25"/>
      <c r="G6" s="25"/>
      <c r="Q6" s="25"/>
      <c r="R6" s="25"/>
    </row>
    <row r="7" ht="12.75" customHeight="1">
      <c r="A7" s="25"/>
      <c r="B7" s="47" t="s">
        <v>438</v>
      </c>
      <c r="C7" s="25"/>
      <c r="D7" s="25"/>
      <c r="E7" s="25"/>
      <c r="F7" s="25"/>
      <c r="G7" s="25"/>
      <c r="Q7" s="25"/>
      <c r="R7" s="25"/>
    </row>
    <row r="8" ht="12.75" customHeight="1">
      <c r="A8" s="47" t="s">
        <v>164</v>
      </c>
      <c r="B8" s="86" t="s">
        <v>76</v>
      </c>
      <c r="C8" s="86" t="s">
        <v>77</v>
      </c>
      <c r="D8" s="86" t="s">
        <v>78</v>
      </c>
      <c r="E8" s="47" t="s">
        <v>79</v>
      </c>
      <c r="F8" s="47" t="s">
        <v>439</v>
      </c>
      <c r="G8" s="47" t="s">
        <v>81</v>
      </c>
      <c r="H8" s="94" t="s">
        <v>82</v>
      </c>
      <c r="I8" s="94" t="s">
        <v>83</v>
      </c>
      <c r="J8" s="94" t="s">
        <v>84</v>
      </c>
      <c r="K8" s="94" t="s">
        <v>85</v>
      </c>
      <c r="L8" s="94" t="s">
        <v>185</v>
      </c>
      <c r="M8" s="94" t="s">
        <v>186</v>
      </c>
      <c r="N8" s="94" t="s">
        <v>187</v>
      </c>
      <c r="O8" s="94" t="s">
        <v>188</v>
      </c>
      <c r="P8" s="96" t="s">
        <v>189</v>
      </c>
      <c r="Q8" s="96" t="s">
        <v>190</v>
      </c>
      <c r="R8" s="96" t="s">
        <v>191</v>
      </c>
    </row>
    <row r="9" ht="12.75" customHeight="1">
      <c r="A9" s="25" t="s">
        <v>138</v>
      </c>
      <c r="B9" s="73">
        <f t="shared" ref="B9:R9" si="1">B28</f>
        <v>242.9</v>
      </c>
      <c r="C9" s="73">
        <f t="shared" si="1"/>
        <v>253.7</v>
      </c>
      <c r="D9" s="73">
        <f t="shared" si="1"/>
        <v>241.9</v>
      </c>
      <c r="E9" s="73">
        <f t="shared" si="1"/>
        <v>202.2</v>
      </c>
      <c r="F9" s="73">
        <f t="shared" si="1"/>
        <v>229.6</v>
      </c>
      <c r="G9" s="73">
        <f t="shared" si="1"/>
        <v>215.8</v>
      </c>
      <c r="H9" s="73">
        <f t="shared" si="1"/>
        <v>240.2</v>
      </c>
      <c r="I9" s="73">
        <f t="shared" si="1"/>
        <v>266.8</v>
      </c>
      <c r="J9" s="73">
        <f t="shared" si="1"/>
        <v>263.7</v>
      </c>
      <c r="K9" s="73">
        <f t="shared" si="1"/>
        <v>245</v>
      </c>
      <c r="L9" s="73">
        <f t="shared" si="1"/>
        <v>237.9</v>
      </c>
      <c r="M9" s="73">
        <f t="shared" si="1"/>
        <v>228.4</v>
      </c>
      <c r="N9" s="73">
        <f t="shared" si="1"/>
        <v>205</v>
      </c>
      <c r="O9" s="73">
        <f t="shared" si="1"/>
        <v>155.1</v>
      </c>
      <c r="P9" s="73">
        <f t="shared" si="1"/>
        <v>159.1</v>
      </c>
      <c r="Q9" s="73">
        <f t="shared" si="1"/>
        <v>166.8</v>
      </c>
      <c r="R9" s="73">
        <f t="shared" si="1"/>
        <v>143.8</v>
      </c>
    </row>
    <row r="10" ht="12.75" customHeight="1">
      <c r="A10" s="25" t="s">
        <v>139</v>
      </c>
      <c r="B10" s="73">
        <f t="shared" ref="B10:R10" si="2">B45</f>
        <v>123.2</v>
      </c>
      <c r="C10" s="73">
        <f t="shared" si="2"/>
        <v>138.8</v>
      </c>
      <c r="D10" s="73">
        <f t="shared" si="2"/>
        <v>184.7</v>
      </c>
      <c r="E10" s="73">
        <f t="shared" si="2"/>
        <v>136.2</v>
      </c>
      <c r="F10" s="73">
        <f t="shared" si="2"/>
        <v>181.1</v>
      </c>
      <c r="G10" s="73">
        <f t="shared" si="2"/>
        <v>141.3</v>
      </c>
      <c r="H10" s="73">
        <f t="shared" si="2"/>
        <v>129.9</v>
      </c>
      <c r="I10" s="73">
        <f t="shared" si="2"/>
        <v>131.4</v>
      </c>
      <c r="J10" s="73">
        <f t="shared" si="2"/>
        <v>136.1</v>
      </c>
      <c r="K10" s="73">
        <f t="shared" si="2"/>
        <v>96.9</v>
      </c>
      <c r="L10" s="73">
        <f t="shared" si="2"/>
        <v>106.5</v>
      </c>
      <c r="M10" s="73">
        <f t="shared" si="2"/>
        <v>108.1</v>
      </c>
      <c r="N10" s="73">
        <f t="shared" si="2"/>
        <v>104.4</v>
      </c>
      <c r="O10" s="73">
        <f t="shared" si="2"/>
        <v>75.4</v>
      </c>
      <c r="P10" s="73">
        <f t="shared" si="2"/>
        <v>76</v>
      </c>
      <c r="Q10" s="73">
        <f t="shared" si="2"/>
        <v>93.1</v>
      </c>
      <c r="R10" s="73">
        <f t="shared" si="2"/>
        <v>92.2</v>
      </c>
    </row>
    <row r="11" ht="12.75" customHeight="1">
      <c r="A11" s="76" t="s">
        <v>194</v>
      </c>
      <c r="B11" s="98">
        <f t="shared" ref="B11:R11" si="3">SUM(B9:B10)</f>
        <v>366.1</v>
      </c>
      <c r="C11" s="98">
        <f t="shared" si="3"/>
        <v>392.5</v>
      </c>
      <c r="D11" s="98">
        <f t="shared" si="3"/>
        <v>426.6</v>
      </c>
      <c r="E11" s="98">
        <f t="shared" si="3"/>
        <v>338.4</v>
      </c>
      <c r="F11" s="98">
        <f t="shared" si="3"/>
        <v>410.7</v>
      </c>
      <c r="G11" s="98">
        <f t="shared" si="3"/>
        <v>357.1</v>
      </c>
      <c r="H11" s="98">
        <f t="shared" si="3"/>
        <v>370.1</v>
      </c>
      <c r="I11" s="98">
        <f t="shared" si="3"/>
        <v>398.2</v>
      </c>
      <c r="J11" s="98">
        <f t="shared" si="3"/>
        <v>399.8</v>
      </c>
      <c r="K11" s="98">
        <f t="shared" si="3"/>
        <v>341.9</v>
      </c>
      <c r="L11" s="98">
        <f t="shared" si="3"/>
        <v>344.4</v>
      </c>
      <c r="M11" s="98">
        <f t="shared" si="3"/>
        <v>336.5</v>
      </c>
      <c r="N11" s="98">
        <f t="shared" si="3"/>
        <v>309.4</v>
      </c>
      <c r="O11" s="98">
        <f t="shared" si="3"/>
        <v>230.5</v>
      </c>
      <c r="P11" s="98">
        <f t="shared" si="3"/>
        <v>235.1</v>
      </c>
      <c r="Q11" s="98">
        <f t="shared" si="3"/>
        <v>259.9</v>
      </c>
      <c r="R11" s="98">
        <f t="shared" si="3"/>
        <v>236</v>
      </c>
    </row>
    <row r="12" ht="12.75" customHeight="1">
      <c r="A12" s="25"/>
      <c r="B12" s="25"/>
      <c r="C12" s="25"/>
      <c r="D12" s="25"/>
      <c r="E12" s="25"/>
      <c r="F12" s="25"/>
      <c r="G12" s="25"/>
    </row>
    <row r="13" ht="15.75" customHeight="1">
      <c r="A13" s="92" t="s">
        <v>440</v>
      </c>
      <c r="B13" s="25"/>
      <c r="C13" s="25"/>
      <c r="D13" s="25"/>
      <c r="E13" s="25"/>
      <c r="F13" s="25"/>
      <c r="G13" s="25"/>
      <c r="H13" s="25"/>
      <c r="I13" s="25"/>
      <c r="J13" s="25"/>
    </row>
    <row r="14" ht="12.75" customHeight="1">
      <c r="A14" s="47" t="s">
        <v>441</v>
      </c>
      <c r="B14" s="25"/>
      <c r="C14" s="25"/>
      <c r="D14" s="25"/>
      <c r="E14" s="25"/>
      <c r="F14" s="25"/>
      <c r="G14" s="25"/>
      <c r="H14" s="25"/>
      <c r="I14" s="25"/>
      <c r="J14" s="25"/>
    </row>
    <row r="15" ht="12.75" customHeight="1">
      <c r="A15" s="47"/>
      <c r="B15" s="65" t="s">
        <v>55</v>
      </c>
      <c r="C15" s="25"/>
      <c r="D15" s="25"/>
      <c r="E15" s="25"/>
      <c r="F15" s="25"/>
      <c r="G15" s="25" t="s">
        <v>442</v>
      </c>
      <c r="U15" s="47"/>
    </row>
    <row r="16" ht="12.75" customHeight="1">
      <c r="A16" s="65" t="s">
        <v>195</v>
      </c>
      <c r="B16" s="214" t="s">
        <v>76</v>
      </c>
      <c r="C16" s="214" t="s">
        <v>77</v>
      </c>
      <c r="D16" s="214" t="s">
        <v>78</v>
      </c>
      <c r="E16" s="94" t="s">
        <v>79</v>
      </c>
      <c r="F16" s="94" t="s">
        <v>80</v>
      </c>
      <c r="G16" s="94" t="s">
        <v>81</v>
      </c>
      <c r="H16" s="94" t="s">
        <v>82</v>
      </c>
      <c r="I16" s="94" t="s">
        <v>83</v>
      </c>
      <c r="J16" s="94" t="s">
        <v>84</v>
      </c>
      <c r="K16" s="94" t="s">
        <v>85</v>
      </c>
      <c r="L16" s="94" t="s">
        <v>185</v>
      </c>
      <c r="M16" s="94" t="s">
        <v>186</v>
      </c>
      <c r="N16" s="94" t="s">
        <v>187</v>
      </c>
      <c r="O16" s="94" t="s">
        <v>188</v>
      </c>
      <c r="P16" s="96" t="s">
        <v>189</v>
      </c>
      <c r="Q16" s="96" t="s">
        <v>190</v>
      </c>
      <c r="R16" s="96" t="s">
        <v>191</v>
      </c>
    </row>
    <row r="17" ht="12.75" customHeight="1">
      <c r="A17" s="55" t="s">
        <v>443</v>
      </c>
      <c r="B17" s="55"/>
      <c r="C17" s="55"/>
      <c r="D17" s="55"/>
      <c r="E17" s="55"/>
      <c r="F17" s="55">
        <v>2793.6</v>
      </c>
      <c r="G17" s="55">
        <v>23531.7</v>
      </c>
      <c r="H17" s="55">
        <v>24978.4</v>
      </c>
      <c r="I17" s="215">
        <v>29824.4</v>
      </c>
      <c r="J17" s="215">
        <v>29481.0</v>
      </c>
      <c r="K17" s="115">
        <v>22244.0</v>
      </c>
      <c r="L17" s="115">
        <v>21387.0</v>
      </c>
      <c r="M17" s="115">
        <v>25540.0</v>
      </c>
      <c r="N17" s="115">
        <v>19128.0</v>
      </c>
      <c r="O17" s="115">
        <v>12536.0</v>
      </c>
      <c r="P17" s="115">
        <v>3828.0</v>
      </c>
      <c r="Q17" s="115">
        <v>14079.0</v>
      </c>
      <c r="R17" s="115">
        <v>10931.0</v>
      </c>
      <c r="S17" s="97"/>
      <c r="T17" s="25"/>
      <c r="U17" s="25"/>
      <c r="V17" s="25"/>
      <c r="W17" s="25"/>
      <c r="X17" s="25"/>
      <c r="Y17" s="25"/>
      <c r="Z17" s="25"/>
    </row>
    <row r="18" ht="16.5" customHeight="1">
      <c r="A18" s="55" t="s">
        <v>444</v>
      </c>
      <c r="B18" s="216">
        <v>24567.1</v>
      </c>
      <c r="C18" s="117">
        <v>25650.9</v>
      </c>
      <c r="D18" s="115">
        <v>24462.1</v>
      </c>
      <c r="E18" s="125">
        <v>20447.0</v>
      </c>
      <c r="F18" s="125">
        <v>20585.3</v>
      </c>
      <c r="G18" s="125">
        <v>530.7</v>
      </c>
      <c r="H18" s="125">
        <v>1679.4</v>
      </c>
      <c r="I18" s="217">
        <v>0.0</v>
      </c>
      <c r="J18" s="217">
        <v>0.0</v>
      </c>
      <c r="K18" s="217">
        <v>4631.0</v>
      </c>
      <c r="L18" s="217">
        <v>4685.0</v>
      </c>
      <c r="M18" s="217">
        <v>0.0</v>
      </c>
      <c r="N18" s="217">
        <v>3410.0</v>
      </c>
      <c r="O18" s="217">
        <v>4322.0</v>
      </c>
      <c r="P18" s="217">
        <v>12556.0</v>
      </c>
      <c r="Q18" s="217">
        <v>4108.0</v>
      </c>
      <c r="R18" s="217">
        <v>4620.0</v>
      </c>
      <c r="S18" s="218"/>
      <c r="T18" s="25"/>
      <c r="U18" s="25"/>
      <c r="V18" s="25"/>
      <c r="W18" s="25"/>
      <c r="X18" s="25"/>
      <c r="Y18" s="25"/>
      <c r="Z18" s="25"/>
    </row>
    <row r="19" ht="12.75" customHeight="1">
      <c r="A19" s="25" t="s">
        <v>445</v>
      </c>
      <c r="B19" s="219">
        <f t="shared" ref="B19:R19" si="4">(B17*0.9)+B18</f>
        <v>24567.1</v>
      </c>
      <c r="C19" s="219">
        <f t="shared" si="4"/>
        <v>25650.9</v>
      </c>
      <c r="D19" s="219">
        <f t="shared" si="4"/>
        <v>24462.1</v>
      </c>
      <c r="E19" s="219">
        <f t="shared" si="4"/>
        <v>20447</v>
      </c>
      <c r="F19" s="219">
        <f t="shared" si="4"/>
        <v>23099.54</v>
      </c>
      <c r="G19" s="219">
        <f t="shared" si="4"/>
        <v>21709.23</v>
      </c>
      <c r="H19" s="219">
        <f t="shared" si="4"/>
        <v>24159.96</v>
      </c>
      <c r="I19" s="219">
        <f t="shared" si="4"/>
        <v>26841.96</v>
      </c>
      <c r="J19" s="219">
        <f t="shared" si="4"/>
        <v>26532.9</v>
      </c>
      <c r="K19" s="219">
        <f t="shared" si="4"/>
        <v>24650.6</v>
      </c>
      <c r="L19" s="219">
        <f t="shared" si="4"/>
        <v>23933.3</v>
      </c>
      <c r="M19" s="219">
        <f t="shared" si="4"/>
        <v>22986</v>
      </c>
      <c r="N19" s="219">
        <f t="shared" si="4"/>
        <v>20625.2</v>
      </c>
      <c r="O19" s="219">
        <f t="shared" si="4"/>
        <v>15604.4</v>
      </c>
      <c r="P19" s="219">
        <f t="shared" si="4"/>
        <v>16001.2</v>
      </c>
      <c r="Q19" s="219">
        <f t="shared" si="4"/>
        <v>16779.1</v>
      </c>
      <c r="R19" s="219">
        <f t="shared" si="4"/>
        <v>14457.9</v>
      </c>
    </row>
    <row r="20" ht="12.75" customHeight="1">
      <c r="A20" s="25" t="s">
        <v>197</v>
      </c>
      <c r="B20" s="73">
        <f t="shared" ref="B20:R20" si="5">ROUND(B19*$B59,1)</f>
        <v>3052.2</v>
      </c>
      <c r="C20" s="73">
        <f t="shared" si="5"/>
        <v>3186.8</v>
      </c>
      <c r="D20" s="73">
        <f t="shared" si="5"/>
        <v>3039.1</v>
      </c>
      <c r="E20" s="73">
        <f t="shared" si="5"/>
        <v>2540.3</v>
      </c>
      <c r="F20" s="73">
        <f t="shared" si="5"/>
        <v>2869.8</v>
      </c>
      <c r="G20" s="73">
        <f t="shared" si="5"/>
        <v>2697.1</v>
      </c>
      <c r="H20" s="73">
        <f t="shared" si="5"/>
        <v>3001.6</v>
      </c>
      <c r="I20" s="73">
        <f t="shared" si="5"/>
        <v>3334.8</v>
      </c>
      <c r="J20" s="73">
        <f t="shared" si="5"/>
        <v>3296.4</v>
      </c>
      <c r="K20" s="73">
        <f t="shared" si="5"/>
        <v>3062.5</v>
      </c>
      <c r="L20" s="73">
        <f t="shared" si="5"/>
        <v>2973.4</v>
      </c>
      <c r="M20" s="73">
        <f t="shared" si="5"/>
        <v>2855.7</v>
      </c>
      <c r="N20" s="73">
        <f t="shared" si="5"/>
        <v>2562.4</v>
      </c>
      <c r="O20" s="73">
        <f t="shared" si="5"/>
        <v>1938.7</v>
      </c>
      <c r="P20" s="73">
        <f t="shared" si="5"/>
        <v>1988</v>
      </c>
      <c r="Q20" s="73">
        <f t="shared" si="5"/>
        <v>2084.6</v>
      </c>
      <c r="R20" s="73">
        <f t="shared" si="5"/>
        <v>1796.2</v>
      </c>
    </row>
    <row r="21" ht="15.0" customHeight="1">
      <c r="A21" s="47" t="s">
        <v>446</v>
      </c>
      <c r="B21" s="78">
        <f t="shared" ref="B21:R21" si="6">ROUND(B19*$B60,1)</f>
        <v>214</v>
      </c>
      <c r="C21" s="78">
        <f t="shared" si="6"/>
        <v>223.5</v>
      </c>
      <c r="D21" s="78">
        <f t="shared" si="6"/>
        <v>213.1</v>
      </c>
      <c r="E21" s="78">
        <f t="shared" si="6"/>
        <v>178.1</v>
      </c>
      <c r="F21" s="78">
        <f t="shared" si="6"/>
        <v>201.2</v>
      </c>
      <c r="G21" s="78">
        <f t="shared" si="6"/>
        <v>189.1</v>
      </c>
      <c r="H21" s="78">
        <f t="shared" si="6"/>
        <v>210.5</v>
      </c>
      <c r="I21" s="78">
        <f t="shared" si="6"/>
        <v>233.8</v>
      </c>
      <c r="J21" s="78">
        <f t="shared" si="6"/>
        <v>231.1</v>
      </c>
      <c r="K21" s="78">
        <f t="shared" si="6"/>
        <v>214.7</v>
      </c>
      <c r="L21" s="78">
        <f t="shared" si="6"/>
        <v>208.5</v>
      </c>
      <c r="M21" s="78">
        <f t="shared" si="6"/>
        <v>200.2</v>
      </c>
      <c r="N21" s="78">
        <f t="shared" si="6"/>
        <v>179.7</v>
      </c>
      <c r="O21" s="78">
        <f t="shared" si="6"/>
        <v>135.9</v>
      </c>
      <c r="P21" s="78">
        <f t="shared" si="6"/>
        <v>139.4</v>
      </c>
      <c r="Q21" s="78">
        <f t="shared" si="6"/>
        <v>146.2</v>
      </c>
      <c r="R21" s="78">
        <f t="shared" si="6"/>
        <v>126</v>
      </c>
    </row>
    <row r="22" ht="12.75" customHeight="1">
      <c r="A22" s="57" t="s">
        <v>447</v>
      </c>
      <c r="B22" s="220">
        <v>23.0</v>
      </c>
      <c r="C22" s="220">
        <v>23.0</v>
      </c>
      <c r="D22" s="220">
        <v>23.0</v>
      </c>
      <c r="E22" s="220">
        <v>23.0</v>
      </c>
      <c r="F22" s="220">
        <v>24.0</v>
      </c>
      <c r="G22" s="220">
        <v>24.0</v>
      </c>
      <c r="H22" s="220">
        <v>24.0</v>
      </c>
      <c r="I22" s="221">
        <v>24.0</v>
      </c>
      <c r="J22" s="221">
        <v>24.0</v>
      </c>
      <c r="K22" s="221">
        <v>24.0</v>
      </c>
      <c r="L22" s="221">
        <v>24.0</v>
      </c>
      <c r="M22" s="221">
        <v>24.0</v>
      </c>
      <c r="N22" s="221">
        <v>24.0</v>
      </c>
      <c r="O22" s="221">
        <v>24.0</v>
      </c>
      <c r="P22" s="221">
        <v>24.0</v>
      </c>
      <c r="Q22" s="221">
        <v>24.0</v>
      </c>
      <c r="R22" s="221">
        <v>24.0</v>
      </c>
      <c r="S22" s="25"/>
      <c r="T22" s="25"/>
      <c r="U22" s="25"/>
      <c r="V22" s="25"/>
      <c r="W22" s="25"/>
      <c r="X22" s="25"/>
      <c r="Y22" s="25"/>
      <c r="Z22" s="25"/>
    </row>
    <row r="23" ht="12.75" customHeight="1">
      <c r="A23" s="25" t="s">
        <v>448</v>
      </c>
      <c r="B23" s="97">
        <f t="shared" ref="B23:R23" si="7">B19*B22</f>
        <v>565043.3</v>
      </c>
      <c r="C23" s="97">
        <f t="shared" si="7"/>
        <v>589970.7</v>
      </c>
      <c r="D23" s="97">
        <f t="shared" si="7"/>
        <v>562628.3</v>
      </c>
      <c r="E23" s="97">
        <f t="shared" si="7"/>
        <v>470281</v>
      </c>
      <c r="F23" s="97">
        <f t="shared" si="7"/>
        <v>554388.96</v>
      </c>
      <c r="G23" s="97">
        <f t="shared" si="7"/>
        <v>521021.52</v>
      </c>
      <c r="H23" s="97">
        <f t="shared" si="7"/>
        <v>579839.04</v>
      </c>
      <c r="I23" s="73">
        <f t="shared" si="7"/>
        <v>644207.04</v>
      </c>
      <c r="J23" s="73">
        <f t="shared" si="7"/>
        <v>636789.6</v>
      </c>
      <c r="K23" s="73">
        <f t="shared" si="7"/>
        <v>591614.4</v>
      </c>
      <c r="L23" s="73">
        <f t="shared" si="7"/>
        <v>574399.2</v>
      </c>
      <c r="M23" s="73">
        <f t="shared" si="7"/>
        <v>551664</v>
      </c>
      <c r="N23" s="73">
        <f t="shared" si="7"/>
        <v>495004.8</v>
      </c>
      <c r="O23" s="73">
        <f t="shared" si="7"/>
        <v>374505.6</v>
      </c>
      <c r="P23" s="73">
        <f t="shared" si="7"/>
        <v>384028.8</v>
      </c>
      <c r="Q23" s="73">
        <f t="shared" si="7"/>
        <v>402698.4</v>
      </c>
      <c r="R23" s="73">
        <f t="shared" si="7"/>
        <v>346989.6</v>
      </c>
    </row>
    <row r="24" ht="15.0" customHeight="1">
      <c r="A24" s="25" t="s">
        <v>449</v>
      </c>
      <c r="B24" s="112">
        <f t="shared" ref="B24:R24" si="8">($B61*B23*$B54)</f>
        <v>0.1121045907</v>
      </c>
      <c r="C24" s="112">
        <f t="shared" si="8"/>
        <v>0.1170501869</v>
      </c>
      <c r="D24" s="112">
        <f t="shared" si="8"/>
        <v>0.1116254547</v>
      </c>
      <c r="E24" s="112">
        <f t="shared" si="8"/>
        <v>0.0933037504</v>
      </c>
      <c r="F24" s="112">
        <f t="shared" si="8"/>
        <v>0.1099907697</v>
      </c>
      <c r="G24" s="112">
        <f t="shared" si="8"/>
        <v>0.1033706696</v>
      </c>
      <c r="H24" s="112">
        <f t="shared" si="8"/>
        <v>0.1150400655</v>
      </c>
      <c r="I24" s="73">
        <f t="shared" si="8"/>
        <v>0.1278106767</v>
      </c>
      <c r="J24" s="73">
        <f t="shared" si="8"/>
        <v>0.1263390566</v>
      </c>
      <c r="K24" s="73">
        <f t="shared" si="8"/>
        <v>0.117376297</v>
      </c>
      <c r="L24" s="73">
        <f t="shared" si="8"/>
        <v>0.1139608013</v>
      </c>
      <c r="M24" s="73">
        <f t="shared" si="8"/>
        <v>0.1094501376</v>
      </c>
      <c r="N24" s="73">
        <f t="shared" si="8"/>
        <v>0.09820895232</v>
      </c>
      <c r="O24" s="73">
        <f t="shared" si="8"/>
        <v>0.07430191104</v>
      </c>
      <c r="P24" s="73">
        <f t="shared" si="8"/>
        <v>0.07619131392</v>
      </c>
      <c r="Q24" s="73">
        <f t="shared" si="8"/>
        <v>0.07989536256</v>
      </c>
      <c r="R24" s="73">
        <f t="shared" si="8"/>
        <v>0.06884273664</v>
      </c>
    </row>
    <row r="25" ht="15.0" customHeight="1">
      <c r="A25" s="47" t="s">
        <v>450</v>
      </c>
      <c r="B25" s="126">
        <f t="shared" ref="B25:R25" si="9">B23*$B61*$B54*$B55</f>
        <v>2.354196405</v>
      </c>
      <c r="C25" s="126">
        <f t="shared" si="9"/>
        <v>2.458053924</v>
      </c>
      <c r="D25" s="126">
        <f t="shared" si="9"/>
        <v>2.344134549</v>
      </c>
      <c r="E25" s="126">
        <f t="shared" si="9"/>
        <v>1.959378758</v>
      </c>
      <c r="F25" s="126">
        <f t="shared" si="9"/>
        <v>2.309806163</v>
      </c>
      <c r="G25" s="126">
        <f t="shared" si="9"/>
        <v>2.170784061</v>
      </c>
      <c r="H25" s="126">
        <f t="shared" si="9"/>
        <v>2.415841376</v>
      </c>
      <c r="I25" s="78">
        <f t="shared" si="9"/>
        <v>2.684024211</v>
      </c>
      <c r="J25" s="78">
        <f t="shared" si="9"/>
        <v>2.653120189</v>
      </c>
      <c r="K25" s="78">
        <f t="shared" si="9"/>
        <v>2.464902236</v>
      </c>
      <c r="L25" s="78">
        <f t="shared" si="9"/>
        <v>2.393176827</v>
      </c>
      <c r="M25" s="78">
        <f t="shared" si="9"/>
        <v>2.29845289</v>
      </c>
      <c r="N25" s="78">
        <f t="shared" si="9"/>
        <v>2.062387999</v>
      </c>
      <c r="O25" s="78">
        <f t="shared" si="9"/>
        <v>1.560340132</v>
      </c>
      <c r="P25" s="78">
        <f t="shared" si="9"/>
        <v>1.600017592</v>
      </c>
      <c r="Q25" s="78">
        <f t="shared" si="9"/>
        <v>1.677802614</v>
      </c>
      <c r="R25" s="78">
        <f t="shared" si="9"/>
        <v>1.445697469</v>
      </c>
    </row>
    <row r="26" ht="15.0" customHeight="1">
      <c r="A26" s="25" t="s">
        <v>451</v>
      </c>
      <c r="B26" s="112">
        <f t="shared" ref="B26:R26" si="10">($B62*B23*$B54)</f>
        <v>0.08571706861</v>
      </c>
      <c r="C26" s="112">
        <f t="shared" si="10"/>
        <v>0.08949855519</v>
      </c>
      <c r="D26" s="112">
        <f t="shared" si="10"/>
        <v>0.08535071311</v>
      </c>
      <c r="E26" s="112">
        <f t="shared" si="10"/>
        <v>0.0713416277</v>
      </c>
      <c r="F26" s="112">
        <f t="shared" si="10"/>
        <v>0.08410080523</v>
      </c>
      <c r="G26" s="112">
        <f t="shared" si="10"/>
        <v>0.07903896458</v>
      </c>
      <c r="H26" s="112">
        <f t="shared" si="10"/>
        <v>0.08796158237</v>
      </c>
      <c r="I26" s="73">
        <f t="shared" si="10"/>
        <v>0.09772620797</v>
      </c>
      <c r="J26" s="73">
        <f t="shared" si="10"/>
        <v>0.09660098232</v>
      </c>
      <c r="K26" s="73">
        <f t="shared" si="10"/>
        <v>0.08974790448</v>
      </c>
      <c r="L26" s="73">
        <f t="shared" si="10"/>
        <v>0.08713635864</v>
      </c>
      <c r="M26" s="73">
        <f t="shared" si="10"/>
        <v>0.0836874288</v>
      </c>
      <c r="N26" s="73">
        <f t="shared" si="10"/>
        <v>0.07509222816</v>
      </c>
      <c r="O26" s="73">
        <f t="shared" si="10"/>
        <v>0.05681249952</v>
      </c>
      <c r="P26" s="73">
        <f t="shared" si="10"/>
        <v>0.05825716896</v>
      </c>
      <c r="Q26" s="73">
        <f t="shared" si="10"/>
        <v>0.06108934728</v>
      </c>
      <c r="R26" s="73">
        <f t="shared" si="10"/>
        <v>0.05263832232</v>
      </c>
    </row>
    <row r="27" ht="15.0" customHeight="1">
      <c r="A27" s="47" t="s">
        <v>452</v>
      </c>
      <c r="B27" s="119">
        <f t="shared" ref="B27:R27" si="11">B23*$B62*$B54*$B56</f>
        <v>26.57229127</v>
      </c>
      <c r="C27" s="119">
        <f t="shared" si="11"/>
        <v>27.74455211</v>
      </c>
      <c r="D27" s="119">
        <f t="shared" si="11"/>
        <v>26.45872106</v>
      </c>
      <c r="E27" s="119">
        <f t="shared" si="11"/>
        <v>22.11590459</v>
      </c>
      <c r="F27" s="119">
        <f t="shared" si="11"/>
        <v>26.07124962</v>
      </c>
      <c r="G27" s="119">
        <f t="shared" si="11"/>
        <v>24.50207902</v>
      </c>
      <c r="H27" s="119">
        <f t="shared" si="11"/>
        <v>27.26809053</v>
      </c>
      <c r="I27" s="78">
        <f t="shared" si="11"/>
        <v>30.29512447</v>
      </c>
      <c r="J27" s="78">
        <f t="shared" si="11"/>
        <v>29.94630452</v>
      </c>
      <c r="K27" s="78">
        <f t="shared" si="11"/>
        <v>27.82185039</v>
      </c>
      <c r="L27" s="78">
        <f t="shared" si="11"/>
        <v>27.01227118</v>
      </c>
      <c r="M27" s="78">
        <f t="shared" si="11"/>
        <v>25.94310293</v>
      </c>
      <c r="N27" s="78">
        <f t="shared" si="11"/>
        <v>23.27859073</v>
      </c>
      <c r="O27" s="78">
        <f t="shared" si="11"/>
        <v>17.61187485</v>
      </c>
      <c r="P27" s="78">
        <f t="shared" si="11"/>
        <v>18.05972238</v>
      </c>
      <c r="Q27" s="78">
        <f t="shared" si="11"/>
        <v>18.93769766</v>
      </c>
      <c r="R27" s="78">
        <f t="shared" si="11"/>
        <v>16.31787992</v>
      </c>
    </row>
    <row r="28" ht="12.75" customHeight="1">
      <c r="A28" s="120" t="s">
        <v>453</v>
      </c>
      <c r="B28" s="121">
        <f t="shared" ref="B28:R28" si="12">ROUND(B21+B25+B27,1)</f>
        <v>242.9</v>
      </c>
      <c r="C28" s="121">
        <f t="shared" si="12"/>
        <v>253.7</v>
      </c>
      <c r="D28" s="121">
        <f t="shared" si="12"/>
        <v>241.9</v>
      </c>
      <c r="E28" s="121">
        <f t="shared" si="12"/>
        <v>202.2</v>
      </c>
      <c r="F28" s="121">
        <f t="shared" si="12"/>
        <v>229.6</v>
      </c>
      <c r="G28" s="121">
        <f t="shared" si="12"/>
        <v>215.8</v>
      </c>
      <c r="H28" s="121">
        <f t="shared" si="12"/>
        <v>240.2</v>
      </c>
      <c r="I28" s="121">
        <f t="shared" si="12"/>
        <v>266.8</v>
      </c>
      <c r="J28" s="121">
        <f t="shared" si="12"/>
        <v>263.7</v>
      </c>
      <c r="K28" s="121">
        <f t="shared" si="12"/>
        <v>245</v>
      </c>
      <c r="L28" s="121">
        <f t="shared" si="12"/>
        <v>237.9</v>
      </c>
      <c r="M28" s="121">
        <f t="shared" si="12"/>
        <v>228.4</v>
      </c>
      <c r="N28" s="121">
        <f t="shared" si="12"/>
        <v>205</v>
      </c>
      <c r="O28" s="121">
        <f t="shared" si="12"/>
        <v>155.1</v>
      </c>
      <c r="P28" s="121">
        <f t="shared" si="12"/>
        <v>159.1</v>
      </c>
      <c r="Q28" s="121">
        <f t="shared" si="12"/>
        <v>166.8</v>
      </c>
      <c r="R28" s="121">
        <f t="shared" si="12"/>
        <v>143.8</v>
      </c>
    </row>
    <row r="29" ht="12.75" customHeight="1">
      <c r="A29" s="25"/>
      <c r="B29" s="25"/>
      <c r="I29" s="73"/>
      <c r="J29" s="73"/>
    </row>
    <row r="30" ht="15.75" customHeight="1">
      <c r="A30" s="92" t="s">
        <v>454</v>
      </c>
      <c r="B30" s="25"/>
      <c r="I30" s="73"/>
      <c r="J30" s="73"/>
    </row>
    <row r="31" ht="12.75" customHeight="1">
      <c r="A31" s="47"/>
      <c r="B31" s="25"/>
      <c r="I31" s="73"/>
      <c r="J31" s="73"/>
    </row>
    <row r="32" ht="12.75" customHeight="1">
      <c r="A32" s="65" t="s">
        <v>195</v>
      </c>
      <c r="B32" s="214" t="s">
        <v>76</v>
      </c>
      <c r="C32" s="214" t="s">
        <v>77</v>
      </c>
      <c r="D32" s="214" t="s">
        <v>78</v>
      </c>
      <c r="E32" s="94" t="s">
        <v>79</v>
      </c>
      <c r="F32" s="94" t="s">
        <v>439</v>
      </c>
      <c r="G32" s="94" t="s">
        <v>81</v>
      </c>
      <c r="H32" s="94" t="s">
        <v>82</v>
      </c>
      <c r="I32" s="222" t="s">
        <v>83</v>
      </c>
      <c r="J32" s="222" t="s">
        <v>84</v>
      </c>
      <c r="K32" s="94" t="s">
        <v>85</v>
      </c>
      <c r="L32" s="94" t="s">
        <v>185</v>
      </c>
      <c r="M32" s="94" t="s">
        <v>186</v>
      </c>
      <c r="N32" s="94" t="s">
        <v>187</v>
      </c>
      <c r="O32" s="94" t="s">
        <v>188</v>
      </c>
      <c r="P32" s="96" t="s">
        <v>189</v>
      </c>
      <c r="Q32" s="96" t="s">
        <v>190</v>
      </c>
      <c r="R32" s="96" t="s">
        <v>191</v>
      </c>
      <c r="S32" s="25"/>
      <c r="T32" s="25"/>
      <c r="U32" s="25"/>
      <c r="V32" s="25"/>
      <c r="W32" s="25"/>
      <c r="X32" s="25"/>
      <c r="Y32" s="25"/>
      <c r="Z32" s="25"/>
    </row>
    <row r="33" ht="15.0" customHeight="1">
      <c r="A33" s="55" t="s">
        <v>455</v>
      </c>
      <c r="B33" s="117">
        <v>11243.7</v>
      </c>
      <c r="C33" s="117">
        <v>13054.0</v>
      </c>
      <c r="D33" s="122">
        <v>16881.2</v>
      </c>
      <c r="E33" s="125">
        <v>12266.4</v>
      </c>
      <c r="F33" s="125">
        <v>17066.0</v>
      </c>
      <c r="G33" s="125">
        <v>12950.2</v>
      </c>
      <c r="H33" s="125">
        <v>12434.5</v>
      </c>
      <c r="I33" s="215">
        <v>12586.0</v>
      </c>
      <c r="J33" s="215">
        <v>13029.0</v>
      </c>
      <c r="K33" s="217">
        <v>9266.0</v>
      </c>
      <c r="L33" s="217">
        <v>10164.2</v>
      </c>
      <c r="M33" s="217">
        <v>10312.0</v>
      </c>
      <c r="N33" s="217">
        <v>9968.0</v>
      </c>
      <c r="O33" s="217">
        <v>7196.0</v>
      </c>
      <c r="P33" s="217">
        <v>7250.0</v>
      </c>
      <c r="Q33" s="217">
        <v>8886.0</v>
      </c>
      <c r="R33" s="217">
        <v>8797.0</v>
      </c>
      <c r="S33" s="25"/>
      <c r="T33" s="25"/>
      <c r="U33" s="25"/>
      <c r="V33" s="25"/>
      <c r="W33" s="25"/>
      <c r="X33" s="25"/>
      <c r="Y33" s="25"/>
      <c r="Z33" s="25"/>
    </row>
    <row r="34" ht="12.75" customHeight="1">
      <c r="A34" s="55" t="s">
        <v>456</v>
      </c>
      <c r="B34" s="117">
        <v>714.2</v>
      </c>
      <c r="C34" s="55">
        <v>325.9</v>
      </c>
      <c r="D34" s="122">
        <v>1047.6</v>
      </c>
      <c r="E34" s="55">
        <v>994.9</v>
      </c>
      <c r="F34" s="55">
        <v>340.1</v>
      </c>
      <c r="G34" s="55">
        <v>718.6</v>
      </c>
      <c r="H34" s="55">
        <v>0.0</v>
      </c>
      <c r="I34" s="117">
        <v>0.0</v>
      </c>
      <c r="J34" s="117">
        <v>0.0</v>
      </c>
      <c r="K34" s="55">
        <v>0.0</v>
      </c>
      <c r="L34" s="55">
        <v>0.0</v>
      </c>
      <c r="M34" s="55">
        <v>0.0</v>
      </c>
      <c r="N34" s="55">
        <v>0.0</v>
      </c>
      <c r="O34" s="55">
        <v>0.0</v>
      </c>
      <c r="P34" s="55">
        <v>0.0</v>
      </c>
      <c r="Q34" s="55">
        <v>0.0</v>
      </c>
      <c r="R34" s="55">
        <v>0.0</v>
      </c>
      <c r="S34" s="25"/>
      <c r="T34" s="25"/>
      <c r="U34" s="25"/>
      <c r="V34" s="25"/>
      <c r="W34" s="25"/>
      <c r="X34" s="25"/>
      <c r="Y34" s="25"/>
      <c r="Z34" s="25"/>
    </row>
    <row r="35" ht="13.5" customHeight="1">
      <c r="A35" s="25" t="s">
        <v>457</v>
      </c>
      <c r="B35" s="73">
        <f>('FY 02-06 reference'!B37*0.05)+(B34*0.2)</f>
        <v>142.84</v>
      </c>
      <c r="C35" s="73">
        <f>('FY 02-06 reference'!C37*0.05)+(C34*0.2)</f>
        <v>65.18</v>
      </c>
      <c r="D35" s="73">
        <f>('FY 02-06 reference'!D37*0.05)+(D34*0.2)</f>
        <v>209.52</v>
      </c>
      <c r="E35" s="73">
        <f>('FY 02-06 reference'!E37*0.05)+(E34*0.2)</f>
        <v>198.98</v>
      </c>
      <c r="F35" s="73">
        <f>('FY 02-06 reference'!F37*0.05)+(F34*0.2)</f>
        <v>68.02</v>
      </c>
      <c r="G35" s="73">
        <f>('FY 02-06 reference'!G37*0.05)+(G34*0.2)</f>
        <v>143.72</v>
      </c>
      <c r="H35" s="73">
        <f>('FY 02-06 reference'!H37*0.05)+(H34*0.2)</f>
        <v>0</v>
      </c>
      <c r="I35" s="73">
        <f>('FY 02-06 reference'!I37*0.05)+(I34*0.2)</f>
        <v>0</v>
      </c>
      <c r="J35" s="73">
        <f>('FY 02-06 reference'!J37*0.05)+(J34*0.2)</f>
        <v>0</v>
      </c>
      <c r="K35" s="73">
        <f>('FY 02-06 reference'!K37*0.05)+(K34*0.2)</f>
        <v>0</v>
      </c>
      <c r="L35" s="73">
        <f>('FY 02-06 reference'!L37*0.05)+(L34*0.2)</f>
        <v>0</v>
      </c>
      <c r="M35" s="73">
        <f>('FY 02-06 reference'!M37*0.05)+(M34*0.2)</f>
        <v>0</v>
      </c>
      <c r="N35" s="73">
        <f>('FY 02-06 reference'!N37*0.05)+(N34*0.2)</f>
        <v>0</v>
      </c>
      <c r="O35" s="73">
        <f>('FY 02-06 reference'!O37*0.05)+(O34*0.2)</f>
        <v>0</v>
      </c>
      <c r="P35" s="73">
        <f>('FY 02-06 reference'!P37*0.05)+(P34*0.2)</f>
        <v>0</v>
      </c>
      <c r="Q35" s="73">
        <f>('FY 02-06 reference'!Q37*0.05)+(Q34*0.2)</f>
        <v>0</v>
      </c>
      <c r="R35" s="73">
        <f>('FY 02-06 reference'!R37*0.05)+(R34*0.2)</f>
        <v>0</v>
      </c>
    </row>
    <row r="36" ht="12.75" customHeight="1">
      <c r="A36" s="25" t="s">
        <v>458</v>
      </c>
      <c r="B36" s="97">
        <f t="shared" ref="B36:R36" si="13">(B33+(B34*0.8))</f>
        <v>11815.06</v>
      </c>
      <c r="C36" s="97">
        <f t="shared" si="13"/>
        <v>13314.72</v>
      </c>
      <c r="D36" s="97">
        <f t="shared" si="13"/>
        <v>17719.28</v>
      </c>
      <c r="E36" s="97">
        <f t="shared" si="13"/>
        <v>13062.32</v>
      </c>
      <c r="F36" s="97">
        <f t="shared" si="13"/>
        <v>17338.08</v>
      </c>
      <c r="G36" s="97">
        <f t="shared" si="13"/>
        <v>13525.08</v>
      </c>
      <c r="H36" s="97">
        <f t="shared" si="13"/>
        <v>12434.5</v>
      </c>
      <c r="I36" s="73">
        <f t="shared" si="13"/>
        <v>12586</v>
      </c>
      <c r="J36" s="73">
        <f t="shared" si="13"/>
        <v>13029</v>
      </c>
      <c r="K36" s="73">
        <f t="shared" si="13"/>
        <v>9266</v>
      </c>
      <c r="L36" s="73">
        <f t="shared" si="13"/>
        <v>10164.2</v>
      </c>
      <c r="M36" s="73">
        <f t="shared" si="13"/>
        <v>10312</v>
      </c>
      <c r="N36" s="73">
        <f t="shared" si="13"/>
        <v>9968</v>
      </c>
      <c r="O36" s="73">
        <f t="shared" si="13"/>
        <v>7196</v>
      </c>
      <c r="P36" s="73">
        <f t="shared" si="13"/>
        <v>7250</v>
      </c>
      <c r="Q36" s="73">
        <f t="shared" si="13"/>
        <v>8886</v>
      </c>
      <c r="R36" s="73">
        <f t="shared" si="13"/>
        <v>8797</v>
      </c>
    </row>
    <row r="37" ht="12.75" customHeight="1">
      <c r="A37" s="25" t="s">
        <v>197</v>
      </c>
      <c r="B37" s="73">
        <f t="shared" ref="B37:R37" si="14">ROUND(B36*$B69,1)</f>
        <v>1638.6</v>
      </c>
      <c r="C37" s="73">
        <f t="shared" si="14"/>
        <v>1846.6</v>
      </c>
      <c r="D37" s="73">
        <f t="shared" si="14"/>
        <v>2457.5</v>
      </c>
      <c r="E37" s="73">
        <f t="shared" si="14"/>
        <v>1811.6</v>
      </c>
      <c r="F37" s="73">
        <f t="shared" si="14"/>
        <v>2404.6</v>
      </c>
      <c r="G37" s="73">
        <f t="shared" si="14"/>
        <v>1875.8</v>
      </c>
      <c r="H37" s="73">
        <f t="shared" si="14"/>
        <v>1724.5</v>
      </c>
      <c r="I37" s="73">
        <f t="shared" si="14"/>
        <v>1745.6</v>
      </c>
      <c r="J37" s="73">
        <f t="shared" si="14"/>
        <v>1807</v>
      </c>
      <c r="K37" s="73">
        <f t="shared" si="14"/>
        <v>1285.1</v>
      </c>
      <c r="L37" s="73">
        <f t="shared" si="14"/>
        <v>1409.7</v>
      </c>
      <c r="M37" s="73">
        <f t="shared" si="14"/>
        <v>1430.2</v>
      </c>
      <c r="N37" s="73">
        <f t="shared" si="14"/>
        <v>1382.5</v>
      </c>
      <c r="O37" s="73">
        <f t="shared" si="14"/>
        <v>998</v>
      </c>
      <c r="P37" s="73">
        <f t="shared" si="14"/>
        <v>1005.5</v>
      </c>
      <c r="Q37" s="73">
        <f t="shared" si="14"/>
        <v>1232.4</v>
      </c>
      <c r="R37" s="73">
        <f t="shared" si="14"/>
        <v>1220.1</v>
      </c>
    </row>
    <row r="38" ht="15.75" customHeight="1">
      <c r="A38" s="47" t="s">
        <v>459</v>
      </c>
      <c r="B38" s="78">
        <f t="shared" ref="B38:R38" si="15">ROUND(B36*$B70,1)</f>
        <v>118.6</v>
      </c>
      <c r="C38" s="78">
        <f t="shared" si="15"/>
        <v>133.6</v>
      </c>
      <c r="D38" s="78">
        <f t="shared" si="15"/>
        <v>177.8</v>
      </c>
      <c r="E38" s="78">
        <f t="shared" si="15"/>
        <v>131.1</v>
      </c>
      <c r="F38" s="78">
        <f t="shared" si="15"/>
        <v>174</v>
      </c>
      <c r="G38" s="78">
        <f t="shared" si="15"/>
        <v>135.8</v>
      </c>
      <c r="H38" s="78">
        <f t="shared" si="15"/>
        <v>124.8</v>
      </c>
      <c r="I38" s="78">
        <f t="shared" si="15"/>
        <v>126.3</v>
      </c>
      <c r="J38" s="78">
        <f t="shared" si="15"/>
        <v>130.8</v>
      </c>
      <c r="K38" s="78">
        <f t="shared" si="15"/>
        <v>93</v>
      </c>
      <c r="L38" s="78">
        <f t="shared" si="15"/>
        <v>102</v>
      </c>
      <c r="M38" s="78">
        <f t="shared" si="15"/>
        <v>103.5</v>
      </c>
      <c r="N38" s="78">
        <f t="shared" si="15"/>
        <v>100</v>
      </c>
      <c r="O38" s="78">
        <f t="shared" si="15"/>
        <v>72.2</v>
      </c>
      <c r="P38" s="78">
        <f t="shared" si="15"/>
        <v>72.8</v>
      </c>
      <c r="Q38" s="78">
        <f t="shared" si="15"/>
        <v>89.2</v>
      </c>
      <c r="R38" s="78">
        <f t="shared" si="15"/>
        <v>88.3</v>
      </c>
    </row>
    <row r="39" ht="13.5" customHeight="1">
      <c r="A39" s="57" t="s">
        <v>447</v>
      </c>
      <c r="B39" s="223">
        <v>23.0</v>
      </c>
      <c r="C39" s="220">
        <v>23.0</v>
      </c>
      <c r="D39" s="220">
        <v>23.0</v>
      </c>
      <c r="E39" s="220">
        <v>23.0</v>
      </c>
      <c r="F39" s="220">
        <v>24.0</v>
      </c>
      <c r="G39" s="220">
        <v>24.0</v>
      </c>
      <c r="H39" s="220">
        <v>24.0</v>
      </c>
      <c r="I39" s="221">
        <v>24.0</v>
      </c>
      <c r="J39" s="221">
        <v>24.0</v>
      </c>
      <c r="K39" s="221">
        <v>25.0</v>
      </c>
      <c r="L39" s="221">
        <v>26.0</v>
      </c>
      <c r="M39" s="221">
        <v>26.0</v>
      </c>
      <c r="N39" s="221">
        <v>26.0</v>
      </c>
      <c r="O39" s="221">
        <v>26.0</v>
      </c>
      <c r="P39" s="221">
        <v>26.0</v>
      </c>
      <c r="Q39" s="221">
        <v>26.0</v>
      </c>
      <c r="R39" s="221">
        <v>26.0</v>
      </c>
      <c r="S39" s="25"/>
      <c r="T39" s="25"/>
      <c r="U39" s="25"/>
      <c r="V39" s="25"/>
      <c r="W39" s="25"/>
      <c r="X39" s="25"/>
      <c r="Y39" s="25"/>
      <c r="Z39" s="25"/>
    </row>
    <row r="40" ht="12.75" customHeight="1">
      <c r="A40" s="25" t="s">
        <v>448</v>
      </c>
      <c r="B40" s="97">
        <f t="shared" ref="B40:R40" si="16">B36*B39</f>
        <v>271746.38</v>
      </c>
      <c r="C40" s="97">
        <f t="shared" si="16"/>
        <v>306238.56</v>
      </c>
      <c r="D40" s="97">
        <f t="shared" si="16"/>
        <v>407543.44</v>
      </c>
      <c r="E40" s="97">
        <f t="shared" si="16"/>
        <v>300433.36</v>
      </c>
      <c r="F40" s="97">
        <f t="shared" si="16"/>
        <v>416113.92</v>
      </c>
      <c r="G40" s="97">
        <f t="shared" si="16"/>
        <v>324601.92</v>
      </c>
      <c r="H40" s="97">
        <f t="shared" si="16"/>
        <v>298428</v>
      </c>
      <c r="I40" s="73">
        <f t="shared" si="16"/>
        <v>302064</v>
      </c>
      <c r="J40" s="73">
        <f t="shared" si="16"/>
        <v>312696</v>
      </c>
      <c r="K40" s="73">
        <f t="shared" si="16"/>
        <v>231650</v>
      </c>
      <c r="L40" s="73">
        <f t="shared" si="16"/>
        <v>264269.2</v>
      </c>
      <c r="M40" s="73">
        <f t="shared" si="16"/>
        <v>268112</v>
      </c>
      <c r="N40" s="73">
        <f t="shared" si="16"/>
        <v>259168</v>
      </c>
      <c r="O40" s="73">
        <f t="shared" si="16"/>
        <v>187096</v>
      </c>
      <c r="P40" s="73">
        <f t="shared" si="16"/>
        <v>188500</v>
      </c>
      <c r="Q40" s="73">
        <f t="shared" si="16"/>
        <v>231036</v>
      </c>
      <c r="R40" s="73">
        <f t="shared" si="16"/>
        <v>228722</v>
      </c>
      <c r="S40" s="25"/>
      <c r="T40" s="25"/>
      <c r="U40" s="25"/>
      <c r="V40" s="25"/>
      <c r="W40" s="25"/>
      <c r="X40" s="25"/>
      <c r="Y40" s="25"/>
      <c r="Z40" s="25"/>
    </row>
    <row r="41" ht="15.0" customHeight="1">
      <c r="A41" s="25" t="s">
        <v>460</v>
      </c>
      <c r="B41" s="112">
        <f t="shared" ref="B41:R41" si="17">($B71*B40*$B54)</f>
        <v>0.02625070031</v>
      </c>
      <c r="C41" s="112">
        <f t="shared" si="17"/>
        <v>0.0295826449</v>
      </c>
      <c r="D41" s="112">
        <f t="shared" si="17"/>
        <v>0.0393686963</v>
      </c>
      <c r="E41" s="112">
        <f t="shared" si="17"/>
        <v>0.02902186258</v>
      </c>
      <c r="F41" s="112">
        <f t="shared" si="17"/>
        <v>0.04019660467</v>
      </c>
      <c r="G41" s="112">
        <f t="shared" si="17"/>
        <v>0.03135654547</v>
      </c>
      <c r="H41" s="112">
        <f t="shared" si="17"/>
        <v>0.0288281448</v>
      </c>
      <c r="I41" s="73">
        <f t="shared" si="17"/>
        <v>0.0291793824</v>
      </c>
      <c r="J41" s="73">
        <f t="shared" si="17"/>
        <v>0.0302064336</v>
      </c>
      <c r="K41" s="73">
        <f t="shared" si="17"/>
        <v>0.02237739</v>
      </c>
      <c r="L41" s="73">
        <f t="shared" si="17"/>
        <v>0.02552840472</v>
      </c>
      <c r="M41" s="73">
        <f t="shared" si="17"/>
        <v>0.0258996192</v>
      </c>
      <c r="N41" s="73">
        <f t="shared" si="17"/>
        <v>0.0250356288</v>
      </c>
      <c r="O41" s="73">
        <f t="shared" si="17"/>
        <v>0.0180734736</v>
      </c>
      <c r="P41" s="73">
        <f t="shared" si="17"/>
        <v>0.0182091</v>
      </c>
      <c r="Q41" s="73">
        <f t="shared" si="17"/>
        <v>0.0223180776</v>
      </c>
      <c r="R41" s="73">
        <f t="shared" si="17"/>
        <v>0.0220945452</v>
      </c>
    </row>
    <row r="42" ht="15.0" customHeight="1">
      <c r="A42" s="47" t="s">
        <v>461</v>
      </c>
      <c r="B42" s="126">
        <f t="shared" ref="B42:R42" si="18">B40*$B71*$B54*$B55</f>
        <v>0.5512647065</v>
      </c>
      <c r="C42" s="126">
        <f t="shared" si="18"/>
        <v>0.6212355428</v>
      </c>
      <c r="D42" s="126">
        <f t="shared" si="18"/>
        <v>0.8267426224</v>
      </c>
      <c r="E42" s="126">
        <f t="shared" si="18"/>
        <v>0.6094591141</v>
      </c>
      <c r="F42" s="126">
        <f t="shared" si="18"/>
        <v>0.8441286981</v>
      </c>
      <c r="G42" s="126">
        <f t="shared" si="18"/>
        <v>0.6584874549</v>
      </c>
      <c r="H42" s="126">
        <f t="shared" si="18"/>
        <v>0.6053910408</v>
      </c>
      <c r="I42" s="78">
        <f t="shared" si="18"/>
        <v>0.6127670304</v>
      </c>
      <c r="J42" s="78">
        <f t="shared" si="18"/>
        <v>0.6343351056</v>
      </c>
      <c r="K42" s="78">
        <f t="shared" si="18"/>
        <v>0.46992519</v>
      </c>
      <c r="L42" s="78">
        <f t="shared" si="18"/>
        <v>0.5360964991</v>
      </c>
      <c r="M42" s="78">
        <f t="shared" si="18"/>
        <v>0.5438920032</v>
      </c>
      <c r="N42" s="78">
        <f t="shared" si="18"/>
        <v>0.5257482048</v>
      </c>
      <c r="O42" s="78">
        <f t="shared" si="18"/>
        <v>0.3795429456</v>
      </c>
      <c r="P42" s="78">
        <f t="shared" si="18"/>
        <v>0.3823911</v>
      </c>
      <c r="Q42" s="78">
        <f t="shared" si="18"/>
        <v>0.4686796296</v>
      </c>
      <c r="R42" s="78">
        <f t="shared" si="18"/>
        <v>0.4639854492</v>
      </c>
    </row>
    <row r="43" ht="15.0" customHeight="1">
      <c r="A43" s="25" t="s">
        <v>462</v>
      </c>
      <c r="B43" s="112">
        <f t="shared" ref="B43:R43" si="19">($B72*B40*$B54)</f>
        <v>0.01312535015</v>
      </c>
      <c r="C43" s="112">
        <f t="shared" si="19"/>
        <v>0.01479132245</v>
      </c>
      <c r="D43" s="112">
        <f t="shared" si="19"/>
        <v>0.01968434815</v>
      </c>
      <c r="E43" s="112">
        <f t="shared" si="19"/>
        <v>0.01451093129</v>
      </c>
      <c r="F43" s="112">
        <f t="shared" si="19"/>
        <v>0.02009830234</v>
      </c>
      <c r="G43" s="112">
        <f t="shared" si="19"/>
        <v>0.01567827274</v>
      </c>
      <c r="H43" s="112">
        <f t="shared" si="19"/>
        <v>0.0144140724</v>
      </c>
      <c r="I43" s="73">
        <f t="shared" si="19"/>
        <v>0.0145896912</v>
      </c>
      <c r="J43" s="73">
        <f t="shared" si="19"/>
        <v>0.0151032168</v>
      </c>
      <c r="K43" s="73">
        <f t="shared" si="19"/>
        <v>0.011188695</v>
      </c>
      <c r="L43" s="73">
        <f t="shared" si="19"/>
        <v>0.01276420236</v>
      </c>
      <c r="M43" s="73">
        <f t="shared" si="19"/>
        <v>0.0129498096</v>
      </c>
      <c r="N43" s="73">
        <f t="shared" si="19"/>
        <v>0.0125178144</v>
      </c>
      <c r="O43" s="73">
        <f t="shared" si="19"/>
        <v>0.0090367368</v>
      </c>
      <c r="P43" s="73">
        <f t="shared" si="19"/>
        <v>0.00910455</v>
      </c>
      <c r="Q43" s="73">
        <f t="shared" si="19"/>
        <v>0.0111590388</v>
      </c>
      <c r="R43" s="73">
        <f t="shared" si="19"/>
        <v>0.0110472726</v>
      </c>
    </row>
    <row r="44" ht="15.0" customHeight="1">
      <c r="A44" s="47" t="s">
        <v>463</v>
      </c>
      <c r="B44" s="119">
        <f t="shared" ref="B44:R44" si="20">B40*$B72*$B54*$B56</f>
        <v>4.068858548</v>
      </c>
      <c r="C44" s="119">
        <f t="shared" si="20"/>
        <v>4.585309959</v>
      </c>
      <c r="D44" s="119">
        <f t="shared" si="20"/>
        <v>6.102147927</v>
      </c>
      <c r="E44" s="119">
        <f t="shared" si="20"/>
        <v>4.498388699</v>
      </c>
      <c r="F44" s="119">
        <f t="shared" si="20"/>
        <v>6.230473724</v>
      </c>
      <c r="G44" s="119">
        <f t="shared" si="20"/>
        <v>4.860264548</v>
      </c>
      <c r="H44" s="119">
        <f t="shared" si="20"/>
        <v>4.468362444</v>
      </c>
      <c r="I44" s="78">
        <f t="shared" si="20"/>
        <v>4.522804272</v>
      </c>
      <c r="J44" s="78">
        <f t="shared" si="20"/>
        <v>4.681997208</v>
      </c>
      <c r="K44" s="78">
        <f t="shared" si="20"/>
        <v>3.46849545</v>
      </c>
      <c r="L44" s="78">
        <f t="shared" si="20"/>
        <v>3.956902732</v>
      </c>
      <c r="M44" s="78">
        <f t="shared" si="20"/>
        <v>4.014440976</v>
      </c>
      <c r="N44" s="78">
        <f t="shared" si="20"/>
        <v>3.880522464</v>
      </c>
      <c r="O44" s="78">
        <f t="shared" si="20"/>
        <v>2.801388408</v>
      </c>
      <c r="P44" s="78">
        <f t="shared" si="20"/>
        <v>2.8224105</v>
      </c>
      <c r="Q44" s="78">
        <f t="shared" si="20"/>
        <v>3.459302028</v>
      </c>
      <c r="R44" s="78">
        <f t="shared" si="20"/>
        <v>3.424654506</v>
      </c>
    </row>
    <row r="45" ht="12.75" customHeight="1">
      <c r="A45" s="120" t="s">
        <v>464</v>
      </c>
      <c r="B45" s="121">
        <f t="shared" ref="B45:R45" si="21">ROUND(B38+B42+B44,1)</f>
        <v>123.2</v>
      </c>
      <c r="C45" s="121">
        <f t="shared" si="21"/>
        <v>138.8</v>
      </c>
      <c r="D45" s="121">
        <f t="shared" si="21"/>
        <v>184.7</v>
      </c>
      <c r="E45" s="121">
        <f t="shared" si="21"/>
        <v>136.2</v>
      </c>
      <c r="F45" s="121">
        <f t="shared" si="21"/>
        <v>181.1</v>
      </c>
      <c r="G45" s="121">
        <f t="shared" si="21"/>
        <v>141.3</v>
      </c>
      <c r="H45" s="121">
        <f t="shared" si="21"/>
        <v>129.9</v>
      </c>
      <c r="I45" s="121">
        <f t="shared" si="21"/>
        <v>131.4</v>
      </c>
      <c r="J45" s="121">
        <f t="shared" si="21"/>
        <v>136.1</v>
      </c>
      <c r="K45" s="121">
        <f t="shared" si="21"/>
        <v>96.9</v>
      </c>
      <c r="L45" s="121">
        <f t="shared" si="21"/>
        <v>106.5</v>
      </c>
      <c r="M45" s="121">
        <f t="shared" si="21"/>
        <v>108.1</v>
      </c>
      <c r="N45" s="121">
        <f t="shared" si="21"/>
        <v>104.4</v>
      </c>
      <c r="O45" s="121">
        <f t="shared" si="21"/>
        <v>75.4</v>
      </c>
      <c r="P45" s="121">
        <f t="shared" si="21"/>
        <v>76</v>
      </c>
      <c r="Q45" s="121">
        <f t="shared" si="21"/>
        <v>93.1</v>
      </c>
      <c r="R45" s="121">
        <f t="shared" si="21"/>
        <v>92.2</v>
      </c>
    </row>
    <row r="46" ht="12.75" customHeight="1">
      <c r="A46" s="25"/>
      <c r="B46" s="25"/>
      <c r="C46" s="25"/>
      <c r="D46" s="25"/>
      <c r="E46" s="25"/>
      <c r="F46" s="25"/>
      <c r="G46" s="25"/>
    </row>
    <row r="47" ht="12.75" customHeight="1">
      <c r="A47" s="25"/>
      <c r="B47" s="25"/>
      <c r="C47" s="25"/>
      <c r="D47" s="25"/>
      <c r="E47" s="25"/>
      <c r="F47" s="25"/>
      <c r="G47" s="25"/>
    </row>
    <row r="48" ht="12.75" customHeight="1">
      <c r="A48" s="25"/>
      <c r="B48" s="25"/>
      <c r="C48" s="25"/>
      <c r="D48" s="25"/>
      <c r="E48" s="25"/>
      <c r="F48" s="25"/>
      <c r="G48" s="25"/>
    </row>
    <row r="49" ht="15.75" customHeight="1">
      <c r="A49" s="64" t="s">
        <v>251</v>
      </c>
      <c r="B49" s="64"/>
      <c r="C49" s="25"/>
      <c r="D49" s="25"/>
      <c r="E49" s="25"/>
      <c r="F49" s="25"/>
      <c r="G49" s="25"/>
    </row>
    <row r="50" ht="12.75" customHeight="1">
      <c r="A50" s="25"/>
      <c r="B50" s="25"/>
      <c r="C50" s="25"/>
      <c r="D50" s="25"/>
      <c r="E50" s="25"/>
      <c r="F50" s="25"/>
      <c r="G50" s="25"/>
    </row>
    <row r="51" ht="12.75" customHeight="1">
      <c r="A51" s="65" t="s">
        <v>252</v>
      </c>
      <c r="B51" s="25"/>
      <c r="C51" s="25"/>
      <c r="D51" s="25"/>
      <c r="E51" s="25"/>
      <c r="F51" s="25"/>
      <c r="G51" s="25"/>
    </row>
    <row r="52" ht="12.75" customHeight="1">
      <c r="A52" s="113" t="s">
        <v>253</v>
      </c>
      <c r="B52" s="128">
        <f>((1)/(42))</f>
        <v>0.02380952381</v>
      </c>
      <c r="C52" s="25"/>
      <c r="D52" s="25"/>
      <c r="E52" s="25"/>
      <c r="F52" s="25"/>
      <c r="G52" s="25"/>
    </row>
    <row r="53" ht="12.75" customHeight="1">
      <c r="A53" s="113" t="s">
        <v>465</v>
      </c>
      <c r="B53" s="25">
        <v>0.001</v>
      </c>
      <c r="C53" s="25"/>
      <c r="D53" s="25"/>
      <c r="E53" s="25"/>
      <c r="F53" s="25"/>
      <c r="G53" s="25"/>
    </row>
    <row r="54" ht="15.0" customHeight="1">
      <c r="A54" s="113" t="s">
        <v>466</v>
      </c>
      <c r="B54" s="114">
        <v>1.0E-6</v>
      </c>
      <c r="C54" s="112"/>
      <c r="D54" s="25"/>
      <c r="E54" s="25"/>
      <c r="F54" s="112"/>
      <c r="G54" s="25"/>
    </row>
    <row r="55" ht="15.0" customHeight="1">
      <c r="A55" s="143" t="s">
        <v>467</v>
      </c>
      <c r="B55" s="61">
        <v>21.0</v>
      </c>
      <c r="C55" s="25"/>
      <c r="D55" s="25"/>
      <c r="E55" s="25"/>
      <c r="F55" s="25"/>
      <c r="G55" s="25"/>
    </row>
    <row r="56" ht="15.0" customHeight="1">
      <c r="A56" s="143" t="s">
        <v>468</v>
      </c>
      <c r="B56" s="61">
        <v>310.0</v>
      </c>
      <c r="C56" s="112"/>
      <c r="D56" s="25"/>
      <c r="E56" s="25"/>
      <c r="F56" s="112"/>
      <c r="G56" s="25"/>
    </row>
    <row r="57" ht="12.75" customHeight="1">
      <c r="A57" s="25"/>
      <c r="B57" s="25"/>
      <c r="C57" s="25"/>
      <c r="D57" s="25"/>
      <c r="E57" s="25"/>
      <c r="F57" s="25"/>
      <c r="G57" s="112"/>
      <c r="H57" s="112"/>
      <c r="I57" s="112"/>
      <c r="J57" s="112"/>
      <c r="K57" s="112"/>
      <c r="L57" s="112"/>
    </row>
    <row r="58" ht="12.75" customHeight="1">
      <c r="A58" s="65" t="s">
        <v>469</v>
      </c>
      <c r="B58" s="25"/>
      <c r="C58" s="112"/>
      <c r="D58" s="112"/>
      <c r="E58" s="112"/>
      <c r="F58" s="112"/>
      <c r="G58" s="25"/>
      <c r="H58" s="25"/>
      <c r="I58" s="25"/>
      <c r="J58" s="25"/>
      <c r="K58" s="25"/>
      <c r="L58" s="25"/>
    </row>
    <row r="59" ht="12.75" customHeight="1">
      <c r="A59" s="47" t="s">
        <v>470</v>
      </c>
      <c r="B59" s="144">
        <f>B52*B63</f>
        <v>0.1242380952</v>
      </c>
      <c r="C59" s="112"/>
      <c r="D59" s="112"/>
      <c r="E59" s="112"/>
      <c r="F59" s="112"/>
      <c r="G59" s="25"/>
      <c r="H59" s="25"/>
      <c r="I59" s="25"/>
      <c r="J59" s="25"/>
      <c r="K59" s="25"/>
      <c r="L59" s="25"/>
    </row>
    <row r="60" ht="15.0" customHeight="1">
      <c r="A60" s="47" t="s">
        <v>471</v>
      </c>
      <c r="B60" s="47">
        <f>(B52*B63*B64*B65*B66*B53)</f>
        <v>0.008711719881</v>
      </c>
      <c r="C60" s="25"/>
      <c r="D60" s="25"/>
      <c r="E60" s="25"/>
      <c r="F60" s="25"/>
      <c r="G60" s="25"/>
      <c r="H60" s="25"/>
      <c r="I60" s="25"/>
      <c r="J60" s="25"/>
      <c r="K60" s="25"/>
      <c r="L60" s="25"/>
    </row>
    <row r="61" ht="15.0" customHeight="1">
      <c r="A61" s="143" t="s">
        <v>472</v>
      </c>
      <c r="B61" s="224">
        <v>0.1984</v>
      </c>
      <c r="C61" s="112"/>
      <c r="D61" s="112"/>
      <c r="E61" s="112"/>
      <c r="F61" s="112"/>
      <c r="G61" s="25"/>
      <c r="H61" s="25"/>
      <c r="I61" s="25"/>
      <c r="J61" s="25"/>
      <c r="K61" s="25"/>
      <c r="L61" s="25"/>
    </row>
    <row r="62" ht="15.0" customHeight="1">
      <c r="A62" s="143" t="s">
        <v>473</v>
      </c>
      <c r="B62" s="224">
        <v>0.1517</v>
      </c>
      <c r="C62" s="25"/>
      <c r="D62" s="25"/>
      <c r="E62" s="25"/>
      <c r="F62" s="25"/>
      <c r="G62" s="25"/>
    </row>
    <row r="63" ht="12.75" customHeight="1">
      <c r="A63" s="143" t="s">
        <v>261</v>
      </c>
      <c r="B63" s="61">
        <v>5.218</v>
      </c>
      <c r="C63" s="25"/>
      <c r="D63" s="25"/>
      <c r="E63" s="25"/>
      <c r="F63" s="25"/>
      <c r="G63" s="25"/>
    </row>
    <row r="64" ht="12.75" customHeight="1">
      <c r="A64" s="143" t="s">
        <v>262</v>
      </c>
      <c r="B64" s="61">
        <v>19.33</v>
      </c>
      <c r="C64" s="225"/>
      <c r="D64" s="225"/>
      <c r="E64" s="25"/>
      <c r="F64" s="25"/>
      <c r="G64" s="25"/>
    </row>
    <row r="65" ht="12.75" customHeight="1">
      <c r="A65" s="143" t="s">
        <v>263</v>
      </c>
      <c r="B65" s="61">
        <v>0.99</v>
      </c>
      <c r="C65" s="114"/>
      <c r="D65" s="114"/>
      <c r="E65" s="25"/>
      <c r="F65" s="25"/>
      <c r="G65" s="25"/>
    </row>
    <row r="66" ht="15.0" customHeight="1">
      <c r="A66" s="143" t="s">
        <v>474</v>
      </c>
      <c r="B66" s="145">
        <f>((12.011+32)/12.011)</f>
        <v>3.664224461</v>
      </c>
      <c r="C66" s="25"/>
      <c r="D66" s="25"/>
      <c r="E66" s="25"/>
      <c r="F66" s="25"/>
      <c r="G66" s="25"/>
    </row>
    <row r="67" ht="12.75" customHeight="1">
      <c r="A67" s="25"/>
      <c r="B67" s="25"/>
      <c r="C67" s="112"/>
      <c r="D67" s="112"/>
      <c r="E67" s="25"/>
      <c r="F67" s="25"/>
      <c r="G67" s="25"/>
    </row>
    <row r="68" ht="12.75" customHeight="1">
      <c r="A68" s="65" t="s">
        <v>475</v>
      </c>
      <c r="B68" s="25"/>
      <c r="C68" s="25"/>
      <c r="D68" s="25"/>
      <c r="E68" s="25"/>
      <c r="F68" s="25"/>
      <c r="G68" s="25"/>
    </row>
    <row r="69" ht="12.75" customHeight="1">
      <c r="A69" s="47" t="s">
        <v>476</v>
      </c>
      <c r="B69" s="144">
        <f>$B52*B73</f>
        <v>0.1386904762</v>
      </c>
      <c r="C69" s="25"/>
      <c r="D69" s="25"/>
      <c r="E69" s="25"/>
      <c r="F69" s="25"/>
      <c r="G69" s="25"/>
    </row>
    <row r="70" ht="15.0" customHeight="1">
      <c r="A70" s="47" t="s">
        <v>477</v>
      </c>
      <c r="B70" s="47">
        <f>($B52*B73*B74*B75*B76*$B53)</f>
        <v>0.01003706654</v>
      </c>
      <c r="C70" s="112"/>
      <c r="D70" s="25"/>
      <c r="E70" s="112"/>
      <c r="F70" s="25"/>
      <c r="G70" s="25"/>
    </row>
    <row r="71" ht="15.0" customHeight="1">
      <c r="A71" s="143" t="s">
        <v>478</v>
      </c>
      <c r="B71" s="224">
        <v>0.0966</v>
      </c>
      <c r="C71" s="114"/>
      <c r="D71" s="114"/>
      <c r="E71" s="114"/>
      <c r="F71" s="114"/>
      <c r="G71" s="25"/>
    </row>
    <row r="72" ht="15.0" customHeight="1">
      <c r="A72" s="143" t="s">
        <v>479</v>
      </c>
      <c r="B72" s="224">
        <v>0.0483</v>
      </c>
      <c r="C72" s="25"/>
      <c r="D72" s="25"/>
      <c r="E72" s="25"/>
      <c r="F72" s="25"/>
      <c r="G72" s="25"/>
    </row>
    <row r="73" ht="12.75" customHeight="1">
      <c r="A73" s="143" t="s">
        <v>261</v>
      </c>
      <c r="B73" s="61">
        <v>5.825</v>
      </c>
      <c r="C73" s="112"/>
      <c r="D73" s="112"/>
      <c r="E73" s="112"/>
      <c r="F73" s="112"/>
      <c r="G73" s="25"/>
    </row>
    <row r="74" ht="12.75" customHeight="1">
      <c r="A74" s="143" t="s">
        <v>262</v>
      </c>
      <c r="B74" s="61">
        <v>19.95</v>
      </c>
      <c r="C74" s="25"/>
      <c r="D74" s="25"/>
      <c r="E74" s="25"/>
      <c r="F74" s="25"/>
      <c r="G74" s="25"/>
    </row>
    <row r="75" ht="12.75" customHeight="1">
      <c r="A75" s="143" t="s">
        <v>263</v>
      </c>
      <c r="B75" s="61">
        <v>0.99</v>
      </c>
      <c r="C75" s="25"/>
      <c r="D75" s="25"/>
      <c r="E75" s="25"/>
      <c r="F75" s="25"/>
      <c r="G75" s="25"/>
    </row>
    <row r="76" ht="15.0" customHeight="1">
      <c r="A76" s="143" t="s">
        <v>480</v>
      </c>
      <c r="B76" s="145">
        <v>3.6642244609108316</v>
      </c>
      <c r="C76" s="25"/>
      <c r="D76" s="25"/>
      <c r="E76" s="25"/>
      <c r="F76" s="25"/>
      <c r="G76" s="25"/>
    </row>
    <row r="77" ht="12.75" customHeight="1">
      <c r="A77" s="25"/>
      <c r="B77" s="25"/>
      <c r="C77" s="25"/>
      <c r="D77" s="25"/>
      <c r="E77" s="25"/>
      <c r="F77" s="25"/>
      <c r="G77" s="25"/>
    </row>
    <row r="78" ht="12.75" customHeight="1">
      <c r="A78" s="25"/>
      <c r="B78" s="25"/>
      <c r="C78" s="25"/>
      <c r="D78" s="25"/>
      <c r="E78" s="25"/>
      <c r="F78" s="25"/>
      <c r="G78" s="25"/>
    </row>
    <row r="79" ht="12.75" customHeight="1">
      <c r="A79" s="25"/>
      <c r="B79" s="25"/>
      <c r="C79" s="25"/>
      <c r="D79" s="25"/>
      <c r="E79" s="25"/>
      <c r="F79" s="25"/>
      <c r="G79" s="25"/>
    </row>
    <row r="80" ht="12.75" customHeight="1">
      <c r="A80" s="25"/>
      <c r="B80" s="25"/>
      <c r="C80" s="25"/>
      <c r="D80" s="25"/>
      <c r="E80" s="25"/>
      <c r="F80" s="25"/>
      <c r="G80" s="25"/>
    </row>
    <row r="81" ht="12.75" customHeight="1">
      <c r="A81" s="25"/>
      <c r="B81" s="25"/>
      <c r="C81" s="25"/>
      <c r="D81" s="25"/>
      <c r="E81" s="25"/>
      <c r="F81" s="25"/>
      <c r="G81" s="25"/>
    </row>
    <row r="82" ht="12.75" customHeight="1">
      <c r="A82" s="25"/>
      <c r="B82" s="25"/>
      <c r="C82" s="25"/>
      <c r="D82" s="25"/>
      <c r="E82" s="25"/>
      <c r="F82" s="25"/>
      <c r="G82" s="25"/>
    </row>
    <row r="83" ht="12.75" customHeight="1">
      <c r="A83" s="25"/>
      <c r="B83" s="25"/>
      <c r="C83" s="25"/>
      <c r="D83" s="25"/>
      <c r="E83" s="25"/>
      <c r="F83" s="25"/>
      <c r="G83" s="25"/>
    </row>
    <row r="84" ht="12.75" customHeight="1">
      <c r="A84" s="25"/>
      <c r="B84" s="25"/>
      <c r="C84" s="25"/>
      <c r="D84" s="25"/>
      <c r="E84" s="25"/>
      <c r="F84" s="25"/>
      <c r="G84" s="25"/>
    </row>
    <row r="85" ht="12.75" customHeight="1">
      <c r="A85" s="25"/>
      <c r="B85" s="25"/>
      <c r="C85" s="25"/>
      <c r="D85" s="25"/>
      <c r="E85" s="25"/>
      <c r="F85" s="25"/>
      <c r="G85" s="25"/>
    </row>
    <row r="86" ht="12.75" customHeight="1">
      <c r="A86" s="25"/>
      <c r="B86" s="25"/>
      <c r="C86" s="25"/>
      <c r="D86" s="25"/>
      <c r="E86" s="25"/>
      <c r="F86" s="25"/>
      <c r="G86" s="25"/>
    </row>
    <row r="87" ht="12.75" customHeight="1">
      <c r="A87" s="25"/>
      <c r="B87" s="25"/>
      <c r="C87" s="25"/>
      <c r="D87" s="25"/>
      <c r="E87" s="25"/>
      <c r="F87" s="25"/>
      <c r="G87" s="25"/>
    </row>
    <row r="88" ht="12.75" customHeight="1">
      <c r="A88" s="25"/>
      <c r="B88" s="25"/>
      <c r="C88" s="25"/>
      <c r="D88" s="25"/>
      <c r="E88" s="25"/>
      <c r="F88" s="25"/>
      <c r="G88" s="25"/>
    </row>
    <row r="89" ht="12.75" customHeight="1">
      <c r="A89" s="25"/>
      <c r="B89" s="25"/>
      <c r="C89" s="25"/>
      <c r="D89" s="25"/>
      <c r="E89" s="25"/>
      <c r="F89" s="25"/>
      <c r="G89" s="25"/>
    </row>
    <row r="90" ht="12.75" customHeight="1">
      <c r="A90" s="25"/>
      <c r="B90" s="25"/>
      <c r="C90" s="25"/>
      <c r="D90" s="25"/>
      <c r="E90" s="25"/>
      <c r="F90" s="25"/>
      <c r="G90" s="25"/>
    </row>
    <row r="91" ht="12.75" customHeight="1">
      <c r="A91" s="25"/>
      <c r="B91" s="25"/>
      <c r="C91" s="25"/>
      <c r="D91" s="25"/>
      <c r="E91" s="25"/>
      <c r="F91" s="25"/>
      <c r="G91" s="25"/>
    </row>
    <row r="92" ht="12.75" customHeight="1">
      <c r="A92" s="25"/>
      <c r="B92" s="25"/>
      <c r="C92" s="25"/>
      <c r="D92" s="25"/>
      <c r="E92" s="25"/>
      <c r="F92" s="25"/>
      <c r="G92" s="25"/>
    </row>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G1"/>
    <mergeCell ref="A2:G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38"/>
    <col customWidth="1" min="2" max="9" width="7.38"/>
    <col customWidth="1" min="10" max="26" width="10.0"/>
  </cols>
  <sheetData>
    <row r="1" ht="18.0" customHeight="1">
      <c r="A1" s="226" t="s">
        <v>435</v>
      </c>
      <c r="B1" s="90"/>
      <c r="C1" s="90"/>
      <c r="D1" s="90"/>
      <c r="E1" s="90"/>
      <c r="F1" s="90"/>
      <c r="G1" s="90"/>
      <c r="H1" s="91"/>
    </row>
    <row r="2" ht="12.75" customHeight="1">
      <c r="A2" s="110" t="s">
        <v>481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c r="A20" s="155" t="s">
        <v>482</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c r="A36" s="155" t="s">
        <v>483</v>
      </c>
    </row>
    <row r="37" ht="12.75" customHeight="1"/>
    <row r="38" ht="12.75" customHeight="1"/>
    <row r="39" ht="12.75" customHeight="1"/>
    <row r="40" ht="15.75" customHeight="1">
      <c r="A40" s="92" t="s">
        <v>251</v>
      </c>
    </row>
    <row r="41" ht="12.75" customHeight="1"/>
    <row r="42" ht="12.75" customHeight="1">
      <c r="A42" s="56" t="s">
        <v>261</v>
      </c>
      <c r="B42" s="156" t="s">
        <v>484</v>
      </c>
    </row>
    <row r="43" ht="12.75" customHeight="1"/>
    <row r="44" ht="12.75" customHeight="1"/>
    <row r="45" ht="12.75" customHeight="1">
      <c r="A45" s="56" t="s">
        <v>262</v>
      </c>
      <c r="B45" s="156" t="s">
        <v>485</v>
      </c>
    </row>
    <row r="46" ht="12.75" customHeight="1"/>
    <row r="47" ht="12.75" customHeight="1">
      <c r="A47" s="56" t="s">
        <v>263</v>
      </c>
      <c r="B47" s="156" t="s">
        <v>485</v>
      </c>
    </row>
    <row r="48" ht="12.75" customHeight="1"/>
    <row r="49" ht="12.75" customHeight="1">
      <c r="A49" s="25" t="s">
        <v>323</v>
      </c>
      <c r="B49" s="156" t="s">
        <v>486</v>
      </c>
    </row>
    <row r="50" ht="12.75" customHeight="1">
      <c r="A50" s="25"/>
    </row>
    <row r="51" ht="15.0" customHeight="1">
      <c r="A51" s="56" t="s">
        <v>487</v>
      </c>
      <c r="B51" s="156" t="s">
        <v>488</v>
      </c>
    </row>
    <row r="52" ht="12.75" customHeight="1"/>
    <row r="53" ht="37.5" customHeight="1"/>
    <row r="54" ht="15.0" customHeight="1">
      <c r="A54" s="56" t="s">
        <v>489</v>
      </c>
      <c r="B54" s="156" t="s">
        <v>490</v>
      </c>
    </row>
    <row r="55" ht="12.75" customHeight="1"/>
    <row r="56" ht="12.75" customHeight="1"/>
    <row r="57" ht="14.25" customHeight="1"/>
    <row r="58" ht="15.0" customHeight="1">
      <c r="A58" s="56" t="s">
        <v>491</v>
      </c>
      <c r="B58" s="156" t="s">
        <v>492</v>
      </c>
    </row>
    <row r="59" ht="12.75" customHeight="1"/>
    <row r="60" ht="12.75" customHeight="1"/>
    <row r="61" ht="15.0" customHeight="1">
      <c r="A61" s="56" t="s">
        <v>493</v>
      </c>
      <c r="B61" s="156" t="s">
        <v>494</v>
      </c>
    </row>
    <row r="62" ht="12.75" customHeight="1"/>
    <row r="63" ht="12.75" customHeight="1"/>
    <row r="64" ht="15.75" customHeight="1"/>
    <row r="65" ht="12.0" customHeight="1"/>
    <row r="66" ht="12.75" customHeight="1">
      <c r="A66" s="56" t="s">
        <v>253</v>
      </c>
      <c r="B66" s="56" t="s">
        <v>335</v>
      </c>
    </row>
    <row r="67" ht="12.75" customHeight="1">
      <c r="A67" s="56" t="s">
        <v>255</v>
      </c>
      <c r="B67" s="56" t="s">
        <v>335</v>
      </c>
    </row>
    <row r="68" ht="12.75" customHeight="1"/>
    <row r="69" ht="15.75" customHeight="1">
      <c r="A69" s="64" t="s">
        <v>440</v>
      </c>
    </row>
    <row r="70" ht="12.75" customHeight="1">
      <c r="A70" s="56" t="s">
        <v>441</v>
      </c>
    </row>
    <row r="71" ht="12.75" customHeight="1">
      <c r="A71" s="47" t="s">
        <v>495</v>
      </c>
    </row>
    <row r="72" ht="12.75" customHeight="1">
      <c r="A72" s="57" t="s">
        <v>496</v>
      </c>
      <c r="B72" s="227" t="s">
        <v>497</v>
      </c>
      <c r="C72" s="158"/>
      <c r="D72" s="158"/>
      <c r="E72" s="158"/>
      <c r="F72" s="158"/>
      <c r="G72" s="158"/>
      <c r="H72" s="159"/>
    </row>
    <row r="73" ht="12.75" customHeight="1">
      <c r="A73" s="57"/>
      <c r="B73" s="160"/>
      <c r="C73" s="7"/>
      <c r="D73" s="7"/>
      <c r="E73" s="7"/>
      <c r="F73" s="7"/>
      <c r="G73" s="7"/>
      <c r="H73" s="8"/>
    </row>
    <row r="74" ht="12.75" customHeight="1">
      <c r="A74" s="57" t="s">
        <v>498</v>
      </c>
      <c r="B74" s="227" t="s">
        <v>497</v>
      </c>
      <c r="C74" s="158"/>
      <c r="D74" s="158"/>
      <c r="E74" s="158"/>
      <c r="F74" s="158"/>
      <c r="G74" s="158"/>
      <c r="H74" s="159"/>
    </row>
    <row r="75" ht="12.75" customHeight="1">
      <c r="A75" s="57"/>
      <c r="B75" s="160"/>
      <c r="C75" s="7"/>
      <c r="D75" s="7"/>
      <c r="E75" s="7"/>
      <c r="F75" s="7"/>
      <c r="G75" s="7"/>
      <c r="H75" s="8"/>
    </row>
    <row r="76" ht="12.75" customHeight="1">
      <c r="A76" s="57" t="s">
        <v>499</v>
      </c>
      <c r="B76" s="227" t="s">
        <v>500</v>
      </c>
      <c r="C76" s="158"/>
      <c r="D76" s="158"/>
      <c r="E76" s="158"/>
      <c r="F76" s="158"/>
      <c r="G76" s="158"/>
      <c r="H76" s="159"/>
    </row>
    <row r="77" ht="27.0" customHeight="1">
      <c r="A77" s="57"/>
      <c r="B77" s="160"/>
      <c r="C77" s="7"/>
      <c r="D77" s="7"/>
      <c r="E77" s="7"/>
      <c r="F77" s="7"/>
      <c r="G77" s="7"/>
      <c r="H77" s="8"/>
    </row>
    <row r="78" ht="12.75" customHeight="1">
      <c r="A78" s="57" t="s">
        <v>501</v>
      </c>
      <c r="B78" s="227" t="s">
        <v>502</v>
      </c>
      <c r="C78" s="158"/>
      <c r="D78" s="158"/>
      <c r="E78" s="158"/>
      <c r="F78" s="158"/>
      <c r="G78" s="158"/>
      <c r="H78" s="159"/>
    </row>
    <row r="79" ht="26.25" customHeight="1">
      <c r="A79" s="57"/>
      <c r="B79" s="160"/>
      <c r="C79" s="7"/>
      <c r="D79" s="7"/>
      <c r="E79" s="7"/>
      <c r="F79" s="7"/>
      <c r="G79" s="7"/>
      <c r="H79" s="8"/>
    </row>
    <row r="80" ht="12.75" customHeight="1">
      <c r="A80" s="57" t="s">
        <v>503</v>
      </c>
      <c r="B80" s="227" t="s">
        <v>504</v>
      </c>
      <c r="C80" s="158"/>
      <c r="D80" s="158"/>
      <c r="E80" s="158"/>
      <c r="F80" s="158"/>
      <c r="G80" s="158"/>
      <c r="H80" s="159"/>
    </row>
    <row r="81" ht="12.75" customHeight="1">
      <c r="A81" s="57"/>
      <c r="B81" s="160"/>
      <c r="C81" s="7"/>
      <c r="D81" s="7"/>
      <c r="E81" s="7"/>
      <c r="F81" s="7"/>
      <c r="G81" s="7"/>
      <c r="H81" s="8"/>
    </row>
    <row r="82" ht="12.75" customHeight="1">
      <c r="A82" s="57" t="s">
        <v>505</v>
      </c>
      <c r="B82" s="228" t="s">
        <v>504</v>
      </c>
      <c r="C82" s="158"/>
      <c r="D82" s="158"/>
      <c r="E82" s="158"/>
      <c r="F82" s="158"/>
      <c r="G82" s="158"/>
      <c r="H82" s="159"/>
    </row>
    <row r="83" ht="12.75" customHeight="1">
      <c r="A83" s="57"/>
      <c r="B83" s="160"/>
      <c r="C83" s="7"/>
      <c r="D83" s="7"/>
      <c r="E83" s="7"/>
      <c r="F83" s="7"/>
      <c r="G83" s="7"/>
      <c r="H83" s="8"/>
    </row>
    <row r="84" ht="12.75" customHeight="1">
      <c r="A84" s="55" t="s">
        <v>506</v>
      </c>
      <c r="B84" s="157" t="s">
        <v>507</v>
      </c>
      <c r="C84" s="158"/>
      <c r="D84" s="158"/>
      <c r="E84" s="158"/>
      <c r="F84" s="158"/>
      <c r="G84" s="158"/>
      <c r="H84" s="159"/>
    </row>
    <row r="85" ht="12.75" customHeight="1">
      <c r="A85" s="55"/>
      <c r="B85" s="229"/>
      <c r="H85" s="5"/>
    </row>
    <row r="86" ht="12.75" customHeight="1">
      <c r="A86" s="55"/>
      <c r="B86" s="160"/>
      <c r="C86" s="7"/>
      <c r="D86" s="7"/>
      <c r="E86" s="7"/>
      <c r="F86" s="7"/>
      <c r="G86" s="7"/>
      <c r="H86" s="8"/>
    </row>
    <row r="87" ht="12.75" customHeight="1">
      <c r="A87" s="55" t="s">
        <v>508</v>
      </c>
      <c r="B87" s="157" t="s">
        <v>337</v>
      </c>
      <c r="C87" s="158"/>
      <c r="D87" s="158"/>
      <c r="E87" s="158"/>
      <c r="F87" s="158"/>
      <c r="G87" s="158"/>
      <c r="H87" s="159"/>
    </row>
    <row r="88" ht="12.75" customHeight="1">
      <c r="A88" s="55"/>
      <c r="B88" s="160"/>
      <c r="C88" s="7"/>
      <c r="D88" s="7"/>
      <c r="E88" s="7"/>
      <c r="F88" s="7"/>
      <c r="G88" s="7"/>
      <c r="H88" s="8"/>
    </row>
    <row r="89" ht="12.75" customHeight="1">
      <c r="A89" s="56" t="s">
        <v>470</v>
      </c>
      <c r="B89" s="56" t="s">
        <v>338</v>
      </c>
    </row>
    <row r="90" ht="15.0" customHeight="1">
      <c r="A90" s="56" t="s">
        <v>509</v>
      </c>
      <c r="B90" s="56" t="s">
        <v>338</v>
      </c>
    </row>
    <row r="91" ht="12.75" customHeight="1">
      <c r="A91" s="57" t="s">
        <v>510</v>
      </c>
      <c r="B91" s="227" t="s">
        <v>511</v>
      </c>
      <c r="C91" s="158"/>
      <c r="D91" s="158"/>
      <c r="E91" s="158"/>
      <c r="F91" s="158"/>
      <c r="G91" s="158"/>
      <c r="H91" s="159"/>
    </row>
    <row r="92" ht="12.75" customHeight="1">
      <c r="A92" s="57"/>
      <c r="B92" s="160"/>
      <c r="C92" s="7"/>
      <c r="D92" s="7"/>
      <c r="E92" s="7"/>
      <c r="F92" s="7"/>
      <c r="G92" s="7"/>
      <c r="H92" s="8"/>
    </row>
    <row r="93" ht="12.75" customHeight="1">
      <c r="A93" s="56" t="s">
        <v>448</v>
      </c>
      <c r="B93" s="56" t="s">
        <v>338</v>
      </c>
    </row>
    <row r="94" ht="12.75" customHeight="1"/>
    <row r="95" ht="15.75" customHeight="1">
      <c r="A95" s="64" t="s">
        <v>454</v>
      </c>
    </row>
    <row r="96" ht="12.75" customHeight="1">
      <c r="A96" s="55" t="s">
        <v>512</v>
      </c>
      <c r="B96" s="157" t="s">
        <v>337</v>
      </c>
      <c r="C96" s="158"/>
      <c r="D96" s="158"/>
      <c r="E96" s="158"/>
      <c r="F96" s="158"/>
      <c r="G96" s="158"/>
      <c r="H96" s="159"/>
    </row>
    <row r="97" ht="12.75" customHeight="1">
      <c r="A97" s="55"/>
      <c r="B97" s="160"/>
      <c r="C97" s="7"/>
      <c r="D97" s="7"/>
      <c r="E97" s="7"/>
      <c r="F97" s="7"/>
      <c r="G97" s="7"/>
      <c r="H97" s="8"/>
    </row>
    <row r="98" ht="12.75" customHeight="1">
      <c r="A98" s="55" t="s">
        <v>513</v>
      </c>
      <c r="B98" s="157" t="s">
        <v>337</v>
      </c>
      <c r="C98" s="158"/>
      <c r="D98" s="158"/>
      <c r="E98" s="158"/>
      <c r="F98" s="158"/>
      <c r="G98" s="158"/>
      <c r="H98" s="159"/>
    </row>
    <row r="99" ht="12.75" customHeight="1">
      <c r="A99" s="55"/>
      <c r="B99" s="160"/>
      <c r="C99" s="7"/>
      <c r="D99" s="7"/>
      <c r="E99" s="7"/>
      <c r="F99" s="7"/>
      <c r="G99" s="7"/>
      <c r="H99" s="8"/>
    </row>
    <row r="100" ht="12.75" customHeight="1">
      <c r="A100" s="55" t="s">
        <v>514</v>
      </c>
      <c r="B100" s="157" t="s">
        <v>337</v>
      </c>
      <c r="C100" s="158"/>
      <c r="D100" s="158"/>
      <c r="E100" s="158"/>
      <c r="F100" s="158"/>
      <c r="G100" s="158"/>
      <c r="H100" s="159"/>
    </row>
    <row r="101" ht="12.75" customHeight="1">
      <c r="A101" s="55"/>
      <c r="B101" s="160"/>
      <c r="C101" s="7"/>
      <c r="D101" s="7"/>
      <c r="E101" s="7"/>
      <c r="F101" s="7"/>
      <c r="G101" s="7"/>
      <c r="H101" s="8"/>
    </row>
    <row r="102" ht="12.75" customHeight="1">
      <c r="A102" s="56" t="s">
        <v>476</v>
      </c>
      <c r="B102" s="83" t="s">
        <v>338</v>
      </c>
    </row>
    <row r="103" ht="15.0" customHeight="1">
      <c r="A103" s="56" t="s">
        <v>515</v>
      </c>
      <c r="B103" s="83" t="s">
        <v>338</v>
      </c>
    </row>
    <row r="104" ht="12.75" customHeight="1">
      <c r="A104" s="57" t="s">
        <v>510</v>
      </c>
      <c r="B104" s="227" t="s">
        <v>516</v>
      </c>
      <c r="C104" s="158"/>
      <c r="D104" s="158"/>
      <c r="E104" s="158"/>
      <c r="F104" s="158"/>
      <c r="G104" s="158"/>
      <c r="H104" s="159"/>
    </row>
    <row r="105" ht="12.75" customHeight="1">
      <c r="A105" s="57"/>
      <c r="B105" s="160"/>
      <c r="C105" s="7"/>
      <c r="D105" s="7"/>
      <c r="E105" s="7"/>
      <c r="F105" s="7"/>
      <c r="G105" s="7"/>
      <c r="H105" s="8"/>
    </row>
    <row r="106" ht="12.75" customHeight="1">
      <c r="A106" s="56" t="s">
        <v>448</v>
      </c>
      <c r="B106" s="83" t="s">
        <v>338</v>
      </c>
    </row>
    <row r="107" ht="12.75" customHeight="1"/>
    <row r="108" ht="15.75" customHeight="1">
      <c r="A108" s="64" t="s">
        <v>347</v>
      </c>
    </row>
    <row r="109" ht="12.75" customHeight="1">
      <c r="A109" s="156" t="s">
        <v>517</v>
      </c>
      <c r="I109" s="12"/>
    </row>
    <row r="110" ht="12.75" customHeight="1">
      <c r="I110" s="12"/>
    </row>
    <row r="111" ht="12.75" customHeight="1">
      <c r="I111" s="12"/>
    </row>
    <row r="112" ht="12.75" customHeight="1">
      <c r="I112" s="12"/>
    </row>
    <row r="113" ht="12.75" customHeight="1">
      <c r="A113" s="47" t="s">
        <v>348</v>
      </c>
    </row>
    <row r="114" ht="12.75" customHeight="1">
      <c r="A114" s="156" t="s">
        <v>518</v>
      </c>
    </row>
    <row r="115" ht="12.75" customHeight="1"/>
    <row r="116" ht="12.75" customHeight="1">
      <c r="A116" s="156" t="s">
        <v>350</v>
      </c>
    </row>
    <row r="117" ht="12.75" customHeight="1"/>
    <row r="118" ht="12.75" customHeight="1"/>
    <row r="119" ht="12.75" customHeight="1">
      <c r="A119" s="47" t="s">
        <v>351</v>
      </c>
    </row>
    <row r="120" ht="12.75" customHeight="1">
      <c r="A120" s="156" t="s">
        <v>352</v>
      </c>
    </row>
    <row r="121" ht="12.75" customHeight="1"/>
    <row r="122" ht="12.75" customHeight="1">
      <c r="A122" s="156" t="s">
        <v>353</v>
      </c>
    </row>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A1:H1"/>
    <mergeCell ref="A2:H4"/>
    <mergeCell ref="A20:F22"/>
    <mergeCell ref="A36:F38"/>
    <mergeCell ref="B42:H44"/>
    <mergeCell ref="B45:H46"/>
    <mergeCell ref="B47:H48"/>
    <mergeCell ref="B49:H50"/>
    <mergeCell ref="B51:H53"/>
    <mergeCell ref="B54:H57"/>
    <mergeCell ref="B58:H60"/>
    <mergeCell ref="B61:H64"/>
    <mergeCell ref="A69:B69"/>
    <mergeCell ref="B72:H73"/>
    <mergeCell ref="B74:H75"/>
    <mergeCell ref="B76:H77"/>
    <mergeCell ref="B78:H79"/>
    <mergeCell ref="B80:H81"/>
    <mergeCell ref="B82:H83"/>
    <mergeCell ref="B84:H86"/>
    <mergeCell ref="B87:H88"/>
    <mergeCell ref="B104:H105"/>
    <mergeCell ref="B106:D106"/>
    <mergeCell ref="A108:D108"/>
    <mergeCell ref="A109:H112"/>
    <mergeCell ref="A114:H115"/>
    <mergeCell ref="A116:H118"/>
    <mergeCell ref="A120:H121"/>
    <mergeCell ref="A122:H123"/>
    <mergeCell ref="B91:H92"/>
    <mergeCell ref="A95:B95"/>
    <mergeCell ref="B96:H97"/>
    <mergeCell ref="B98:H99"/>
    <mergeCell ref="B100:H101"/>
    <mergeCell ref="B102:D102"/>
    <mergeCell ref="B103:D103"/>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F305"/>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9.0"/>
    <col customWidth="1" min="2" max="6" width="10.38"/>
    <col customWidth="1" min="7" max="12" width="10.5"/>
    <col customWidth="1" min="13" max="14" width="11.38"/>
    <col customWidth="1" min="15" max="18" width="12.5"/>
    <col customWidth="1" min="19" max="19" width="17.88"/>
    <col customWidth="1" min="20" max="20" width="9.13"/>
    <col customWidth="1" min="21" max="21" width="7.38"/>
    <col customWidth="1" min="22" max="22" width="18.63"/>
    <col customWidth="1" min="23" max="24" width="7.38"/>
    <col customWidth="1" min="25" max="36" width="10.0"/>
  </cols>
  <sheetData>
    <row r="1" ht="27.75" customHeight="1">
      <c r="A1" s="230" t="s">
        <v>519</v>
      </c>
      <c r="B1" s="231"/>
      <c r="C1" s="231"/>
      <c r="D1" s="231"/>
      <c r="E1" s="231"/>
      <c r="F1" s="231"/>
      <c r="G1" s="231"/>
      <c r="H1" s="231"/>
      <c r="I1" s="231"/>
      <c r="J1" s="232"/>
    </row>
    <row r="2" ht="12.75" customHeight="1">
      <c r="A2" s="233" t="s">
        <v>520</v>
      </c>
      <c r="I2" s="47"/>
      <c r="J2" s="86"/>
      <c r="K2" s="86"/>
      <c r="L2" s="86"/>
      <c r="M2" s="86"/>
      <c r="N2" s="86"/>
    </row>
    <row r="3" ht="12.75" customHeight="1">
      <c r="H3" s="97"/>
      <c r="I3" s="234"/>
      <c r="J3" s="97"/>
      <c r="K3" s="97"/>
      <c r="L3" s="97"/>
      <c r="M3" s="97"/>
      <c r="N3" s="97"/>
    </row>
    <row r="4" ht="12.75" customHeight="1">
      <c r="J4" s="97"/>
      <c r="K4" s="97"/>
      <c r="L4" s="97"/>
      <c r="M4" s="97"/>
      <c r="N4" s="97"/>
    </row>
    <row r="5" ht="12.75" customHeight="1">
      <c r="J5" s="97"/>
      <c r="K5" s="97"/>
      <c r="L5" s="97"/>
      <c r="M5" s="97"/>
      <c r="N5" s="97"/>
    </row>
    <row r="6" ht="12.75" customHeight="1">
      <c r="H6" s="97"/>
      <c r="I6" s="47"/>
      <c r="J6" s="235"/>
      <c r="K6" s="235"/>
      <c r="L6" s="236"/>
      <c r="M6" s="235"/>
      <c r="N6" s="235"/>
    </row>
    <row r="7" ht="15.75" customHeight="1">
      <c r="A7" s="92" t="s">
        <v>521</v>
      </c>
      <c r="B7" s="25"/>
      <c r="C7" s="25"/>
      <c r="D7" s="25"/>
      <c r="E7" s="25"/>
      <c r="F7" s="25"/>
    </row>
    <row r="8" ht="12.75" customHeight="1">
      <c r="A8" s="47"/>
      <c r="B8" s="65" t="s">
        <v>55</v>
      </c>
    </row>
    <row r="9" ht="12.75" customHeight="1">
      <c r="A9" s="237" t="s">
        <v>522</v>
      </c>
      <c r="B9" s="214" t="s">
        <v>76</v>
      </c>
      <c r="C9" s="214" t="s">
        <v>77</v>
      </c>
      <c r="D9" s="214" t="s">
        <v>78</v>
      </c>
      <c r="E9" s="214" t="s">
        <v>79</v>
      </c>
      <c r="F9" s="214" t="s">
        <v>80</v>
      </c>
      <c r="G9" s="214" t="s">
        <v>81</v>
      </c>
      <c r="H9" s="214" t="s">
        <v>82</v>
      </c>
      <c r="I9" s="214" t="s">
        <v>83</v>
      </c>
      <c r="J9" s="214" t="s">
        <v>84</v>
      </c>
      <c r="K9" s="214" t="s">
        <v>66</v>
      </c>
      <c r="L9" s="214" t="s">
        <v>185</v>
      </c>
      <c r="M9" s="214" t="s">
        <v>186</v>
      </c>
      <c r="N9" s="214" t="s">
        <v>187</v>
      </c>
      <c r="O9" s="214" t="s">
        <v>188</v>
      </c>
      <c r="P9" s="96" t="s">
        <v>189</v>
      </c>
      <c r="Q9" s="96" t="s">
        <v>190</v>
      </c>
      <c r="R9" s="96" t="s">
        <v>191</v>
      </c>
    </row>
    <row r="10" ht="13.5" customHeight="1">
      <c r="A10" s="55" t="s">
        <v>523</v>
      </c>
      <c r="B10" s="115">
        <v>2.2115225E7</v>
      </c>
      <c r="C10" s="115">
        <v>2.2429291E7</v>
      </c>
      <c r="D10" s="115">
        <v>2.189200876E7</v>
      </c>
      <c r="E10" s="115">
        <v>2.2594374E7</v>
      </c>
      <c r="F10" s="115">
        <v>2.2385615E7</v>
      </c>
      <c r="G10" s="115">
        <v>2.161333E7</v>
      </c>
      <c r="H10" s="116">
        <v>2.1910033E7</v>
      </c>
      <c r="I10" s="116">
        <v>2.1424503E7</v>
      </c>
      <c r="J10" s="238">
        <v>2.2552894E7</v>
      </c>
      <c r="K10" s="238">
        <v>2.0572559E7</v>
      </c>
      <c r="L10" s="115">
        <v>2.2276346E7</v>
      </c>
      <c r="M10" s="115">
        <v>2.2142753E7</v>
      </c>
      <c r="N10" s="115">
        <v>2.0227685E7</v>
      </c>
      <c r="O10" s="115">
        <v>1.7585865E7</v>
      </c>
      <c r="P10" s="115">
        <v>1.7847791E7</v>
      </c>
      <c r="Q10" s="239">
        <v>1.7435028E7</v>
      </c>
      <c r="R10" s="239">
        <v>1.8168653E7</v>
      </c>
      <c r="S10" s="97"/>
      <c r="T10" s="97"/>
      <c r="U10" s="25"/>
      <c r="V10" s="25"/>
      <c r="Y10" s="25"/>
      <c r="Z10" s="25"/>
      <c r="AA10" s="25"/>
      <c r="AB10" s="25"/>
      <c r="AC10" s="25"/>
      <c r="AD10" s="25"/>
      <c r="AE10" s="25"/>
      <c r="AF10" s="25"/>
      <c r="AG10" s="25"/>
      <c r="AH10" s="25"/>
      <c r="AI10" s="25"/>
      <c r="AJ10" s="25"/>
    </row>
    <row r="11" ht="12.75" customHeight="1">
      <c r="A11" s="55" t="s">
        <v>524</v>
      </c>
      <c r="B11" s="115">
        <v>523794.0</v>
      </c>
      <c r="C11" s="115">
        <v>429990.0</v>
      </c>
      <c r="D11" s="115">
        <v>443344.0</v>
      </c>
      <c r="E11" s="115">
        <v>353345.0</v>
      </c>
      <c r="F11" s="115">
        <v>314891.0</v>
      </c>
      <c r="G11" s="115">
        <v>310000.0</v>
      </c>
      <c r="H11" s="115">
        <v>310000.0</v>
      </c>
      <c r="I11" s="115">
        <v>310000.0</v>
      </c>
      <c r="J11" s="115">
        <v>310000.0</v>
      </c>
      <c r="K11" s="115">
        <v>300000.0</v>
      </c>
      <c r="L11" s="115">
        <v>300000.0</v>
      </c>
      <c r="M11" s="115">
        <v>300000.0</v>
      </c>
      <c r="N11" s="115">
        <v>100000.0</v>
      </c>
      <c r="O11" s="115">
        <v>100000.0</v>
      </c>
      <c r="P11" s="115">
        <v>100000.0</v>
      </c>
      <c r="Q11" s="115">
        <v>100000.0</v>
      </c>
      <c r="R11" s="115">
        <v>0.0</v>
      </c>
      <c r="S11" s="97"/>
      <c r="T11" s="97"/>
      <c r="U11" s="25"/>
      <c r="V11" s="25"/>
      <c r="Y11" s="25"/>
      <c r="Z11" s="25"/>
      <c r="AA11" s="25"/>
      <c r="AB11" s="25"/>
      <c r="AC11" s="25"/>
      <c r="AD11" s="25"/>
      <c r="AE11" s="25"/>
      <c r="AF11" s="25"/>
      <c r="AG11" s="25"/>
      <c r="AH11" s="25"/>
      <c r="AI11" s="25"/>
      <c r="AJ11" s="25"/>
    </row>
    <row r="12" ht="15.0" customHeight="1">
      <c r="A12" s="55" t="s">
        <v>525</v>
      </c>
      <c r="B12" s="115">
        <v>41680.0</v>
      </c>
      <c r="C12" s="115">
        <v>50869.0</v>
      </c>
      <c r="D12" s="122">
        <f>30252+8689</f>
        <v>38941</v>
      </c>
      <c r="E12" s="116">
        <f>47200+31154</f>
        <v>78354</v>
      </c>
      <c r="F12" s="116">
        <f>34960+31531</f>
        <v>66491</v>
      </c>
      <c r="G12" s="116">
        <v>66000.0</v>
      </c>
      <c r="H12" s="116">
        <v>31835.0</v>
      </c>
      <c r="I12" s="116">
        <v>31835.0</v>
      </c>
      <c r="J12" s="116">
        <v>31835.0</v>
      </c>
      <c r="K12" s="115">
        <v>31800.0</v>
      </c>
      <c r="L12" s="55">
        <v>11355.0</v>
      </c>
      <c r="M12" s="55">
        <v>11851.0</v>
      </c>
      <c r="N12" s="116">
        <v>47285.0</v>
      </c>
      <c r="O12" s="116">
        <v>42464.0</v>
      </c>
      <c r="P12" s="116">
        <v>43232.0</v>
      </c>
      <c r="Q12" s="116">
        <v>52280.0</v>
      </c>
      <c r="R12" s="116">
        <v>52280.0</v>
      </c>
      <c r="S12" s="97"/>
      <c r="T12" s="97"/>
      <c r="U12" s="25"/>
      <c r="V12" s="25"/>
      <c r="Y12" s="25"/>
      <c r="Z12" s="25"/>
      <c r="AA12" s="25"/>
      <c r="AB12" s="25"/>
      <c r="AC12" s="25"/>
      <c r="AD12" s="25"/>
      <c r="AE12" s="25"/>
      <c r="AF12" s="25"/>
      <c r="AG12" s="25"/>
      <c r="AH12" s="25"/>
      <c r="AI12" s="25"/>
      <c r="AJ12" s="25"/>
    </row>
    <row r="13" ht="12.75" customHeight="1">
      <c r="A13" s="55" t="s">
        <v>526</v>
      </c>
      <c r="B13" s="115">
        <v>4242211.0</v>
      </c>
      <c r="C13" s="115">
        <v>4450804.0</v>
      </c>
      <c r="D13" s="115">
        <v>4139840.0</v>
      </c>
      <c r="E13" s="115">
        <v>3813050.0</v>
      </c>
      <c r="F13" s="115">
        <v>4115865.0</v>
      </c>
      <c r="G13" s="116">
        <v>3654240.0</v>
      </c>
      <c r="H13" s="116">
        <v>3320096.0</v>
      </c>
      <c r="I13" s="115">
        <v>3756420.0</v>
      </c>
      <c r="J13" s="115">
        <v>3604293.0</v>
      </c>
      <c r="K13" s="115">
        <v>3001400.0</v>
      </c>
      <c r="L13" s="115">
        <v>3578299.0</v>
      </c>
      <c r="M13" s="115">
        <v>2997780.0</v>
      </c>
      <c r="N13" s="115">
        <v>3761060.0</v>
      </c>
      <c r="O13" s="116">
        <v>3041280.0</v>
      </c>
      <c r="P13" s="116">
        <v>3000444.0</v>
      </c>
      <c r="Q13" s="239">
        <v>3175960.0</v>
      </c>
      <c r="R13" s="239">
        <v>2526700.0</v>
      </c>
      <c r="S13" s="97"/>
      <c r="T13" s="97"/>
      <c r="U13" s="25"/>
      <c r="V13" s="25"/>
      <c r="Y13" s="25"/>
      <c r="Z13" s="25"/>
      <c r="AA13" s="25"/>
      <c r="AB13" s="25"/>
      <c r="AC13" s="25"/>
      <c r="AD13" s="25"/>
      <c r="AE13" s="25"/>
      <c r="AF13" s="25"/>
      <c r="AG13" s="25"/>
      <c r="AH13" s="25"/>
      <c r="AI13" s="25"/>
      <c r="AJ13" s="25"/>
    </row>
    <row r="14" ht="12.75" customHeight="1">
      <c r="A14" s="55" t="s">
        <v>527</v>
      </c>
      <c r="B14" s="115">
        <v>4825.0</v>
      </c>
      <c r="C14" s="115">
        <v>4317.0</v>
      </c>
      <c r="D14" s="55">
        <f>5168</f>
        <v>5168</v>
      </c>
      <c r="E14" s="240">
        <v>3965.0</v>
      </c>
      <c r="F14" s="240">
        <v>4910.0</v>
      </c>
      <c r="G14" s="55">
        <v>2768.0</v>
      </c>
      <c r="H14" s="116">
        <v>2328.0</v>
      </c>
      <c r="I14" s="116">
        <v>4172.0</v>
      </c>
      <c r="J14" s="116">
        <v>4902.0</v>
      </c>
      <c r="K14" s="116">
        <v>4126.0</v>
      </c>
      <c r="L14" s="116">
        <f>'Renewable Energy'!K27</f>
        <v>4341</v>
      </c>
      <c r="M14" s="116">
        <v>3863.0</v>
      </c>
      <c r="N14" s="116">
        <v>4135.0</v>
      </c>
      <c r="O14" s="116">
        <v>3575.0</v>
      </c>
      <c r="P14" s="116">
        <v>2072.0</v>
      </c>
      <c r="Q14" s="116">
        <v>1652.0</v>
      </c>
      <c r="R14" s="116">
        <v>1652.0</v>
      </c>
      <c r="S14" s="97"/>
      <c r="T14" s="97"/>
      <c r="U14" s="25"/>
      <c r="V14" s="25"/>
      <c r="Y14" s="25"/>
      <c r="Z14" s="25"/>
      <c r="AA14" s="25"/>
      <c r="AB14" s="25"/>
      <c r="AC14" s="25"/>
      <c r="AD14" s="25"/>
      <c r="AE14" s="25"/>
      <c r="AF14" s="25"/>
      <c r="AG14" s="25"/>
      <c r="AH14" s="25"/>
      <c r="AI14" s="25"/>
      <c r="AJ14" s="25"/>
    </row>
    <row r="15" ht="12.75" customHeight="1">
      <c r="A15" s="55" t="s">
        <v>528</v>
      </c>
      <c r="B15" s="115">
        <v>1000.6</v>
      </c>
      <c r="C15" s="115">
        <f>1012.7+1953</f>
        <v>2965.7</v>
      </c>
      <c r="D15" s="116">
        <f>938.8+10634</f>
        <v>11572.8</v>
      </c>
      <c r="E15" s="241">
        <v>11005.9</v>
      </c>
      <c r="F15" s="241">
        <v>10627.1</v>
      </c>
      <c r="G15" s="116">
        <v>143023.3</v>
      </c>
      <c r="H15" s="116">
        <f>940+10089+7882+240451</f>
        <v>259362</v>
      </c>
      <c r="I15" s="241">
        <v>606777.0</v>
      </c>
      <c r="J15" s="241">
        <v>1031541.32018</v>
      </c>
      <c r="K15" s="115">
        <v>1034979.0</v>
      </c>
      <c r="L15" s="115">
        <f>'Renewable Energy'!K23</f>
        <v>1395497</v>
      </c>
      <c r="M15" s="115">
        <v>1786463.0</v>
      </c>
      <c r="N15" s="115">
        <v>1703031.2</v>
      </c>
      <c r="O15" s="115">
        <v>1812587.83</v>
      </c>
      <c r="P15" s="115">
        <v>1772245.0</v>
      </c>
      <c r="Q15" s="115">
        <v>1852576.0</v>
      </c>
      <c r="R15" s="115">
        <v>1852576.0</v>
      </c>
      <c r="S15" s="97"/>
      <c r="T15" s="97"/>
      <c r="U15" s="25"/>
      <c r="V15" s="25"/>
      <c r="Y15" s="25"/>
      <c r="Z15" s="25"/>
      <c r="AA15" s="25"/>
      <c r="AB15" s="25"/>
      <c r="AC15" s="25"/>
      <c r="AD15" s="25"/>
      <c r="AE15" s="25"/>
      <c r="AF15" s="25"/>
      <c r="AG15" s="25"/>
      <c r="AH15" s="25"/>
      <c r="AI15" s="25"/>
      <c r="AJ15" s="25"/>
    </row>
    <row r="16" ht="12.75" customHeight="1">
      <c r="A16" s="25" t="s">
        <v>529</v>
      </c>
      <c r="B16" s="97">
        <f t="shared" ref="B16:R16" si="1">((B10-B11)+B13+B14+B15)</f>
        <v>25839467.6</v>
      </c>
      <c r="C16" s="97">
        <f t="shared" si="1"/>
        <v>26457387.7</v>
      </c>
      <c r="D16" s="97">
        <f t="shared" si="1"/>
        <v>25605245.56</v>
      </c>
      <c r="E16" s="97">
        <f t="shared" si="1"/>
        <v>26069049.9</v>
      </c>
      <c r="F16" s="97">
        <f t="shared" si="1"/>
        <v>26202126.1</v>
      </c>
      <c r="G16" s="97">
        <f t="shared" si="1"/>
        <v>25103361.3</v>
      </c>
      <c r="H16" s="97">
        <f t="shared" si="1"/>
        <v>25181819</v>
      </c>
      <c r="I16" s="97">
        <f t="shared" si="1"/>
        <v>25481872</v>
      </c>
      <c r="J16" s="97">
        <f t="shared" si="1"/>
        <v>26883630.32</v>
      </c>
      <c r="K16" s="97">
        <f t="shared" si="1"/>
        <v>24313064</v>
      </c>
      <c r="L16" s="97">
        <f t="shared" si="1"/>
        <v>26954483</v>
      </c>
      <c r="M16" s="97">
        <f t="shared" si="1"/>
        <v>26630859</v>
      </c>
      <c r="N16" s="97">
        <f t="shared" si="1"/>
        <v>25595911.2</v>
      </c>
      <c r="O16" s="97">
        <f t="shared" si="1"/>
        <v>22343307.83</v>
      </c>
      <c r="P16" s="97">
        <f t="shared" si="1"/>
        <v>22522552</v>
      </c>
      <c r="Q16" s="97">
        <f t="shared" si="1"/>
        <v>22365216</v>
      </c>
      <c r="R16" s="97">
        <f t="shared" si="1"/>
        <v>22549581</v>
      </c>
      <c r="S16" s="97"/>
      <c r="T16" s="25"/>
      <c r="U16" s="25"/>
      <c r="V16" s="25"/>
      <c r="W16" s="25"/>
      <c r="X16" s="25"/>
      <c r="Y16" s="25"/>
      <c r="Z16" s="25"/>
      <c r="AA16" s="25"/>
      <c r="AB16" s="25"/>
      <c r="AC16" s="25"/>
      <c r="AD16" s="25"/>
      <c r="AE16" s="25"/>
      <c r="AF16" s="25"/>
      <c r="AG16" s="25"/>
      <c r="AH16" s="25"/>
      <c r="AI16" s="25"/>
      <c r="AJ16" s="25"/>
    </row>
    <row r="17" ht="12.75" customHeight="1">
      <c r="A17" s="25" t="s">
        <v>530</v>
      </c>
      <c r="B17" s="97">
        <f t="shared" ref="B17:R17" si="2">SUM(B13:B15)</f>
        <v>4248036.6</v>
      </c>
      <c r="C17" s="97">
        <f t="shared" si="2"/>
        <v>4458086.7</v>
      </c>
      <c r="D17" s="97">
        <f t="shared" si="2"/>
        <v>4156580.8</v>
      </c>
      <c r="E17" s="97">
        <f t="shared" si="2"/>
        <v>3828020.9</v>
      </c>
      <c r="F17" s="97">
        <f t="shared" si="2"/>
        <v>4131402.1</v>
      </c>
      <c r="G17" s="97">
        <f t="shared" si="2"/>
        <v>3800031.3</v>
      </c>
      <c r="H17" s="97">
        <f t="shared" si="2"/>
        <v>3581786</v>
      </c>
      <c r="I17" s="97">
        <f t="shared" si="2"/>
        <v>4367369</v>
      </c>
      <c r="J17" s="97">
        <f t="shared" si="2"/>
        <v>4640736.32</v>
      </c>
      <c r="K17" s="97">
        <f t="shared" si="2"/>
        <v>4040505</v>
      </c>
      <c r="L17" s="97">
        <f t="shared" si="2"/>
        <v>4978137</v>
      </c>
      <c r="M17" s="97">
        <f t="shared" si="2"/>
        <v>4788106</v>
      </c>
      <c r="N17" s="97">
        <f t="shared" si="2"/>
        <v>5468226.2</v>
      </c>
      <c r="O17" s="97">
        <f t="shared" si="2"/>
        <v>4857442.83</v>
      </c>
      <c r="P17" s="97">
        <f t="shared" si="2"/>
        <v>4774761</v>
      </c>
      <c r="Q17" s="97">
        <f t="shared" si="2"/>
        <v>5030188</v>
      </c>
      <c r="R17" s="97">
        <f t="shared" si="2"/>
        <v>4380928</v>
      </c>
      <c r="S17" s="97"/>
    </row>
    <row r="18" ht="12.75" customHeight="1">
      <c r="A18" s="56" t="s">
        <v>531</v>
      </c>
      <c r="B18" s="97">
        <f t="shared" ref="B18:K18" si="3">B12</f>
        <v>41680</v>
      </c>
      <c r="C18" s="97">
        <f t="shared" si="3"/>
        <v>50869</v>
      </c>
      <c r="D18" s="97">
        <f t="shared" si="3"/>
        <v>38941</v>
      </c>
      <c r="E18" s="97">
        <f t="shared" si="3"/>
        <v>78354</v>
      </c>
      <c r="F18" s="97">
        <f t="shared" si="3"/>
        <v>66491</v>
      </c>
      <c r="G18" s="97">
        <f t="shared" si="3"/>
        <v>66000</v>
      </c>
      <c r="H18" s="97">
        <f t="shared" si="3"/>
        <v>31835</v>
      </c>
      <c r="I18" s="97">
        <f t="shared" si="3"/>
        <v>31835</v>
      </c>
      <c r="J18" s="97">
        <f t="shared" si="3"/>
        <v>31835</v>
      </c>
      <c r="K18" s="97">
        <f t="shared" si="3"/>
        <v>31800</v>
      </c>
      <c r="L18" s="97" t="str">
        <f t="shared" ref="L18:R18" si="4">L6</f>
        <v/>
      </c>
      <c r="M18" s="97" t="str">
        <f t="shared" si="4"/>
        <v/>
      </c>
      <c r="N18" s="97" t="str">
        <f t="shared" si="4"/>
        <v/>
      </c>
      <c r="O18" s="97" t="str">
        <f t="shared" si="4"/>
        <v/>
      </c>
      <c r="P18" s="97" t="str">
        <f t="shared" si="4"/>
        <v/>
      </c>
      <c r="Q18" s="97" t="str">
        <f t="shared" si="4"/>
        <v/>
      </c>
      <c r="R18" s="97" t="str">
        <f t="shared" si="4"/>
        <v/>
      </c>
    </row>
    <row r="19" ht="12.75" customHeight="1">
      <c r="A19" s="56" t="s">
        <v>532</v>
      </c>
      <c r="B19" s="97">
        <f t="shared" ref="B19:R19" si="5">B16-(B17+B18)</f>
        <v>21549751</v>
      </c>
      <c r="C19" s="97">
        <f t="shared" si="5"/>
        <v>21948432</v>
      </c>
      <c r="D19" s="97">
        <f t="shared" si="5"/>
        <v>21409723.76</v>
      </c>
      <c r="E19" s="97">
        <f t="shared" si="5"/>
        <v>22162675</v>
      </c>
      <c r="F19" s="97">
        <f t="shared" si="5"/>
        <v>22004233</v>
      </c>
      <c r="G19" s="97">
        <f t="shared" si="5"/>
        <v>21237330</v>
      </c>
      <c r="H19" s="97">
        <f t="shared" si="5"/>
        <v>21568198</v>
      </c>
      <c r="I19" s="97">
        <f t="shared" si="5"/>
        <v>21082668</v>
      </c>
      <c r="J19" s="97">
        <f t="shared" si="5"/>
        <v>22211059</v>
      </c>
      <c r="K19" s="97">
        <f t="shared" si="5"/>
        <v>20240759</v>
      </c>
      <c r="L19" s="97">
        <f t="shared" si="5"/>
        <v>21976346</v>
      </c>
      <c r="M19" s="97">
        <f t="shared" si="5"/>
        <v>21842753</v>
      </c>
      <c r="N19" s="97">
        <f t="shared" si="5"/>
        <v>20127685</v>
      </c>
      <c r="O19" s="97">
        <f t="shared" si="5"/>
        <v>17485865</v>
      </c>
      <c r="P19" s="97">
        <f t="shared" si="5"/>
        <v>17747791</v>
      </c>
      <c r="Q19" s="97">
        <f t="shared" si="5"/>
        <v>17335028</v>
      </c>
      <c r="R19" s="97">
        <f t="shared" si="5"/>
        <v>18168653</v>
      </c>
      <c r="S19" s="97"/>
    </row>
    <row r="20" ht="12.75" customHeight="1"/>
    <row r="21" ht="12.75" customHeight="1">
      <c r="A21" s="72" t="s">
        <v>533</v>
      </c>
    </row>
    <row r="22" ht="12.75" customHeight="1">
      <c r="A22" s="57" t="s">
        <v>534</v>
      </c>
      <c r="B22" s="105">
        <v>1.54</v>
      </c>
      <c r="C22" s="105">
        <v>1.8</v>
      </c>
      <c r="D22" s="105">
        <v>1.6</v>
      </c>
      <c r="E22" s="105">
        <v>3.5</v>
      </c>
      <c r="F22" s="105">
        <v>3.9</v>
      </c>
      <c r="G22" s="105">
        <v>3.4</v>
      </c>
      <c r="H22" s="57">
        <v>2.83</v>
      </c>
      <c r="I22" s="57">
        <v>2.83</v>
      </c>
      <c r="J22" s="57">
        <v>0.0</v>
      </c>
      <c r="K22" s="57">
        <v>0.0</v>
      </c>
      <c r="L22" s="57">
        <v>0.0</v>
      </c>
      <c r="M22" s="57">
        <v>0.0</v>
      </c>
      <c r="N22" s="57">
        <v>0.0</v>
      </c>
      <c r="O22" s="57">
        <v>0.0</v>
      </c>
      <c r="P22" s="57">
        <v>0.0</v>
      </c>
      <c r="Q22" s="57">
        <v>0.0</v>
      </c>
      <c r="R22" s="57">
        <v>0.0</v>
      </c>
      <c r="S22" s="25"/>
      <c r="T22" s="25"/>
      <c r="U22" s="25"/>
      <c r="V22" s="25"/>
      <c r="W22" s="25"/>
      <c r="X22" s="25"/>
      <c r="Y22" s="25"/>
      <c r="Z22" s="25"/>
      <c r="AA22" s="25"/>
      <c r="AB22" s="25"/>
      <c r="AC22" s="25"/>
      <c r="AD22" s="25"/>
      <c r="AE22" s="25"/>
      <c r="AF22" s="25"/>
      <c r="AG22" s="25"/>
      <c r="AH22" s="25"/>
      <c r="AI22" s="25"/>
      <c r="AJ22" s="25"/>
    </row>
    <row r="23" ht="12.75" customHeight="1">
      <c r="A23" s="57" t="s">
        <v>535</v>
      </c>
      <c r="B23" s="105">
        <v>35.94</v>
      </c>
      <c r="C23" s="105">
        <v>37.57</v>
      </c>
      <c r="D23" s="57">
        <v>37.14</v>
      </c>
      <c r="E23" s="57">
        <v>39.7</v>
      </c>
      <c r="F23" s="57">
        <v>40.3</v>
      </c>
      <c r="G23" s="57">
        <v>39.5</v>
      </c>
      <c r="H23" s="57">
        <v>45.33</v>
      </c>
      <c r="I23" s="57">
        <v>45.33</v>
      </c>
      <c r="J23" s="57">
        <v>42.0</v>
      </c>
      <c r="K23" s="57">
        <v>32.0</v>
      </c>
      <c r="L23" s="57">
        <f t="shared" ref="L23:M23" si="6">34.7+5.6</f>
        <v>40.3</v>
      </c>
      <c r="M23" s="57">
        <f t="shared" si="6"/>
        <v>40.3</v>
      </c>
      <c r="N23" s="57">
        <v>61.0</v>
      </c>
      <c r="O23" s="57">
        <v>61.5</v>
      </c>
      <c r="P23" s="57">
        <v>65.3</v>
      </c>
      <c r="Q23" s="57">
        <v>65.3</v>
      </c>
      <c r="R23" s="57">
        <v>65.3</v>
      </c>
      <c r="S23" s="25"/>
      <c r="T23" s="25"/>
      <c r="U23" s="25"/>
      <c r="V23" s="25"/>
      <c r="W23" s="25"/>
      <c r="X23" s="25"/>
      <c r="Y23" s="25"/>
      <c r="Z23" s="25"/>
      <c r="AA23" s="25"/>
      <c r="AB23" s="25"/>
      <c r="AC23" s="25"/>
      <c r="AD23" s="25"/>
      <c r="AE23" s="25"/>
      <c r="AF23" s="25"/>
      <c r="AG23" s="25"/>
      <c r="AH23" s="25"/>
      <c r="AI23" s="25"/>
      <c r="AJ23" s="25"/>
    </row>
    <row r="24" ht="12.75" customHeight="1">
      <c r="A24" s="57" t="s">
        <v>536</v>
      </c>
      <c r="B24" s="105"/>
      <c r="C24" s="105"/>
      <c r="D24" s="57"/>
      <c r="E24" s="105">
        <v>0.3</v>
      </c>
      <c r="F24" s="105">
        <v>0.1</v>
      </c>
      <c r="G24" s="25">
        <v>0.4</v>
      </c>
      <c r="H24" s="57">
        <v>0.38</v>
      </c>
      <c r="I24" s="57">
        <v>0.38</v>
      </c>
      <c r="J24" s="57">
        <v>0.0</v>
      </c>
      <c r="K24" s="57">
        <v>0.0</v>
      </c>
      <c r="L24" s="57">
        <v>0.0</v>
      </c>
      <c r="M24" s="57">
        <v>0.0</v>
      </c>
      <c r="N24" s="57">
        <v>0.0</v>
      </c>
      <c r="O24" s="57">
        <v>0.0</v>
      </c>
      <c r="P24" s="57">
        <v>0.0</v>
      </c>
      <c r="Q24" s="57">
        <v>0.0</v>
      </c>
      <c r="R24" s="57">
        <v>0.0</v>
      </c>
      <c r="S24" s="25"/>
      <c r="T24" s="25"/>
      <c r="U24" s="25"/>
      <c r="V24" s="25"/>
      <c r="W24" s="25"/>
      <c r="X24" s="25"/>
      <c r="Y24" s="25"/>
      <c r="Z24" s="25"/>
      <c r="AA24" s="25"/>
      <c r="AB24" s="25"/>
      <c r="AC24" s="25"/>
      <c r="AD24" s="25"/>
      <c r="AE24" s="25"/>
      <c r="AF24" s="25"/>
      <c r="AG24" s="25"/>
      <c r="AH24" s="25"/>
      <c r="AI24" s="25"/>
      <c r="AJ24" s="25"/>
    </row>
    <row r="25" ht="12.75" customHeight="1">
      <c r="A25" s="57" t="s">
        <v>537</v>
      </c>
      <c r="B25" s="105">
        <v>54.16</v>
      </c>
      <c r="C25" s="105">
        <v>48.01</v>
      </c>
      <c r="D25" s="57">
        <v>49.68</v>
      </c>
      <c r="E25" s="57">
        <v>54.5</v>
      </c>
      <c r="F25" s="57">
        <v>50.1</v>
      </c>
      <c r="G25" s="57">
        <v>51.9</v>
      </c>
      <c r="H25" s="57">
        <v>6.52</v>
      </c>
      <c r="I25" s="57">
        <v>6.52</v>
      </c>
      <c r="J25" s="57">
        <v>13.0</v>
      </c>
      <c r="K25" s="57">
        <v>14.0</v>
      </c>
      <c r="L25" s="57">
        <v>13.8</v>
      </c>
      <c r="M25" s="57">
        <v>13.8</v>
      </c>
      <c r="N25" s="57">
        <v>28.0</v>
      </c>
      <c r="O25" s="57">
        <v>30.4</v>
      </c>
      <c r="P25" s="57">
        <v>31.9</v>
      </c>
      <c r="Q25" s="57">
        <v>31.9</v>
      </c>
      <c r="R25" s="57">
        <v>31.9</v>
      </c>
      <c r="S25" s="25"/>
      <c r="T25" s="25"/>
      <c r="U25" s="25"/>
      <c r="V25" s="25"/>
      <c r="W25" s="25"/>
      <c r="X25" s="25"/>
      <c r="Y25" s="25"/>
      <c r="Z25" s="25"/>
      <c r="AA25" s="25"/>
      <c r="AB25" s="25"/>
      <c r="AC25" s="25"/>
      <c r="AD25" s="25"/>
      <c r="AE25" s="25"/>
      <c r="AF25" s="25"/>
      <c r="AG25" s="25"/>
      <c r="AH25" s="25"/>
      <c r="AI25" s="25"/>
      <c r="AJ25" s="25"/>
    </row>
    <row r="26" ht="12.75" customHeight="1">
      <c r="A26" s="57" t="s">
        <v>538</v>
      </c>
      <c r="B26" s="105">
        <v>0.0</v>
      </c>
      <c r="C26" s="105">
        <v>0.0</v>
      </c>
      <c r="D26" s="105">
        <v>0.0</v>
      </c>
      <c r="E26" s="105">
        <v>0.0</v>
      </c>
      <c r="F26" s="105">
        <v>0.0</v>
      </c>
      <c r="G26" s="105">
        <v>0.0</v>
      </c>
      <c r="H26" s="57">
        <v>0.36</v>
      </c>
      <c r="I26" s="57">
        <v>0.36</v>
      </c>
      <c r="J26" s="57">
        <v>0.0</v>
      </c>
      <c r="K26" s="57">
        <v>0.0</v>
      </c>
      <c r="L26" s="57">
        <v>0.4</v>
      </c>
      <c r="M26" s="57">
        <v>0.4</v>
      </c>
      <c r="N26" s="57">
        <v>6.0</v>
      </c>
      <c r="O26" s="57">
        <v>0.25</v>
      </c>
      <c r="P26" s="57">
        <v>0.0</v>
      </c>
      <c r="Q26" s="57">
        <v>0.0</v>
      </c>
      <c r="R26" s="57">
        <v>0.0</v>
      </c>
      <c r="S26" s="25"/>
      <c r="T26" s="25"/>
      <c r="U26" s="25"/>
      <c r="V26" s="25"/>
      <c r="W26" s="25"/>
      <c r="X26" s="25"/>
      <c r="Y26" s="25"/>
      <c r="Z26" s="25"/>
      <c r="AA26" s="25"/>
      <c r="AB26" s="25"/>
      <c r="AC26" s="25"/>
      <c r="AD26" s="25"/>
      <c r="AE26" s="25"/>
      <c r="AF26" s="25"/>
      <c r="AG26" s="25"/>
      <c r="AH26" s="25"/>
      <c r="AI26" s="25"/>
      <c r="AJ26" s="25"/>
    </row>
    <row r="27" ht="12.75" customHeight="1">
      <c r="A27" s="57" t="s">
        <v>539</v>
      </c>
      <c r="B27" s="105">
        <v>0.0</v>
      </c>
      <c r="C27" s="105">
        <v>0.0</v>
      </c>
      <c r="D27" s="105">
        <v>0.0</v>
      </c>
      <c r="E27" s="105">
        <v>0.0</v>
      </c>
      <c r="F27" s="105">
        <v>0.0</v>
      </c>
      <c r="G27" s="105">
        <v>0.0</v>
      </c>
      <c r="H27" s="57">
        <v>0.0</v>
      </c>
      <c r="I27" s="57">
        <v>0.0</v>
      </c>
      <c r="J27" s="57">
        <v>0.0</v>
      </c>
      <c r="K27" s="57">
        <v>0.0</v>
      </c>
      <c r="L27" s="57">
        <v>0.0</v>
      </c>
      <c r="M27" s="57">
        <v>0.0</v>
      </c>
      <c r="N27" s="57">
        <v>0.0</v>
      </c>
      <c r="O27" s="57">
        <v>0.0</v>
      </c>
      <c r="P27" s="57">
        <v>1.0E-4</v>
      </c>
      <c r="Q27" s="57">
        <v>1.0E-4</v>
      </c>
      <c r="R27" s="57">
        <v>1.0E-4</v>
      </c>
      <c r="S27" s="25"/>
      <c r="T27" s="25"/>
      <c r="U27" s="25"/>
      <c r="V27" s="25"/>
      <c r="W27" s="25"/>
      <c r="X27" s="25"/>
      <c r="Y27" s="25"/>
      <c r="Z27" s="25"/>
      <c r="AA27" s="25"/>
      <c r="AB27" s="25"/>
      <c r="AC27" s="25"/>
      <c r="AD27" s="25"/>
      <c r="AE27" s="25"/>
      <c r="AF27" s="25"/>
      <c r="AG27" s="25"/>
      <c r="AH27" s="25"/>
      <c r="AI27" s="25"/>
      <c r="AJ27" s="25"/>
    </row>
    <row r="28" ht="12.75" customHeight="1">
      <c r="A28" s="57" t="s">
        <v>540</v>
      </c>
      <c r="B28" s="105">
        <v>0.02</v>
      </c>
      <c r="C28" s="105">
        <v>0.02</v>
      </c>
      <c r="D28" s="57">
        <v>0.02</v>
      </c>
      <c r="E28" s="57">
        <v>0.2</v>
      </c>
      <c r="F28" s="57">
        <v>0.0</v>
      </c>
      <c r="G28" s="58">
        <v>0.03</v>
      </c>
      <c r="H28" s="57">
        <v>0.0</v>
      </c>
      <c r="I28" s="57">
        <v>1.0</v>
      </c>
      <c r="J28" s="57">
        <v>1.0</v>
      </c>
      <c r="K28" s="57">
        <v>0.3</v>
      </c>
      <c r="L28" s="57">
        <v>0.0</v>
      </c>
      <c r="M28" s="57">
        <v>0.0</v>
      </c>
      <c r="N28" s="57">
        <v>5.0</v>
      </c>
      <c r="O28" s="57">
        <v>0.25</v>
      </c>
      <c r="P28" s="57">
        <v>0.0</v>
      </c>
      <c r="Q28" s="57">
        <v>0.0</v>
      </c>
      <c r="R28" s="57">
        <v>0.0</v>
      </c>
      <c r="S28" s="25"/>
      <c r="T28" s="25"/>
      <c r="U28" s="25"/>
      <c r="V28" s="25"/>
      <c r="W28" s="25"/>
      <c r="X28" s="25"/>
      <c r="Y28" s="25"/>
      <c r="Z28" s="25"/>
      <c r="AA28" s="25"/>
      <c r="AB28" s="25"/>
      <c r="AC28" s="25"/>
      <c r="AD28" s="25"/>
      <c r="AE28" s="25"/>
      <c r="AF28" s="25"/>
      <c r="AG28" s="25"/>
      <c r="AH28" s="25"/>
      <c r="AI28" s="25"/>
      <c r="AJ28" s="25"/>
    </row>
    <row r="29" ht="12.75" customHeight="1">
      <c r="A29" s="57" t="s">
        <v>541</v>
      </c>
      <c r="B29" s="105">
        <v>0.03</v>
      </c>
      <c r="C29" s="105">
        <v>0.17</v>
      </c>
      <c r="D29" s="242">
        <v>0.07</v>
      </c>
      <c r="E29" s="57">
        <v>0.0</v>
      </c>
      <c r="F29" s="57">
        <v>0.1</v>
      </c>
      <c r="G29" s="25">
        <v>0.07</v>
      </c>
      <c r="H29" s="57">
        <v>0.09</v>
      </c>
      <c r="I29" s="57">
        <v>0.09</v>
      </c>
      <c r="J29" s="57">
        <v>0.0</v>
      </c>
      <c r="K29" s="57">
        <v>0.0</v>
      </c>
      <c r="L29" s="57">
        <v>0.0</v>
      </c>
      <c r="M29" s="57">
        <v>0.0</v>
      </c>
      <c r="N29" s="57">
        <v>0.0</v>
      </c>
      <c r="O29" s="57">
        <v>0.0</v>
      </c>
      <c r="P29" s="57">
        <v>0.0</v>
      </c>
      <c r="Q29" s="57">
        <v>0.0</v>
      </c>
      <c r="R29" s="57">
        <v>0.0</v>
      </c>
      <c r="S29" s="25"/>
      <c r="T29" s="25"/>
      <c r="U29" s="25"/>
      <c r="V29" s="25"/>
      <c r="W29" s="25"/>
      <c r="X29" s="25"/>
      <c r="Y29" s="25"/>
      <c r="Z29" s="25"/>
      <c r="AA29" s="25"/>
      <c r="AB29" s="25"/>
      <c r="AC29" s="25"/>
      <c r="AD29" s="25"/>
      <c r="AE29" s="25"/>
      <c r="AF29" s="25"/>
      <c r="AG29" s="25"/>
      <c r="AH29" s="25"/>
      <c r="AI29" s="25"/>
      <c r="AJ29" s="25"/>
    </row>
    <row r="30" ht="12.75" customHeight="1">
      <c r="A30" s="57" t="s">
        <v>542</v>
      </c>
      <c r="B30" s="105">
        <v>6.35</v>
      </c>
      <c r="C30" s="105">
        <v>9.55</v>
      </c>
      <c r="D30" s="57">
        <v>9.23</v>
      </c>
      <c r="E30" s="57">
        <v>1.8</v>
      </c>
      <c r="F30" s="57">
        <v>5.5</v>
      </c>
      <c r="G30" s="57">
        <v>4.5</v>
      </c>
      <c r="H30" s="57">
        <v>1.0E-4</v>
      </c>
      <c r="I30" s="57">
        <v>1.0E-4</v>
      </c>
      <c r="J30" s="57">
        <v>0.0</v>
      </c>
      <c r="K30" s="57">
        <v>0.0</v>
      </c>
      <c r="L30" s="57">
        <v>0.0</v>
      </c>
      <c r="M30" s="57">
        <v>0.0</v>
      </c>
      <c r="N30" s="57">
        <v>0.0</v>
      </c>
      <c r="O30" s="57">
        <v>0.0</v>
      </c>
      <c r="P30" s="57">
        <v>0.0</v>
      </c>
      <c r="Q30" s="57">
        <v>0.0</v>
      </c>
      <c r="R30" s="57">
        <v>0.0</v>
      </c>
      <c r="S30" s="25"/>
      <c r="T30" s="25"/>
      <c r="U30" s="25"/>
      <c r="V30" s="25"/>
      <c r="W30" s="25"/>
      <c r="X30" s="25"/>
      <c r="Y30" s="25"/>
      <c r="Z30" s="25"/>
      <c r="AA30" s="25"/>
      <c r="AB30" s="25"/>
      <c r="AC30" s="25"/>
      <c r="AD30" s="25"/>
      <c r="AE30" s="25"/>
      <c r="AF30" s="25"/>
      <c r="AG30" s="25"/>
      <c r="AH30" s="25"/>
      <c r="AI30" s="25"/>
      <c r="AJ30" s="25"/>
    </row>
    <row r="31" ht="12.75" customHeight="1">
      <c r="A31" s="57" t="s">
        <v>543</v>
      </c>
      <c r="B31" s="105"/>
      <c r="C31" s="105"/>
      <c r="D31" s="57"/>
      <c r="E31" s="57"/>
      <c r="F31" s="57"/>
      <c r="G31" s="57">
        <v>0.3</v>
      </c>
      <c r="H31" s="57">
        <v>0.29</v>
      </c>
      <c r="I31" s="57">
        <v>0.29</v>
      </c>
      <c r="J31" s="57">
        <v>0.0</v>
      </c>
      <c r="K31" s="57">
        <v>0.0</v>
      </c>
      <c r="L31" s="57">
        <v>0.0</v>
      </c>
      <c r="M31" s="57">
        <v>0.0</v>
      </c>
      <c r="N31" s="57">
        <v>0.0</v>
      </c>
      <c r="O31" s="57">
        <v>2.2</v>
      </c>
      <c r="P31" s="57">
        <v>2.8</v>
      </c>
      <c r="Q31" s="57">
        <v>2.8</v>
      </c>
      <c r="R31" s="57">
        <v>2.8</v>
      </c>
      <c r="S31" s="25"/>
      <c r="T31" s="25"/>
      <c r="U31" s="25"/>
      <c r="V31" s="25"/>
      <c r="W31" s="25"/>
      <c r="X31" s="25"/>
      <c r="Y31" s="25"/>
      <c r="Z31" s="25"/>
      <c r="AA31" s="25"/>
      <c r="AB31" s="25"/>
      <c r="AC31" s="25"/>
      <c r="AD31" s="25"/>
      <c r="AE31" s="25"/>
      <c r="AF31" s="25"/>
      <c r="AG31" s="25"/>
      <c r="AH31" s="25"/>
      <c r="AI31" s="25"/>
      <c r="AJ31" s="25"/>
    </row>
    <row r="32" ht="12.75" customHeight="1">
      <c r="A32" s="57" t="s">
        <v>544</v>
      </c>
      <c r="B32" s="243">
        <v>1.96</v>
      </c>
      <c r="C32" s="243">
        <v>2.89</v>
      </c>
      <c r="D32" s="243">
        <v>2.26</v>
      </c>
      <c r="E32" s="243">
        <v>0.0</v>
      </c>
      <c r="F32" s="243"/>
      <c r="G32" s="243">
        <v>1.71</v>
      </c>
      <c r="H32" s="244">
        <v>44.12</v>
      </c>
      <c r="I32" s="244">
        <v>44.12</v>
      </c>
      <c r="J32" s="244">
        <v>44.0</v>
      </c>
      <c r="K32" s="244">
        <v>53.7</v>
      </c>
      <c r="L32" s="244">
        <v>45.5</v>
      </c>
      <c r="M32" s="244">
        <v>45.5</v>
      </c>
      <c r="N32" s="244">
        <v>0.0</v>
      </c>
      <c r="O32" s="244">
        <v>5.4</v>
      </c>
      <c r="P32" s="244">
        <v>0.0</v>
      </c>
      <c r="Q32" s="244">
        <v>0.0</v>
      </c>
      <c r="R32" s="244">
        <v>0.0</v>
      </c>
    </row>
    <row r="33" ht="12.75" customHeight="1">
      <c r="A33" s="245" t="s">
        <v>545</v>
      </c>
      <c r="B33" s="112">
        <f t="shared" ref="B33:F33" si="7">SUM(B22:B32)</f>
        <v>100</v>
      </c>
      <c r="C33" s="112">
        <f t="shared" si="7"/>
        <v>100.01</v>
      </c>
      <c r="D33" s="112">
        <f t="shared" si="7"/>
        <v>100</v>
      </c>
      <c r="E33" s="112">
        <f t="shared" si="7"/>
        <v>100</v>
      </c>
      <c r="F33" s="112">
        <f t="shared" si="7"/>
        <v>100</v>
      </c>
      <c r="G33" s="58">
        <f>SUM(G22:G31)</f>
        <v>100.1</v>
      </c>
      <c r="H33" s="112">
        <f t="shared" ref="H33:R33" si="8">SUM(H22:H32)</f>
        <v>99.9201</v>
      </c>
      <c r="I33" s="112">
        <f t="shared" si="8"/>
        <v>100.9201</v>
      </c>
      <c r="J33" s="112">
        <f t="shared" si="8"/>
        <v>100</v>
      </c>
      <c r="K33" s="112">
        <f t="shared" si="8"/>
        <v>100</v>
      </c>
      <c r="L33" s="112">
        <f t="shared" si="8"/>
        <v>100</v>
      </c>
      <c r="M33" s="112">
        <f t="shared" si="8"/>
        <v>100</v>
      </c>
      <c r="N33" s="112">
        <f t="shared" si="8"/>
        <v>100</v>
      </c>
      <c r="O33" s="112">
        <f t="shared" si="8"/>
        <v>100</v>
      </c>
      <c r="P33" s="112">
        <f t="shared" si="8"/>
        <v>100.0001</v>
      </c>
      <c r="Q33" s="112">
        <f t="shared" si="8"/>
        <v>100.0001</v>
      </c>
      <c r="R33" s="112">
        <f t="shared" si="8"/>
        <v>100.0001</v>
      </c>
    </row>
    <row r="34" ht="12.75" customHeight="1">
      <c r="A34" s="57" t="s">
        <v>546</v>
      </c>
      <c r="B34" s="112">
        <f t="shared" ref="B34:R34" si="9">B22+B23+B24+B31+(0.5*B32)</f>
        <v>38.46</v>
      </c>
      <c r="C34" s="112">
        <f t="shared" si="9"/>
        <v>40.815</v>
      </c>
      <c r="D34" s="112">
        <f t="shared" si="9"/>
        <v>39.87</v>
      </c>
      <c r="E34" s="112">
        <f t="shared" si="9"/>
        <v>43.5</v>
      </c>
      <c r="F34" s="112">
        <f t="shared" si="9"/>
        <v>44.3</v>
      </c>
      <c r="G34" s="112">
        <f t="shared" si="9"/>
        <v>44.455</v>
      </c>
      <c r="H34" s="112">
        <f t="shared" si="9"/>
        <v>70.89</v>
      </c>
      <c r="I34" s="112">
        <f t="shared" si="9"/>
        <v>70.89</v>
      </c>
      <c r="J34" s="112">
        <f t="shared" si="9"/>
        <v>64</v>
      </c>
      <c r="K34" s="112">
        <f t="shared" si="9"/>
        <v>58.85</v>
      </c>
      <c r="L34" s="112">
        <f t="shared" si="9"/>
        <v>63.05</v>
      </c>
      <c r="M34" s="112">
        <f t="shared" si="9"/>
        <v>63.05</v>
      </c>
      <c r="N34" s="112">
        <f t="shared" si="9"/>
        <v>61</v>
      </c>
      <c r="O34" s="112">
        <f t="shared" si="9"/>
        <v>66.4</v>
      </c>
      <c r="P34" s="112">
        <f t="shared" si="9"/>
        <v>68.1</v>
      </c>
      <c r="Q34" s="112">
        <f t="shared" si="9"/>
        <v>68.1</v>
      </c>
      <c r="R34" s="112">
        <f t="shared" si="9"/>
        <v>68.1</v>
      </c>
    </row>
    <row r="35" ht="12.75" customHeight="1">
      <c r="A35" s="57" t="s">
        <v>547</v>
      </c>
      <c r="B35" s="112">
        <f t="shared" ref="B35:R35" si="10">100-B34</f>
        <v>61.54</v>
      </c>
      <c r="C35" s="112">
        <f t="shared" si="10"/>
        <v>59.185</v>
      </c>
      <c r="D35" s="112">
        <f t="shared" si="10"/>
        <v>60.13</v>
      </c>
      <c r="E35" s="112">
        <f t="shared" si="10"/>
        <v>56.5</v>
      </c>
      <c r="F35" s="112">
        <f t="shared" si="10"/>
        <v>55.7</v>
      </c>
      <c r="G35" s="112">
        <f t="shared" si="10"/>
        <v>55.545</v>
      </c>
      <c r="H35" s="112">
        <f t="shared" si="10"/>
        <v>29.11</v>
      </c>
      <c r="I35" s="112">
        <f t="shared" si="10"/>
        <v>29.11</v>
      </c>
      <c r="J35" s="112">
        <f t="shared" si="10"/>
        <v>36</v>
      </c>
      <c r="K35" s="112">
        <f t="shared" si="10"/>
        <v>41.15</v>
      </c>
      <c r="L35" s="112">
        <f t="shared" si="10"/>
        <v>36.95</v>
      </c>
      <c r="M35" s="112">
        <f t="shared" si="10"/>
        <v>36.95</v>
      </c>
      <c r="N35" s="112">
        <f t="shared" si="10"/>
        <v>39</v>
      </c>
      <c r="O35" s="112">
        <f t="shared" si="10"/>
        <v>33.6</v>
      </c>
      <c r="P35" s="112">
        <f t="shared" si="10"/>
        <v>31.9</v>
      </c>
      <c r="Q35" s="112">
        <f t="shared" si="10"/>
        <v>31.9</v>
      </c>
      <c r="R35" s="112">
        <f t="shared" si="10"/>
        <v>31.9</v>
      </c>
    </row>
    <row r="36" ht="12.75" customHeight="1">
      <c r="B36" s="25"/>
      <c r="E36" s="25"/>
      <c r="F36" s="25"/>
    </row>
    <row r="37" ht="12.75" customHeight="1">
      <c r="A37" s="72" t="s">
        <v>548</v>
      </c>
      <c r="B37" s="25"/>
      <c r="E37" s="25"/>
      <c r="F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ht="12.75" customHeight="1">
      <c r="A38" s="57" t="s">
        <v>534</v>
      </c>
      <c r="B38" s="105">
        <v>3.4</v>
      </c>
      <c r="C38" s="105">
        <v>3.4</v>
      </c>
      <c r="D38" s="105">
        <v>3.3</v>
      </c>
      <c r="E38" s="105">
        <v>3.2</v>
      </c>
      <c r="F38" s="105">
        <v>2.94</v>
      </c>
      <c r="G38" s="105">
        <v>4.9</v>
      </c>
      <c r="H38" s="57">
        <v>5.51</v>
      </c>
      <c r="I38" s="57">
        <v>5.51</v>
      </c>
      <c r="J38" s="57">
        <v>0.0</v>
      </c>
      <c r="K38" s="57">
        <v>0.0</v>
      </c>
      <c r="L38" s="57">
        <f>2.5+0.42</f>
        <v>2.92</v>
      </c>
      <c r="M38" s="57">
        <v>2.9</v>
      </c>
      <c r="N38" s="57">
        <v>0.0</v>
      </c>
      <c r="O38" s="57">
        <v>0.0</v>
      </c>
      <c r="P38" s="57">
        <v>0.0</v>
      </c>
      <c r="Q38" s="57">
        <v>0.0</v>
      </c>
      <c r="R38" s="57">
        <v>0.0</v>
      </c>
      <c r="T38" s="25"/>
      <c r="U38" s="25"/>
      <c r="V38" s="25"/>
      <c r="W38" s="25"/>
      <c r="X38" s="25"/>
      <c r="Y38" s="25"/>
      <c r="Z38" s="25"/>
      <c r="AA38" s="25"/>
      <c r="AB38" s="25"/>
      <c r="AC38" s="25"/>
      <c r="AD38" s="25"/>
      <c r="AE38" s="25"/>
      <c r="AF38" s="25"/>
      <c r="AG38" s="25"/>
      <c r="AH38" s="25"/>
      <c r="AI38" s="25"/>
      <c r="AJ38" s="25"/>
    </row>
    <row r="39" ht="12.75" customHeight="1">
      <c r="A39" s="57" t="s">
        <v>549</v>
      </c>
      <c r="B39" s="105">
        <v>5.6</v>
      </c>
      <c r="C39" s="105">
        <v>4.8</v>
      </c>
      <c r="D39" s="105">
        <f>2.4+4.1</f>
        <v>6.5</v>
      </c>
      <c r="E39" s="105">
        <v>7.6</v>
      </c>
      <c r="F39" s="105">
        <v>6.2</v>
      </c>
      <c r="G39" s="105">
        <v>7.8</v>
      </c>
      <c r="H39" s="57">
        <v>7.12</v>
      </c>
      <c r="I39" s="57">
        <v>7.12</v>
      </c>
      <c r="J39" s="57">
        <v>9.0</v>
      </c>
      <c r="K39" s="57">
        <v>9.0</v>
      </c>
      <c r="L39" s="57">
        <v>8.59</v>
      </c>
      <c r="M39" s="57">
        <v>8.4</v>
      </c>
      <c r="N39" s="57">
        <v>0.0</v>
      </c>
      <c r="O39" s="57">
        <v>6.0</v>
      </c>
      <c r="P39" s="57">
        <v>0.0</v>
      </c>
      <c r="Q39" s="57">
        <v>0.0</v>
      </c>
      <c r="R39" s="57">
        <v>0.0</v>
      </c>
      <c r="S39" s="25"/>
      <c r="T39" s="25"/>
      <c r="U39" s="25"/>
      <c r="V39" s="25"/>
      <c r="W39" s="25"/>
      <c r="X39" s="25"/>
      <c r="Y39" s="25"/>
      <c r="Z39" s="25"/>
      <c r="AA39" s="25"/>
      <c r="AB39" s="25"/>
      <c r="AC39" s="25"/>
      <c r="AD39" s="25"/>
      <c r="AE39" s="25"/>
      <c r="AF39" s="25"/>
      <c r="AG39" s="25"/>
      <c r="AH39" s="25"/>
      <c r="AI39" s="25"/>
      <c r="AJ39" s="25"/>
    </row>
    <row r="40" ht="12.75" customHeight="1">
      <c r="A40" s="57" t="s">
        <v>537</v>
      </c>
      <c r="B40" s="105">
        <v>28.0</v>
      </c>
      <c r="C40" s="105">
        <v>27.5</v>
      </c>
      <c r="D40" s="105">
        <v>27.0</v>
      </c>
      <c r="E40" s="105">
        <v>28.6</v>
      </c>
      <c r="F40" s="105">
        <v>29.0</v>
      </c>
      <c r="G40" s="105">
        <v>28.4</v>
      </c>
      <c r="H40" s="57">
        <v>30.45</v>
      </c>
      <c r="I40" s="57">
        <v>30.45</v>
      </c>
      <c r="J40" s="57">
        <v>30.0</v>
      </c>
      <c r="K40" s="57">
        <v>30.0</v>
      </c>
      <c r="L40" s="57">
        <v>25.02</v>
      </c>
      <c r="M40" s="57">
        <v>30.8</v>
      </c>
      <c r="N40" s="57">
        <v>0.0</v>
      </c>
      <c r="O40" s="57">
        <v>21.0</v>
      </c>
      <c r="P40" s="57">
        <v>0.0</v>
      </c>
      <c r="Q40" s="57">
        <v>0.0</v>
      </c>
      <c r="R40" s="57">
        <v>0.0</v>
      </c>
      <c r="S40" s="25"/>
      <c r="T40" s="25"/>
      <c r="U40" s="25"/>
      <c r="V40" s="25"/>
      <c r="W40" s="25"/>
      <c r="X40" s="25"/>
      <c r="Y40" s="25"/>
      <c r="Z40" s="25"/>
      <c r="AA40" s="25"/>
      <c r="AB40" s="25"/>
      <c r="AC40" s="25"/>
      <c r="AD40" s="25"/>
      <c r="AE40" s="25"/>
      <c r="AF40" s="25"/>
      <c r="AG40" s="25"/>
      <c r="AH40" s="25"/>
      <c r="AI40" s="25"/>
      <c r="AJ40" s="25"/>
    </row>
    <row r="41" ht="12.75" customHeight="1">
      <c r="A41" s="57" t="s">
        <v>538</v>
      </c>
      <c r="B41" s="105">
        <v>29.8</v>
      </c>
      <c r="C41" s="105">
        <v>29.3</v>
      </c>
      <c r="D41" s="105">
        <v>29.1</v>
      </c>
      <c r="E41" s="105">
        <v>30.3</v>
      </c>
      <c r="F41" s="105">
        <v>32.0</v>
      </c>
      <c r="G41" s="105">
        <v>38.5</v>
      </c>
      <c r="H41" s="57">
        <v>39.79</v>
      </c>
      <c r="I41" s="57">
        <v>39.79</v>
      </c>
      <c r="J41" s="57">
        <v>41.0</v>
      </c>
      <c r="K41" s="57">
        <v>41.0</v>
      </c>
      <c r="L41" s="57">
        <v>37.52</v>
      </c>
      <c r="M41" s="57">
        <v>48.0</v>
      </c>
      <c r="N41" s="57">
        <v>0.0</v>
      </c>
      <c r="O41" s="57">
        <v>42.0</v>
      </c>
      <c r="P41" s="57">
        <v>0.0</v>
      </c>
      <c r="Q41" s="57">
        <v>0.0</v>
      </c>
      <c r="R41" s="57">
        <v>0.0</v>
      </c>
      <c r="S41" s="25"/>
      <c r="T41" s="25"/>
      <c r="U41" s="25"/>
      <c r="V41" s="25"/>
      <c r="W41" s="25"/>
      <c r="X41" s="25"/>
      <c r="Y41" s="25"/>
      <c r="Z41" s="25"/>
      <c r="AA41" s="25"/>
      <c r="AB41" s="25"/>
      <c r="AC41" s="25"/>
      <c r="AD41" s="25"/>
      <c r="AE41" s="25"/>
      <c r="AF41" s="25"/>
      <c r="AG41" s="25"/>
      <c r="AH41" s="25"/>
      <c r="AI41" s="25"/>
      <c r="AJ41" s="25"/>
    </row>
    <row r="42" ht="12.75" customHeight="1">
      <c r="A42" s="57" t="s">
        <v>539</v>
      </c>
      <c r="B42" s="105">
        <v>11.5</v>
      </c>
      <c r="C42" s="105">
        <v>11.9</v>
      </c>
      <c r="D42" s="105">
        <v>11.0</v>
      </c>
      <c r="E42" s="105">
        <v>11.5</v>
      </c>
      <c r="F42" s="105">
        <v>11.0</v>
      </c>
      <c r="G42" s="105">
        <v>5.9</v>
      </c>
      <c r="H42" s="105">
        <v>5.0</v>
      </c>
      <c r="I42" s="105">
        <v>5.0</v>
      </c>
      <c r="J42" s="105">
        <v>0.0</v>
      </c>
      <c r="K42" s="105">
        <v>0.0</v>
      </c>
      <c r="L42" s="105">
        <v>2.35</v>
      </c>
      <c r="M42" s="105">
        <v>1.6</v>
      </c>
      <c r="N42" s="105">
        <v>0.0</v>
      </c>
      <c r="O42" s="105">
        <v>0.1</v>
      </c>
      <c r="P42" s="105">
        <v>0.0</v>
      </c>
      <c r="Q42" s="105">
        <v>0.0</v>
      </c>
      <c r="R42" s="105">
        <v>0.0</v>
      </c>
      <c r="S42" s="25"/>
      <c r="T42" s="25"/>
      <c r="U42" s="25"/>
      <c r="V42" s="25"/>
      <c r="W42" s="25"/>
      <c r="X42" s="25"/>
      <c r="Y42" s="25"/>
      <c r="Z42" s="25"/>
      <c r="AA42" s="25"/>
      <c r="AB42" s="25"/>
      <c r="AC42" s="25"/>
      <c r="AD42" s="25"/>
      <c r="AE42" s="25"/>
      <c r="AF42" s="25"/>
      <c r="AG42" s="25"/>
      <c r="AH42" s="25"/>
      <c r="AI42" s="25"/>
      <c r="AJ42" s="25"/>
    </row>
    <row r="43" ht="12.75" customHeight="1">
      <c r="A43" s="57" t="s">
        <v>540</v>
      </c>
      <c r="B43" s="105">
        <v>1.4</v>
      </c>
      <c r="C43" s="105">
        <v>2.0</v>
      </c>
      <c r="D43" s="105">
        <v>1.4</v>
      </c>
      <c r="E43" s="105">
        <v>0.7</v>
      </c>
      <c r="F43" s="105">
        <v>0.4</v>
      </c>
      <c r="G43" s="57"/>
      <c r="H43" s="57">
        <v>0.28</v>
      </c>
      <c r="I43" s="57">
        <v>0.28</v>
      </c>
      <c r="J43" s="57">
        <v>20.0</v>
      </c>
      <c r="K43" s="57">
        <v>20.0</v>
      </c>
      <c r="L43" s="57">
        <v>0.23</v>
      </c>
      <c r="M43" s="57">
        <v>0.7</v>
      </c>
      <c r="N43" s="57">
        <v>0.0</v>
      </c>
      <c r="O43" s="57">
        <v>0.0</v>
      </c>
      <c r="P43" s="57">
        <v>0.0</v>
      </c>
      <c r="Q43" s="57">
        <v>0.0</v>
      </c>
      <c r="R43" s="57">
        <v>0.0</v>
      </c>
      <c r="S43" s="25"/>
      <c r="T43" s="25"/>
      <c r="U43" s="25"/>
      <c r="V43" s="25"/>
      <c r="W43" s="25"/>
      <c r="X43" s="25"/>
      <c r="Y43" s="25"/>
      <c r="Z43" s="25"/>
      <c r="AA43" s="25"/>
      <c r="AB43" s="25"/>
      <c r="AC43" s="25"/>
      <c r="AD43" s="25"/>
      <c r="AE43" s="25"/>
      <c r="AF43" s="25"/>
      <c r="AG43" s="25"/>
      <c r="AH43" s="25"/>
      <c r="AI43" s="25"/>
      <c r="AJ43" s="25"/>
    </row>
    <row r="44" ht="12.75" customHeight="1">
      <c r="A44" s="57" t="s">
        <v>541</v>
      </c>
      <c r="B44" s="105">
        <v>13.5</v>
      </c>
      <c r="C44" s="105">
        <v>14.5</v>
      </c>
      <c r="D44" s="105">
        <f>9.7+3.1</f>
        <v>12.8</v>
      </c>
      <c r="E44" s="105">
        <v>9.8</v>
      </c>
      <c r="F44" s="105">
        <v>12.0</v>
      </c>
      <c r="G44" s="105"/>
      <c r="H44" s="57">
        <v>0.0</v>
      </c>
      <c r="I44" s="57">
        <v>0.0</v>
      </c>
      <c r="J44" s="57">
        <v>0.0</v>
      </c>
      <c r="K44" s="57">
        <v>0.0</v>
      </c>
      <c r="L44" s="57"/>
      <c r="M44" s="57">
        <v>0.0</v>
      </c>
      <c r="N44" s="57">
        <v>0.0</v>
      </c>
      <c r="O44" s="57">
        <v>0.0</v>
      </c>
      <c r="P44" s="57">
        <v>0.0</v>
      </c>
      <c r="Q44" s="57">
        <v>0.0</v>
      </c>
      <c r="R44" s="57">
        <v>0.0</v>
      </c>
      <c r="S44" s="25"/>
      <c r="T44" s="25"/>
      <c r="U44" s="25"/>
      <c r="V44" s="25"/>
      <c r="W44" s="25"/>
      <c r="X44" s="25"/>
      <c r="Y44" s="25"/>
      <c r="Z44" s="25"/>
      <c r="AA44" s="25"/>
      <c r="AB44" s="25"/>
      <c r="AC44" s="25"/>
      <c r="AD44" s="25"/>
      <c r="AE44" s="25"/>
      <c r="AF44" s="25"/>
      <c r="AG44" s="25"/>
      <c r="AH44" s="25"/>
      <c r="AI44" s="25"/>
      <c r="AJ44" s="25"/>
    </row>
    <row r="45" ht="12.75" customHeight="1">
      <c r="A45" s="57" t="s">
        <v>550</v>
      </c>
      <c r="B45" s="105"/>
      <c r="C45" s="105"/>
      <c r="D45" s="105"/>
      <c r="E45" s="105"/>
      <c r="F45" s="105"/>
      <c r="G45" s="105">
        <v>13.2</v>
      </c>
      <c r="H45" s="57">
        <v>10.0</v>
      </c>
      <c r="I45" s="57">
        <v>10.0</v>
      </c>
      <c r="J45" s="57">
        <v>0.0</v>
      </c>
      <c r="K45" s="57">
        <v>0.0</v>
      </c>
      <c r="L45" s="57">
        <v>0.23</v>
      </c>
      <c r="M45" s="57">
        <v>0.0</v>
      </c>
      <c r="N45" s="57">
        <v>0.0</v>
      </c>
      <c r="O45" s="57">
        <v>0.1</v>
      </c>
      <c r="P45" s="57">
        <v>0.0</v>
      </c>
      <c r="Q45" s="57">
        <v>0.0</v>
      </c>
      <c r="R45" s="57">
        <v>0.0</v>
      </c>
    </row>
    <row r="46" ht="12.75" customHeight="1">
      <c r="A46" s="57" t="s">
        <v>551</v>
      </c>
      <c r="B46" s="105"/>
      <c r="C46" s="105"/>
      <c r="D46" s="105"/>
      <c r="E46" s="105"/>
      <c r="F46" s="105"/>
      <c r="G46" s="105">
        <v>0.6</v>
      </c>
      <c r="H46" s="57">
        <v>1.86</v>
      </c>
      <c r="I46" s="57">
        <v>1.86</v>
      </c>
      <c r="J46" s="57">
        <v>0.0</v>
      </c>
      <c r="K46" s="57">
        <v>0.0</v>
      </c>
      <c r="L46" s="57">
        <f>2.9+0.67</f>
        <v>3.57</v>
      </c>
      <c r="M46" s="57">
        <v>4.5</v>
      </c>
      <c r="N46" s="57">
        <v>0.0</v>
      </c>
      <c r="O46" s="57">
        <v>10.0</v>
      </c>
      <c r="P46" s="57">
        <v>0.0</v>
      </c>
      <c r="Q46" s="57">
        <v>0.0</v>
      </c>
      <c r="R46" s="57">
        <v>0.0</v>
      </c>
    </row>
    <row r="47" ht="12.75" customHeight="1">
      <c r="A47" s="57" t="s">
        <v>552</v>
      </c>
      <c r="B47" s="243">
        <v>3.7</v>
      </c>
      <c r="C47" s="243">
        <v>3.8</v>
      </c>
      <c r="D47" s="243">
        <f>3.8+1.2+0+2.1+0+0.3</f>
        <v>7.4</v>
      </c>
      <c r="E47" s="243">
        <v>8.3</v>
      </c>
      <c r="F47" s="243">
        <v>6.46</v>
      </c>
      <c r="G47" s="243"/>
      <c r="H47" s="244">
        <v>0.0</v>
      </c>
      <c r="I47" s="244">
        <v>0.0</v>
      </c>
      <c r="J47" s="244">
        <v>0.0</v>
      </c>
      <c r="K47" s="244">
        <v>0.0</v>
      </c>
      <c r="L47" s="244">
        <f>17.14+0.01+2.64</f>
        <v>19.79</v>
      </c>
      <c r="M47" s="244">
        <v>3.2</v>
      </c>
      <c r="N47" s="244">
        <v>0.0</v>
      </c>
      <c r="O47" s="244">
        <v>21.0</v>
      </c>
      <c r="P47" s="244">
        <v>0.0</v>
      </c>
      <c r="Q47" s="244">
        <v>0.0</v>
      </c>
      <c r="R47" s="244">
        <v>0.0</v>
      </c>
    </row>
    <row r="48" ht="12.75" customHeight="1">
      <c r="A48" s="245" t="s">
        <v>545</v>
      </c>
      <c r="B48" s="112">
        <f t="shared" ref="B48:R48" si="11">SUM(B38:B47)</f>
        <v>96.9</v>
      </c>
      <c r="C48" s="112">
        <f t="shared" si="11"/>
        <v>97.2</v>
      </c>
      <c r="D48" s="112">
        <f t="shared" si="11"/>
        <v>98.5</v>
      </c>
      <c r="E48" s="112">
        <f t="shared" si="11"/>
        <v>100</v>
      </c>
      <c r="F48" s="112">
        <f t="shared" si="11"/>
        <v>100</v>
      </c>
      <c r="G48" s="58">
        <f t="shared" si="11"/>
        <v>99.3</v>
      </c>
      <c r="H48" s="112">
        <f t="shared" si="11"/>
        <v>100.01</v>
      </c>
      <c r="I48" s="112">
        <f t="shared" si="11"/>
        <v>100.01</v>
      </c>
      <c r="J48" s="112">
        <f t="shared" si="11"/>
        <v>100</v>
      </c>
      <c r="K48" s="112">
        <f t="shared" si="11"/>
        <v>100</v>
      </c>
      <c r="L48" s="112">
        <f t="shared" si="11"/>
        <v>100.22</v>
      </c>
      <c r="M48" s="112">
        <f t="shared" si="11"/>
        <v>100.1</v>
      </c>
      <c r="N48" s="112">
        <f t="shared" si="11"/>
        <v>0</v>
      </c>
      <c r="O48" s="112">
        <f t="shared" si="11"/>
        <v>100.2</v>
      </c>
      <c r="P48" s="112">
        <f t="shared" si="11"/>
        <v>0</v>
      </c>
      <c r="Q48" s="112">
        <f t="shared" si="11"/>
        <v>0</v>
      </c>
      <c r="R48" s="112">
        <f t="shared" si="11"/>
        <v>0</v>
      </c>
      <c r="S48" s="25"/>
      <c r="T48" s="25"/>
      <c r="U48" s="25"/>
      <c r="V48" s="25"/>
      <c r="W48" s="25"/>
      <c r="X48" s="25"/>
      <c r="Y48" s="25"/>
      <c r="Z48" s="25"/>
      <c r="AA48" s="25"/>
      <c r="AB48" s="25"/>
      <c r="AC48" s="25"/>
      <c r="AD48" s="25"/>
      <c r="AE48" s="25"/>
      <c r="AF48" s="25"/>
      <c r="AG48" s="25"/>
      <c r="AH48" s="25"/>
      <c r="AI48" s="25"/>
      <c r="AJ48" s="25"/>
    </row>
    <row r="49" ht="12.75" customHeight="1">
      <c r="A49" s="57" t="s">
        <v>553</v>
      </c>
      <c r="B49" s="58">
        <f t="shared" ref="B49:R49" si="12">100-B50</f>
        <v>91</v>
      </c>
      <c r="C49" s="58">
        <f t="shared" si="12"/>
        <v>91.8</v>
      </c>
      <c r="D49" s="58">
        <f t="shared" si="12"/>
        <v>90.2</v>
      </c>
      <c r="E49" s="58">
        <f t="shared" si="12"/>
        <v>89.2</v>
      </c>
      <c r="F49" s="58">
        <f t="shared" si="12"/>
        <v>90.86</v>
      </c>
      <c r="G49" s="58">
        <f t="shared" si="12"/>
        <v>86.7</v>
      </c>
      <c r="H49" s="58">
        <f t="shared" si="12"/>
        <v>85.51</v>
      </c>
      <c r="I49" s="58">
        <f t="shared" si="12"/>
        <v>85.51</v>
      </c>
      <c r="J49" s="58">
        <f t="shared" si="12"/>
        <v>91</v>
      </c>
      <c r="K49" s="58">
        <f t="shared" si="12"/>
        <v>91</v>
      </c>
      <c r="L49" s="58">
        <f t="shared" si="12"/>
        <v>84.92</v>
      </c>
      <c r="M49" s="58">
        <f t="shared" si="12"/>
        <v>84.2</v>
      </c>
      <c r="N49" s="58">
        <f t="shared" si="12"/>
        <v>100</v>
      </c>
      <c r="O49" s="58">
        <f t="shared" si="12"/>
        <v>84</v>
      </c>
      <c r="P49" s="58">
        <f t="shared" si="12"/>
        <v>100</v>
      </c>
      <c r="Q49" s="58">
        <f t="shared" si="12"/>
        <v>100</v>
      </c>
      <c r="R49" s="58">
        <f t="shared" si="12"/>
        <v>100</v>
      </c>
      <c r="S49" s="25"/>
      <c r="T49" s="25"/>
      <c r="U49" s="25"/>
      <c r="V49" s="25"/>
      <c r="W49" s="25"/>
      <c r="X49" s="25"/>
      <c r="Y49" s="25"/>
      <c r="Z49" s="25"/>
      <c r="AA49" s="25"/>
      <c r="AB49" s="25"/>
      <c r="AC49" s="25"/>
      <c r="AD49" s="25"/>
      <c r="AE49" s="25"/>
      <c r="AF49" s="25"/>
      <c r="AG49" s="25"/>
      <c r="AH49" s="25"/>
      <c r="AI49" s="25"/>
      <c r="AJ49" s="25"/>
    </row>
    <row r="50" ht="12.75" customHeight="1">
      <c r="A50" s="57" t="s">
        <v>554</v>
      </c>
      <c r="B50" s="58">
        <f t="shared" ref="B50:R50" si="13">B38+B39+B46</f>
        <v>9</v>
      </c>
      <c r="C50" s="58">
        <f t="shared" si="13"/>
        <v>8.2</v>
      </c>
      <c r="D50" s="58">
        <f t="shared" si="13"/>
        <v>9.8</v>
      </c>
      <c r="E50" s="58">
        <f t="shared" si="13"/>
        <v>10.8</v>
      </c>
      <c r="F50" s="58">
        <f t="shared" si="13"/>
        <v>9.14</v>
      </c>
      <c r="G50" s="58">
        <f t="shared" si="13"/>
        <v>13.3</v>
      </c>
      <c r="H50" s="58">
        <f t="shared" si="13"/>
        <v>14.49</v>
      </c>
      <c r="I50" s="58">
        <f t="shared" si="13"/>
        <v>14.49</v>
      </c>
      <c r="J50" s="58">
        <f t="shared" si="13"/>
        <v>9</v>
      </c>
      <c r="K50" s="58">
        <f t="shared" si="13"/>
        <v>9</v>
      </c>
      <c r="L50" s="58">
        <f t="shared" si="13"/>
        <v>15.08</v>
      </c>
      <c r="M50" s="58">
        <f t="shared" si="13"/>
        <v>15.8</v>
      </c>
      <c r="N50" s="58">
        <f t="shared" si="13"/>
        <v>0</v>
      </c>
      <c r="O50" s="58">
        <f t="shared" si="13"/>
        <v>16</v>
      </c>
      <c r="P50" s="58">
        <f t="shared" si="13"/>
        <v>0</v>
      </c>
      <c r="Q50" s="58">
        <f t="shared" si="13"/>
        <v>0</v>
      </c>
      <c r="R50" s="58">
        <f t="shared" si="13"/>
        <v>0</v>
      </c>
      <c r="S50" s="25"/>
      <c r="T50" s="25"/>
      <c r="U50" s="25"/>
      <c r="V50" s="25"/>
      <c r="W50" s="25"/>
      <c r="X50" s="25"/>
      <c r="Y50" s="25"/>
      <c r="Z50" s="25"/>
      <c r="AA50" s="25"/>
      <c r="AB50" s="25"/>
      <c r="AC50" s="25"/>
      <c r="AD50" s="25"/>
      <c r="AE50" s="25"/>
      <c r="AF50" s="25"/>
      <c r="AG50" s="25"/>
      <c r="AH50" s="25"/>
      <c r="AI50" s="25"/>
      <c r="AJ50" s="25"/>
    </row>
    <row r="51" ht="12.75" customHeight="1">
      <c r="A51" s="57"/>
      <c r="B51" s="58"/>
      <c r="C51" s="58"/>
      <c r="D51" s="58"/>
      <c r="E51" s="58"/>
      <c r="F51" s="58"/>
      <c r="G51" s="58"/>
      <c r="H51" s="58"/>
      <c r="I51" s="58"/>
      <c r="J51" s="58"/>
      <c r="K51" s="58"/>
      <c r="L51" s="58"/>
      <c r="M51" s="58"/>
      <c r="N51" s="58"/>
      <c r="O51" s="58"/>
      <c r="P51" s="58"/>
      <c r="Q51" s="58"/>
      <c r="R51" s="58"/>
      <c r="S51" s="25"/>
      <c r="T51" s="25"/>
      <c r="U51" s="25"/>
      <c r="V51" s="25"/>
      <c r="W51" s="25"/>
      <c r="X51" s="25"/>
      <c r="Y51" s="25"/>
      <c r="Z51" s="25"/>
      <c r="AA51" s="25"/>
      <c r="AB51" s="25"/>
      <c r="AC51" s="25"/>
      <c r="AD51" s="25"/>
      <c r="AE51" s="25"/>
      <c r="AF51" s="25"/>
      <c r="AG51" s="25"/>
      <c r="AH51" s="25"/>
      <c r="AI51" s="25"/>
      <c r="AJ51" s="25"/>
    </row>
    <row r="52" ht="12.75" customHeight="1">
      <c r="A52" s="72" t="s">
        <v>555</v>
      </c>
      <c r="E52" s="25"/>
      <c r="F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ht="12.75" customHeight="1">
      <c r="A53" s="25" t="s">
        <v>534</v>
      </c>
      <c r="B53" s="112">
        <f t="shared" ref="B53:C53" si="14">B22+(B32*B38/100)</f>
        <v>1.60664</v>
      </c>
      <c r="C53" s="112">
        <f t="shared" si="14"/>
        <v>1.89826</v>
      </c>
      <c r="D53" s="112">
        <f>D22+(D32*'Scope2 Electricity'!D38/100)</f>
        <v>1.67458</v>
      </c>
      <c r="E53" s="112">
        <f>E22+(E32*'Scope2 Electricity'!E38/100)</f>
        <v>3.5</v>
      </c>
      <c r="F53" s="112">
        <f>F22+(F32*'Scope2 Electricity'!F38/100)</f>
        <v>3.9</v>
      </c>
      <c r="G53" s="112">
        <f>G22+(G32*'Scope2 Electricity'!G38/100)</f>
        <v>3.48379</v>
      </c>
      <c r="H53" s="112">
        <f>H22+(H32*'Scope2 Electricity'!H38/100)</f>
        <v>5.261012</v>
      </c>
      <c r="I53" s="112">
        <f>I22+(I32*'Scope2 Electricity'!I38/100)</f>
        <v>5.261012</v>
      </c>
      <c r="J53" s="112">
        <f>J22+(J32*'Scope2 Electricity'!J38/100)</f>
        <v>0</v>
      </c>
      <c r="K53" s="112">
        <f>K22+(K32*'Scope2 Electricity'!K38/100)</f>
        <v>0</v>
      </c>
      <c r="L53" s="112">
        <f>L22+(L32*'Scope2 Electricity'!L38/100)</f>
        <v>1.3286</v>
      </c>
      <c r="M53" s="112">
        <f>M22+(M32*'Scope2 Electricity'!M38/100)</f>
        <v>1.3195</v>
      </c>
      <c r="N53" s="112">
        <f>N22+(N32*'Scope2 Electricity'!N38/100)</f>
        <v>0</v>
      </c>
      <c r="O53" s="112">
        <f>O22+(O32*'Scope2 Electricity'!O38/100)</f>
        <v>0</v>
      </c>
      <c r="P53" s="112">
        <f>P22+(P32*'Scope2 Electricity'!P38/100)</f>
        <v>0</v>
      </c>
      <c r="Q53" s="112">
        <f>Q22+(Q32*'Scope2 Electricity'!Q38/100)</f>
        <v>0</v>
      </c>
      <c r="R53" s="112">
        <f>R22+(R32*'Scope2 Electricity'!R38/100)</f>
        <v>0</v>
      </c>
      <c r="S53" s="25"/>
      <c r="T53" s="25"/>
      <c r="U53" s="25"/>
      <c r="V53" s="25"/>
      <c r="W53" s="25"/>
      <c r="X53" s="25"/>
      <c r="Y53" s="25"/>
      <c r="Z53" s="25"/>
      <c r="AA53" s="25"/>
      <c r="AB53" s="25"/>
      <c r="AC53" s="25"/>
      <c r="AD53" s="25"/>
      <c r="AE53" s="25"/>
      <c r="AF53" s="25"/>
      <c r="AG53" s="25"/>
      <c r="AH53" s="25"/>
      <c r="AI53" s="25"/>
      <c r="AJ53" s="25"/>
    </row>
    <row r="54" ht="12.75" customHeight="1">
      <c r="A54" s="25" t="s">
        <v>535</v>
      </c>
      <c r="B54" s="112">
        <f t="shared" ref="B54:R54" si="15">B23+(B32*B39/100)</f>
        <v>36.04976</v>
      </c>
      <c r="C54" s="112">
        <f t="shared" si="15"/>
        <v>37.70872</v>
      </c>
      <c r="D54" s="112">
        <f t="shared" si="15"/>
        <v>37.2869</v>
      </c>
      <c r="E54" s="112">
        <f t="shared" si="15"/>
        <v>39.7</v>
      </c>
      <c r="F54" s="112">
        <f t="shared" si="15"/>
        <v>40.3</v>
      </c>
      <c r="G54" s="112">
        <f t="shared" si="15"/>
        <v>39.63338</v>
      </c>
      <c r="H54" s="112">
        <f t="shared" si="15"/>
        <v>48.471344</v>
      </c>
      <c r="I54" s="112">
        <f t="shared" si="15"/>
        <v>48.471344</v>
      </c>
      <c r="J54" s="112">
        <f t="shared" si="15"/>
        <v>45.96</v>
      </c>
      <c r="K54" s="112">
        <f t="shared" si="15"/>
        <v>36.833</v>
      </c>
      <c r="L54" s="112">
        <f t="shared" si="15"/>
        <v>44.20845</v>
      </c>
      <c r="M54" s="112">
        <f t="shared" si="15"/>
        <v>44.122</v>
      </c>
      <c r="N54" s="112">
        <f t="shared" si="15"/>
        <v>61</v>
      </c>
      <c r="O54" s="112">
        <f t="shared" si="15"/>
        <v>61.824</v>
      </c>
      <c r="P54" s="112">
        <f t="shared" si="15"/>
        <v>65.3</v>
      </c>
      <c r="Q54" s="112">
        <f t="shared" si="15"/>
        <v>65.3</v>
      </c>
      <c r="R54" s="112">
        <f t="shared" si="15"/>
        <v>65.3</v>
      </c>
      <c r="S54" s="25"/>
      <c r="T54" s="25"/>
      <c r="U54" s="25"/>
      <c r="V54" s="25"/>
      <c r="W54" s="25"/>
      <c r="X54" s="25"/>
      <c r="Y54" s="25"/>
      <c r="Z54" s="25"/>
      <c r="AA54" s="25"/>
      <c r="AB54" s="25"/>
      <c r="AC54" s="25"/>
      <c r="AD54" s="25"/>
      <c r="AE54" s="25"/>
      <c r="AF54" s="25"/>
      <c r="AG54" s="25"/>
      <c r="AH54" s="25"/>
      <c r="AI54" s="25"/>
      <c r="AJ54" s="25"/>
    </row>
    <row r="55" ht="12.75" customHeight="1">
      <c r="A55" s="25" t="s">
        <v>537</v>
      </c>
      <c r="B55" s="112">
        <f t="shared" ref="B55:R55" si="16">B25+(B32*B40/100)</f>
        <v>54.7088</v>
      </c>
      <c r="C55" s="112">
        <f t="shared" si="16"/>
        <v>48.80475</v>
      </c>
      <c r="D55" s="112">
        <f t="shared" si="16"/>
        <v>50.2902</v>
      </c>
      <c r="E55" s="112">
        <f t="shared" si="16"/>
        <v>54.5</v>
      </c>
      <c r="F55" s="112">
        <f t="shared" si="16"/>
        <v>50.1</v>
      </c>
      <c r="G55" s="112">
        <f t="shared" si="16"/>
        <v>52.38564</v>
      </c>
      <c r="H55" s="112">
        <f t="shared" si="16"/>
        <v>19.95454</v>
      </c>
      <c r="I55" s="112">
        <f t="shared" si="16"/>
        <v>19.95454</v>
      </c>
      <c r="J55" s="112">
        <f t="shared" si="16"/>
        <v>26.2</v>
      </c>
      <c r="K55" s="112">
        <f t="shared" si="16"/>
        <v>30.11</v>
      </c>
      <c r="L55" s="112">
        <f t="shared" si="16"/>
        <v>25.1841</v>
      </c>
      <c r="M55" s="112">
        <f t="shared" si="16"/>
        <v>27.814</v>
      </c>
      <c r="N55" s="112">
        <f t="shared" si="16"/>
        <v>28</v>
      </c>
      <c r="O55" s="112">
        <f t="shared" si="16"/>
        <v>31.534</v>
      </c>
      <c r="P55" s="112">
        <f t="shared" si="16"/>
        <v>31.9</v>
      </c>
      <c r="Q55" s="112">
        <f t="shared" si="16"/>
        <v>31.9</v>
      </c>
      <c r="R55" s="112">
        <f t="shared" si="16"/>
        <v>31.9</v>
      </c>
      <c r="S55" s="25"/>
      <c r="T55" s="25"/>
      <c r="U55" s="25"/>
      <c r="V55" s="25"/>
      <c r="W55" s="25"/>
      <c r="X55" s="25"/>
      <c r="Y55" s="25"/>
      <c r="Z55" s="25"/>
      <c r="AA55" s="25"/>
      <c r="AB55" s="25"/>
      <c r="AC55" s="25"/>
      <c r="AD55" s="25"/>
      <c r="AE55" s="25"/>
      <c r="AF55" s="25"/>
      <c r="AG55" s="25"/>
      <c r="AH55" s="25"/>
      <c r="AI55" s="25"/>
      <c r="AJ55" s="25"/>
    </row>
    <row r="56" ht="12.75" customHeight="1">
      <c r="A56" s="25" t="s">
        <v>538</v>
      </c>
      <c r="B56" s="112">
        <f t="shared" ref="B56:R56" si="17">B26+(B32*B41/100)</f>
        <v>0.58408</v>
      </c>
      <c r="C56" s="112">
        <f t="shared" si="17"/>
        <v>0.84677</v>
      </c>
      <c r="D56" s="112">
        <f t="shared" si="17"/>
        <v>0.65766</v>
      </c>
      <c r="E56" s="112">
        <f t="shared" si="17"/>
        <v>0</v>
      </c>
      <c r="F56" s="112">
        <f t="shared" si="17"/>
        <v>0</v>
      </c>
      <c r="G56" s="112">
        <f t="shared" si="17"/>
        <v>0.65835</v>
      </c>
      <c r="H56" s="112">
        <f t="shared" si="17"/>
        <v>17.915348</v>
      </c>
      <c r="I56" s="112">
        <f t="shared" si="17"/>
        <v>17.915348</v>
      </c>
      <c r="J56" s="112">
        <f t="shared" si="17"/>
        <v>18.04</v>
      </c>
      <c r="K56" s="112">
        <f t="shared" si="17"/>
        <v>22.017</v>
      </c>
      <c r="L56" s="112">
        <f t="shared" si="17"/>
        <v>17.4716</v>
      </c>
      <c r="M56" s="112">
        <f t="shared" si="17"/>
        <v>22.24</v>
      </c>
      <c r="N56" s="112">
        <f t="shared" si="17"/>
        <v>6</v>
      </c>
      <c r="O56" s="112">
        <f t="shared" si="17"/>
        <v>2.518</v>
      </c>
      <c r="P56" s="112">
        <f t="shared" si="17"/>
        <v>0</v>
      </c>
      <c r="Q56" s="112">
        <f t="shared" si="17"/>
        <v>0</v>
      </c>
      <c r="R56" s="112">
        <f t="shared" si="17"/>
        <v>0</v>
      </c>
      <c r="S56" s="25"/>
      <c r="T56" s="25"/>
      <c r="U56" s="25"/>
      <c r="V56" s="25"/>
      <c r="W56" s="25"/>
      <c r="X56" s="25"/>
      <c r="Y56" s="25"/>
      <c r="Z56" s="25"/>
      <c r="AA56" s="25"/>
      <c r="AB56" s="25"/>
      <c r="AC56" s="25"/>
      <c r="AD56" s="25"/>
      <c r="AE56" s="25"/>
      <c r="AF56" s="25"/>
      <c r="AG56" s="25"/>
      <c r="AH56" s="25"/>
      <c r="AI56" s="25"/>
      <c r="AJ56" s="25"/>
    </row>
    <row r="57" ht="12.75" customHeight="1">
      <c r="A57" s="25" t="s">
        <v>539</v>
      </c>
      <c r="B57" s="112">
        <f t="shared" ref="B57:R57" si="18">B27+(B32*B42/100)</f>
        <v>0.2254</v>
      </c>
      <c r="C57" s="112">
        <f t="shared" si="18"/>
        <v>0.34391</v>
      </c>
      <c r="D57" s="112">
        <f t="shared" si="18"/>
        <v>0.2486</v>
      </c>
      <c r="E57" s="112">
        <f t="shared" si="18"/>
        <v>0</v>
      </c>
      <c r="F57" s="112">
        <f t="shared" si="18"/>
        <v>0</v>
      </c>
      <c r="G57" s="112">
        <f t="shared" si="18"/>
        <v>0.10089</v>
      </c>
      <c r="H57" s="112">
        <f t="shared" si="18"/>
        <v>2.206</v>
      </c>
      <c r="I57" s="112">
        <f t="shared" si="18"/>
        <v>2.206</v>
      </c>
      <c r="J57" s="112">
        <f t="shared" si="18"/>
        <v>0</v>
      </c>
      <c r="K57" s="112">
        <f t="shared" si="18"/>
        <v>0</v>
      </c>
      <c r="L57" s="112">
        <f t="shared" si="18"/>
        <v>1.06925</v>
      </c>
      <c r="M57" s="112">
        <f t="shared" si="18"/>
        <v>0.728</v>
      </c>
      <c r="N57" s="112">
        <f t="shared" si="18"/>
        <v>0</v>
      </c>
      <c r="O57" s="112">
        <f t="shared" si="18"/>
        <v>0.0054</v>
      </c>
      <c r="P57" s="112">
        <f t="shared" si="18"/>
        <v>0.0001</v>
      </c>
      <c r="Q57" s="112">
        <f t="shared" si="18"/>
        <v>0.0001</v>
      </c>
      <c r="R57" s="112">
        <f t="shared" si="18"/>
        <v>0.0001</v>
      </c>
      <c r="S57" s="25"/>
      <c r="T57" s="25"/>
      <c r="U57" s="25"/>
      <c r="V57" s="25"/>
      <c r="W57" s="25"/>
      <c r="X57" s="25"/>
      <c r="Y57" s="25"/>
      <c r="Z57" s="25"/>
      <c r="AA57" s="25"/>
      <c r="AB57" s="25"/>
      <c r="AC57" s="25"/>
      <c r="AD57" s="25"/>
      <c r="AE57" s="25"/>
      <c r="AF57" s="25"/>
      <c r="AG57" s="25"/>
      <c r="AH57" s="25"/>
      <c r="AI57" s="25"/>
      <c r="AJ57" s="25"/>
    </row>
    <row r="58" ht="12.75" customHeight="1">
      <c r="A58" s="25" t="s">
        <v>540</v>
      </c>
      <c r="B58" s="112">
        <f t="shared" ref="B58:R58" si="19">B28+(B32*B43/100)</f>
        <v>0.04744</v>
      </c>
      <c r="C58" s="112">
        <f t="shared" si="19"/>
        <v>0.0778</v>
      </c>
      <c r="D58" s="112">
        <f t="shared" si="19"/>
        <v>0.05164</v>
      </c>
      <c r="E58" s="112">
        <f t="shared" si="19"/>
        <v>0.2</v>
      </c>
      <c r="F58" s="112">
        <f t="shared" si="19"/>
        <v>0</v>
      </c>
      <c r="G58" s="112">
        <f t="shared" si="19"/>
        <v>0.03</v>
      </c>
      <c r="H58" s="112">
        <f t="shared" si="19"/>
        <v>0.123536</v>
      </c>
      <c r="I58" s="112">
        <f t="shared" si="19"/>
        <v>1.123536</v>
      </c>
      <c r="J58" s="112">
        <f t="shared" si="19"/>
        <v>9.8</v>
      </c>
      <c r="K58" s="112">
        <f t="shared" si="19"/>
        <v>11.04</v>
      </c>
      <c r="L58" s="112">
        <f t="shared" si="19"/>
        <v>0.10465</v>
      </c>
      <c r="M58" s="112">
        <f t="shared" si="19"/>
        <v>0.3185</v>
      </c>
      <c r="N58" s="112">
        <f t="shared" si="19"/>
        <v>5</v>
      </c>
      <c r="O58" s="112">
        <f t="shared" si="19"/>
        <v>0.25</v>
      </c>
      <c r="P58" s="112">
        <f t="shared" si="19"/>
        <v>0</v>
      </c>
      <c r="Q58" s="112">
        <f t="shared" si="19"/>
        <v>0</v>
      </c>
      <c r="R58" s="112">
        <f t="shared" si="19"/>
        <v>0</v>
      </c>
    </row>
    <row r="59" ht="12.75" customHeight="1">
      <c r="A59" s="25" t="s">
        <v>541</v>
      </c>
      <c r="B59" s="112">
        <f t="shared" ref="B59:R59" si="20">B29+(B32*B44/100)</f>
        <v>0.2946</v>
      </c>
      <c r="C59" s="112">
        <f t="shared" si="20"/>
        <v>0.58905</v>
      </c>
      <c r="D59" s="112">
        <f t="shared" si="20"/>
        <v>0.35928</v>
      </c>
      <c r="E59" s="112">
        <f t="shared" si="20"/>
        <v>0</v>
      </c>
      <c r="F59" s="112">
        <f t="shared" si="20"/>
        <v>0.1</v>
      </c>
      <c r="G59" s="112">
        <f t="shared" si="20"/>
        <v>0.07</v>
      </c>
      <c r="H59" s="112">
        <f t="shared" si="20"/>
        <v>0.09</v>
      </c>
      <c r="I59" s="112">
        <f t="shared" si="20"/>
        <v>0.09</v>
      </c>
      <c r="J59" s="112">
        <f t="shared" si="20"/>
        <v>0</v>
      </c>
      <c r="K59" s="112">
        <f t="shared" si="20"/>
        <v>0</v>
      </c>
      <c r="L59" s="112">
        <f t="shared" si="20"/>
        <v>0</v>
      </c>
      <c r="M59" s="112">
        <f t="shared" si="20"/>
        <v>0</v>
      </c>
      <c r="N59" s="112">
        <f t="shared" si="20"/>
        <v>0</v>
      </c>
      <c r="O59" s="112">
        <f t="shared" si="20"/>
        <v>0</v>
      </c>
      <c r="P59" s="112">
        <f t="shared" si="20"/>
        <v>0</v>
      </c>
      <c r="Q59" s="112">
        <f t="shared" si="20"/>
        <v>0</v>
      </c>
      <c r="R59" s="112">
        <f t="shared" si="20"/>
        <v>0</v>
      </c>
    </row>
    <row r="60" ht="12.75" customHeight="1">
      <c r="A60" s="25" t="s">
        <v>552</v>
      </c>
      <c r="B60" s="112">
        <f t="shared" ref="B60:R60" si="21">B30+(B32*B47/100)</f>
        <v>6.42252</v>
      </c>
      <c r="C60" s="112">
        <f t="shared" si="21"/>
        <v>9.65982</v>
      </c>
      <c r="D60" s="112">
        <f t="shared" si="21"/>
        <v>9.39724</v>
      </c>
      <c r="E60" s="112">
        <f t="shared" si="21"/>
        <v>1.8</v>
      </c>
      <c r="F60" s="112">
        <f t="shared" si="21"/>
        <v>5.5</v>
      </c>
      <c r="G60" s="112">
        <f t="shared" si="21"/>
        <v>4.5</v>
      </c>
      <c r="H60" s="112">
        <f t="shared" si="21"/>
        <v>0.0001</v>
      </c>
      <c r="I60" s="112">
        <f t="shared" si="21"/>
        <v>0.0001</v>
      </c>
      <c r="J60" s="112">
        <f t="shared" si="21"/>
        <v>0</v>
      </c>
      <c r="K60" s="112">
        <f t="shared" si="21"/>
        <v>0</v>
      </c>
      <c r="L60" s="112">
        <f t="shared" si="21"/>
        <v>9.00445</v>
      </c>
      <c r="M60" s="112">
        <f t="shared" si="21"/>
        <v>1.456</v>
      </c>
      <c r="N60" s="112">
        <f t="shared" si="21"/>
        <v>0</v>
      </c>
      <c r="O60" s="112">
        <f t="shared" si="21"/>
        <v>1.134</v>
      </c>
      <c r="P60" s="112">
        <f t="shared" si="21"/>
        <v>0</v>
      </c>
      <c r="Q60" s="112">
        <f t="shared" si="21"/>
        <v>0</v>
      </c>
      <c r="R60" s="112">
        <f t="shared" si="21"/>
        <v>0</v>
      </c>
    </row>
    <row r="61" ht="12.75" customHeight="1">
      <c r="A61" s="245" t="s">
        <v>545</v>
      </c>
      <c r="B61" s="246">
        <f t="shared" ref="B61:R61" si="22">SUM(B53:B60)</f>
        <v>99.93924</v>
      </c>
      <c r="C61" s="246">
        <f t="shared" si="22"/>
        <v>99.92908</v>
      </c>
      <c r="D61" s="246">
        <f t="shared" si="22"/>
        <v>99.9661</v>
      </c>
      <c r="E61" s="246">
        <f t="shared" si="22"/>
        <v>99.7</v>
      </c>
      <c r="F61" s="246">
        <f t="shared" si="22"/>
        <v>99.9</v>
      </c>
      <c r="G61" s="246">
        <f t="shared" si="22"/>
        <v>100.86205</v>
      </c>
      <c r="H61" s="246">
        <f t="shared" si="22"/>
        <v>94.02188</v>
      </c>
      <c r="I61" s="246">
        <f t="shared" si="22"/>
        <v>95.02188</v>
      </c>
      <c r="J61" s="246">
        <f t="shared" si="22"/>
        <v>100</v>
      </c>
      <c r="K61" s="246">
        <f t="shared" si="22"/>
        <v>100</v>
      </c>
      <c r="L61" s="246">
        <f t="shared" si="22"/>
        <v>98.3711</v>
      </c>
      <c r="M61" s="246">
        <f t="shared" si="22"/>
        <v>97.998</v>
      </c>
      <c r="N61" s="246">
        <f t="shared" si="22"/>
        <v>100</v>
      </c>
      <c r="O61" s="246">
        <f t="shared" si="22"/>
        <v>97.2654</v>
      </c>
      <c r="P61" s="246">
        <f t="shared" si="22"/>
        <v>97.2001</v>
      </c>
      <c r="Q61" s="246">
        <f t="shared" si="22"/>
        <v>97.2001</v>
      </c>
      <c r="R61" s="246">
        <f t="shared" si="22"/>
        <v>97.2001</v>
      </c>
    </row>
    <row r="62" ht="12.75" customHeight="1">
      <c r="E62" s="25"/>
      <c r="F62" s="25"/>
    </row>
    <row r="63" ht="12.75" customHeight="1">
      <c r="A63" s="72" t="s">
        <v>556</v>
      </c>
      <c r="E63" s="25"/>
      <c r="F63" s="25"/>
    </row>
    <row r="64" ht="12.75" customHeight="1">
      <c r="A64" s="25" t="s">
        <v>148</v>
      </c>
      <c r="B64" s="97">
        <f t="shared" ref="B64:R64" si="23">B13</f>
        <v>4242211</v>
      </c>
      <c r="C64" s="97">
        <f t="shared" si="23"/>
        <v>4450804</v>
      </c>
      <c r="D64" s="97">
        <f t="shared" si="23"/>
        <v>4139840</v>
      </c>
      <c r="E64" s="97">
        <f t="shared" si="23"/>
        <v>3813050</v>
      </c>
      <c r="F64" s="97">
        <f t="shared" si="23"/>
        <v>4115865</v>
      </c>
      <c r="G64" s="97">
        <f t="shared" si="23"/>
        <v>3654240</v>
      </c>
      <c r="H64" s="97">
        <f t="shared" si="23"/>
        <v>3320096</v>
      </c>
      <c r="I64" s="97">
        <f t="shared" si="23"/>
        <v>3756420</v>
      </c>
      <c r="J64" s="97">
        <f t="shared" si="23"/>
        <v>3604293</v>
      </c>
      <c r="K64" s="97">
        <f t="shared" si="23"/>
        <v>3001400</v>
      </c>
      <c r="L64" s="97">
        <f t="shared" si="23"/>
        <v>3578299</v>
      </c>
      <c r="M64" s="97">
        <f t="shared" si="23"/>
        <v>2997780</v>
      </c>
      <c r="N64" s="97">
        <f t="shared" si="23"/>
        <v>3761060</v>
      </c>
      <c r="O64" s="97">
        <f t="shared" si="23"/>
        <v>3041280</v>
      </c>
      <c r="P64" s="97">
        <f t="shared" si="23"/>
        <v>3000444</v>
      </c>
      <c r="Q64" s="97">
        <f t="shared" si="23"/>
        <v>3175960</v>
      </c>
      <c r="R64" s="97">
        <f t="shared" si="23"/>
        <v>2526700</v>
      </c>
    </row>
    <row r="65" ht="12.75" customHeight="1">
      <c r="A65" s="25" t="s">
        <v>149</v>
      </c>
      <c r="B65" s="97">
        <f t="shared" ref="B65:R65" si="24">B14</f>
        <v>4825</v>
      </c>
      <c r="C65" s="97">
        <f t="shared" si="24"/>
        <v>4317</v>
      </c>
      <c r="D65" s="97">
        <f t="shared" si="24"/>
        <v>5168</v>
      </c>
      <c r="E65" s="97">
        <f t="shared" si="24"/>
        <v>3965</v>
      </c>
      <c r="F65" s="97">
        <f t="shared" si="24"/>
        <v>4910</v>
      </c>
      <c r="G65" s="97">
        <f t="shared" si="24"/>
        <v>2768</v>
      </c>
      <c r="H65" s="97">
        <f t="shared" si="24"/>
        <v>2328</v>
      </c>
      <c r="I65" s="97">
        <f t="shared" si="24"/>
        <v>4172</v>
      </c>
      <c r="J65" s="97">
        <f t="shared" si="24"/>
        <v>4902</v>
      </c>
      <c r="K65" s="97">
        <f t="shared" si="24"/>
        <v>4126</v>
      </c>
      <c r="L65" s="97">
        <f t="shared" si="24"/>
        <v>4341</v>
      </c>
      <c r="M65" s="97">
        <f t="shared" si="24"/>
        <v>3863</v>
      </c>
      <c r="N65" s="97">
        <f t="shared" si="24"/>
        <v>4135</v>
      </c>
      <c r="O65" s="97">
        <f t="shared" si="24"/>
        <v>3575</v>
      </c>
      <c r="P65" s="97">
        <f t="shared" si="24"/>
        <v>2072</v>
      </c>
      <c r="Q65" s="97">
        <f t="shared" si="24"/>
        <v>1652</v>
      </c>
      <c r="R65" s="97">
        <f t="shared" si="24"/>
        <v>1652</v>
      </c>
    </row>
    <row r="66" ht="12.75" customHeight="1">
      <c r="A66" s="25" t="s">
        <v>150</v>
      </c>
      <c r="B66" s="97">
        <f t="shared" ref="B66:R66" si="25">B15</f>
        <v>1000.6</v>
      </c>
      <c r="C66" s="97">
        <f t="shared" si="25"/>
        <v>2965.7</v>
      </c>
      <c r="D66" s="97">
        <f t="shared" si="25"/>
        <v>11572.8</v>
      </c>
      <c r="E66" s="97">
        <f t="shared" si="25"/>
        <v>11005.9</v>
      </c>
      <c r="F66" s="97">
        <f t="shared" si="25"/>
        <v>10627.1</v>
      </c>
      <c r="G66" s="97">
        <f t="shared" si="25"/>
        <v>143023.3</v>
      </c>
      <c r="H66" s="97">
        <f t="shared" si="25"/>
        <v>259362</v>
      </c>
      <c r="I66" s="97">
        <f t="shared" si="25"/>
        <v>606777</v>
      </c>
      <c r="J66" s="97">
        <f t="shared" si="25"/>
        <v>1031541.32</v>
      </c>
      <c r="K66" s="97">
        <f t="shared" si="25"/>
        <v>1034979</v>
      </c>
      <c r="L66" s="97">
        <f t="shared" si="25"/>
        <v>1395497</v>
      </c>
      <c r="M66" s="97">
        <f t="shared" si="25"/>
        <v>1786463</v>
      </c>
      <c r="N66" s="97">
        <f t="shared" si="25"/>
        <v>1703031.2</v>
      </c>
      <c r="O66" s="97">
        <f t="shared" si="25"/>
        <v>1812587.83</v>
      </c>
      <c r="P66" s="97">
        <f t="shared" si="25"/>
        <v>1772245</v>
      </c>
      <c r="Q66" s="97">
        <f t="shared" si="25"/>
        <v>1852576</v>
      </c>
      <c r="R66" s="97">
        <f t="shared" si="25"/>
        <v>1852576</v>
      </c>
    </row>
    <row r="67" ht="15.0" customHeight="1">
      <c r="A67" s="25" t="s">
        <v>557</v>
      </c>
      <c r="B67" s="97">
        <f t="shared" ref="B67:K67" si="26">B12</f>
        <v>41680</v>
      </c>
      <c r="C67" s="97">
        <f t="shared" si="26"/>
        <v>50869</v>
      </c>
      <c r="D67" s="97">
        <f t="shared" si="26"/>
        <v>38941</v>
      </c>
      <c r="E67" s="97">
        <f t="shared" si="26"/>
        <v>78354</v>
      </c>
      <c r="F67" s="97">
        <f t="shared" si="26"/>
        <v>66491</v>
      </c>
      <c r="G67" s="97">
        <f t="shared" si="26"/>
        <v>66000</v>
      </c>
      <c r="H67" s="97">
        <f t="shared" si="26"/>
        <v>31835</v>
      </c>
      <c r="I67" s="97">
        <f t="shared" si="26"/>
        <v>31835</v>
      </c>
      <c r="J67" s="97">
        <f t="shared" si="26"/>
        <v>31835</v>
      </c>
      <c r="K67" s="97">
        <f t="shared" si="26"/>
        <v>31800</v>
      </c>
      <c r="L67" s="97" t="str">
        <f t="shared" ref="L67:R67" si="27">L6</f>
        <v/>
      </c>
      <c r="M67" s="97" t="str">
        <f t="shared" si="27"/>
        <v/>
      </c>
      <c r="N67" s="97" t="str">
        <f t="shared" si="27"/>
        <v/>
      </c>
      <c r="O67" s="97" t="str">
        <f t="shared" si="27"/>
        <v/>
      </c>
      <c r="P67" s="97" t="str">
        <f t="shared" si="27"/>
        <v/>
      </c>
      <c r="Q67" s="97" t="str">
        <f t="shared" si="27"/>
        <v/>
      </c>
      <c r="R67" s="97" t="str">
        <f t="shared" si="27"/>
        <v/>
      </c>
    </row>
    <row r="68" ht="12.75" customHeight="1">
      <c r="A68" s="56" t="s">
        <v>152</v>
      </c>
      <c r="B68" s="97">
        <f t="shared" ref="B68:K68" si="28">(B53/100)*B19</f>
        <v>346226.9195</v>
      </c>
      <c r="C68" s="97">
        <f t="shared" si="28"/>
        <v>416638.3053</v>
      </c>
      <c r="D68" s="97">
        <f t="shared" si="28"/>
        <v>358522.9521</v>
      </c>
      <c r="E68" s="97">
        <f t="shared" si="28"/>
        <v>775693.625</v>
      </c>
      <c r="F68" s="97">
        <f t="shared" si="28"/>
        <v>858165.087</v>
      </c>
      <c r="G68" s="97">
        <f t="shared" si="28"/>
        <v>739863.9788</v>
      </c>
      <c r="H68" s="97">
        <f t="shared" si="28"/>
        <v>1134705.485</v>
      </c>
      <c r="I68" s="97">
        <f t="shared" si="28"/>
        <v>1109161.693</v>
      </c>
      <c r="J68" s="97">
        <f t="shared" si="28"/>
        <v>0</v>
      </c>
      <c r="K68" s="97">
        <f t="shared" si="28"/>
        <v>0</v>
      </c>
      <c r="L68" s="97">
        <f t="shared" ref="L68:R68" si="29">(L53/100)*L10</f>
        <v>295963.533</v>
      </c>
      <c r="M68" s="97">
        <f t="shared" si="29"/>
        <v>292173.6258</v>
      </c>
      <c r="N68" s="97">
        <f t="shared" si="29"/>
        <v>0</v>
      </c>
      <c r="O68" s="97">
        <f t="shared" si="29"/>
        <v>0</v>
      </c>
      <c r="P68" s="97">
        <f t="shared" si="29"/>
        <v>0</v>
      </c>
      <c r="Q68" s="97">
        <f t="shared" si="29"/>
        <v>0</v>
      </c>
      <c r="R68" s="97">
        <f t="shared" si="29"/>
        <v>0</v>
      </c>
      <c r="S68" s="25"/>
      <c r="T68" s="25"/>
      <c r="U68" s="25"/>
      <c r="V68" s="25"/>
      <c r="W68" s="25"/>
      <c r="X68" s="25"/>
      <c r="Y68" s="25"/>
      <c r="Z68" s="25"/>
      <c r="AA68" s="25"/>
      <c r="AB68" s="25"/>
      <c r="AC68" s="25"/>
      <c r="AD68" s="25"/>
      <c r="AE68" s="25"/>
      <c r="AF68" s="25"/>
      <c r="AG68" s="25"/>
      <c r="AH68" s="25"/>
      <c r="AI68" s="25"/>
      <c r="AJ68" s="25"/>
    </row>
    <row r="69" ht="12.75" customHeight="1">
      <c r="A69" s="56" t="s">
        <v>153</v>
      </c>
      <c r="B69" s="97">
        <f t="shared" ref="B69:K69" si="30">(B54/100)*B19</f>
        <v>7768633.516</v>
      </c>
      <c r="C69" s="97">
        <f t="shared" si="30"/>
        <v>8276472.767</v>
      </c>
      <c r="D69" s="97">
        <f t="shared" si="30"/>
        <v>7983022.289</v>
      </c>
      <c r="E69" s="97">
        <f t="shared" si="30"/>
        <v>8798581.975</v>
      </c>
      <c r="F69" s="97">
        <f t="shared" si="30"/>
        <v>8867705.899</v>
      </c>
      <c r="G69" s="97">
        <f t="shared" si="30"/>
        <v>8417071.701</v>
      </c>
      <c r="H69" s="97">
        <f t="shared" si="30"/>
        <v>10454395.45</v>
      </c>
      <c r="I69" s="97">
        <f t="shared" si="30"/>
        <v>10219052.53</v>
      </c>
      <c r="J69" s="97">
        <f t="shared" si="30"/>
        <v>10208202.72</v>
      </c>
      <c r="K69" s="97">
        <f t="shared" si="30"/>
        <v>7455278.762</v>
      </c>
      <c r="L69" s="97">
        <f t="shared" ref="L69:R69" si="31">(L54/100)*L10</f>
        <v>9848027.283</v>
      </c>
      <c r="M69" s="97">
        <f t="shared" si="31"/>
        <v>9769825.479</v>
      </c>
      <c r="N69" s="97">
        <f t="shared" si="31"/>
        <v>12338887.85</v>
      </c>
      <c r="O69" s="97">
        <f t="shared" si="31"/>
        <v>10872285.18</v>
      </c>
      <c r="P69" s="97">
        <f t="shared" si="31"/>
        <v>11654607.52</v>
      </c>
      <c r="Q69" s="97">
        <f t="shared" si="31"/>
        <v>11385073.28</v>
      </c>
      <c r="R69" s="97">
        <f t="shared" si="31"/>
        <v>11864130.41</v>
      </c>
      <c r="S69" s="25"/>
      <c r="T69" s="25"/>
      <c r="U69" s="25"/>
      <c r="V69" s="25"/>
      <c r="W69" s="25"/>
      <c r="X69" s="25"/>
      <c r="Y69" s="25"/>
      <c r="Z69" s="25"/>
      <c r="AA69" s="25"/>
      <c r="AB69" s="25"/>
      <c r="AC69" s="25"/>
      <c r="AD69" s="25"/>
      <c r="AE69" s="25"/>
      <c r="AF69" s="25"/>
      <c r="AG69" s="25"/>
      <c r="AH69" s="25"/>
      <c r="AI69" s="25"/>
      <c r="AJ69" s="25"/>
    </row>
    <row r="70" ht="12.75" customHeight="1">
      <c r="A70" s="56" t="s">
        <v>154</v>
      </c>
      <c r="B70" s="97">
        <f t="shared" ref="B70:K70" si="32">(B55/100)*B19</f>
        <v>11789610.18</v>
      </c>
      <c r="C70" s="97">
        <f t="shared" si="32"/>
        <v>10711877.37</v>
      </c>
      <c r="D70" s="97">
        <f t="shared" si="32"/>
        <v>10766992.9</v>
      </c>
      <c r="E70" s="97">
        <f t="shared" si="32"/>
        <v>12078657.88</v>
      </c>
      <c r="F70" s="97">
        <f t="shared" si="32"/>
        <v>11024120.73</v>
      </c>
      <c r="G70" s="97">
        <f t="shared" si="32"/>
        <v>11125311.24</v>
      </c>
      <c r="H70" s="97">
        <f t="shared" si="32"/>
        <v>4303834.697</v>
      </c>
      <c r="I70" s="97">
        <f t="shared" si="32"/>
        <v>4206949.419</v>
      </c>
      <c r="J70" s="97">
        <f t="shared" si="32"/>
        <v>5819297.458</v>
      </c>
      <c r="K70" s="97">
        <f t="shared" si="32"/>
        <v>6094492.535</v>
      </c>
      <c r="L70" s="97">
        <f t="shared" ref="L70:R70" si="33">(L55/100)*L10</f>
        <v>5610097.253</v>
      </c>
      <c r="M70" s="97">
        <f t="shared" si="33"/>
        <v>6158785.319</v>
      </c>
      <c r="N70" s="97">
        <f t="shared" si="33"/>
        <v>5663751.8</v>
      </c>
      <c r="O70" s="97">
        <f t="shared" si="33"/>
        <v>5545526.669</v>
      </c>
      <c r="P70" s="97">
        <f t="shared" si="33"/>
        <v>5693445.329</v>
      </c>
      <c r="Q70" s="97">
        <f t="shared" si="33"/>
        <v>5561773.932</v>
      </c>
      <c r="R70" s="97">
        <f t="shared" si="33"/>
        <v>5795800.307</v>
      </c>
      <c r="S70" s="25"/>
      <c r="T70" s="25"/>
      <c r="U70" s="25"/>
      <c r="V70" s="25"/>
      <c r="W70" s="25"/>
      <c r="X70" s="25"/>
      <c r="Y70" s="25"/>
      <c r="Z70" s="25"/>
      <c r="AA70" s="25"/>
      <c r="AB70" s="25"/>
      <c r="AC70" s="25"/>
      <c r="AD70" s="25"/>
      <c r="AE70" s="25"/>
      <c r="AF70" s="25"/>
      <c r="AG70" s="25"/>
      <c r="AH70" s="25"/>
      <c r="AI70" s="25"/>
      <c r="AJ70" s="25"/>
    </row>
    <row r="71" ht="12.75" customHeight="1">
      <c r="A71" s="25" t="s">
        <v>135</v>
      </c>
      <c r="B71" s="97">
        <f t="shared" ref="B71:K71" si="34">(B56/100)*B19</f>
        <v>125867.7856</v>
      </c>
      <c r="C71" s="97">
        <f t="shared" si="34"/>
        <v>185852.7376</v>
      </c>
      <c r="D71" s="97">
        <f t="shared" si="34"/>
        <v>140803.1893</v>
      </c>
      <c r="E71" s="97">
        <f t="shared" si="34"/>
        <v>0</v>
      </c>
      <c r="F71" s="97">
        <f t="shared" si="34"/>
        <v>0</v>
      </c>
      <c r="G71" s="97">
        <f t="shared" si="34"/>
        <v>139815.9621</v>
      </c>
      <c r="H71" s="97">
        <f t="shared" si="34"/>
        <v>3864017.729</v>
      </c>
      <c r="I71" s="97">
        <f t="shared" si="34"/>
        <v>3777033.34</v>
      </c>
      <c r="J71" s="97">
        <f t="shared" si="34"/>
        <v>4006875.044</v>
      </c>
      <c r="K71" s="97">
        <f t="shared" si="34"/>
        <v>4456407.909</v>
      </c>
      <c r="L71" s="97">
        <f t="shared" ref="L71:R71" si="35">(L56/100)*L10</f>
        <v>3892034.068</v>
      </c>
      <c r="M71" s="97">
        <f t="shared" si="35"/>
        <v>4924548.267</v>
      </c>
      <c r="N71" s="97">
        <f t="shared" si="35"/>
        <v>1213661.1</v>
      </c>
      <c r="O71" s="97">
        <f t="shared" si="35"/>
        <v>442812.0807</v>
      </c>
      <c r="P71" s="97">
        <f t="shared" si="35"/>
        <v>0</v>
      </c>
      <c r="Q71" s="97">
        <f t="shared" si="35"/>
        <v>0</v>
      </c>
      <c r="R71" s="97">
        <f t="shared" si="35"/>
        <v>0</v>
      </c>
      <c r="S71" s="25"/>
      <c r="T71" s="25"/>
      <c r="U71" s="25"/>
      <c r="V71" s="25"/>
      <c r="W71" s="25"/>
      <c r="X71" s="25"/>
      <c r="Y71" s="25"/>
      <c r="Z71" s="25"/>
      <c r="AA71" s="25"/>
      <c r="AB71" s="25"/>
      <c r="AC71" s="25"/>
      <c r="AD71" s="25"/>
      <c r="AE71" s="25"/>
      <c r="AF71" s="25"/>
      <c r="AG71" s="25"/>
      <c r="AH71" s="25"/>
      <c r="AI71" s="25"/>
      <c r="AJ71" s="25"/>
    </row>
    <row r="72" ht="12.75" customHeight="1">
      <c r="A72" s="25" t="s">
        <v>155</v>
      </c>
      <c r="B72" s="97">
        <f t="shared" ref="B72:K72" si="36">(B57/100)*B19</f>
        <v>48573.13875</v>
      </c>
      <c r="C72" s="97">
        <f t="shared" si="36"/>
        <v>75482.85249</v>
      </c>
      <c r="D72" s="97">
        <f t="shared" si="36"/>
        <v>53224.57327</v>
      </c>
      <c r="E72" s="97">
        <f t="shared" si="36"/>
        <v>0</v>
      </c>
      <c r="F72" s="97">
        <f t="shared" si="36"/>
        <v>0</v>
      </c>
      <c r="G72" s="97">
        <f t="shared" si="36"/>
        <v>21426.34224</v>
      </c>
      <c r="H72" s="97">
        <f t="shared" si="36"/>
        <v>475794.4479</v>
      </c>
      <c r="I72" s="97">
        <f t="shared" si="36"/>
        <v>465083.6561</v>
      </c>
      <c r="J72" s="97">
        <f t="shared" si="36"/>
        <v>0</v>
      </c>
      <c r="K72" s="97">
        <f t="shared" si="36"/>
        <v>0</v>
      </c>
      <c r="L72" s="97">
        <f t="shared" ref="L72:R72" si="37">(L57/100)*L10</f>
        <v>238189.8296</v>
      </c>
      <c r="M72" s="97">
        <f t="shared" si="37"/>
        <v>161199.2418</v>
      </c>
      <c r="N72" s="97">
        <f t="shared" si="37"/>
        <v>0</v>
      </c>
      <c r="O72" s="97">
        <f t="shared" si="37"/>
        <v>949.63671</v>
      </c>
      <c r="P72" s="97">
        <f t="shared" si="37"/>
        <v>17.847791</v>
      </c>
      <c r="Q72" s="97">
        <f t="shared" si="37"/>
        <v>17.435028</v>
      </c>
      <c r="R72" s="97">
        <f t="shared" si="37"/>
        <v>18.168653</v>
      </c>
      <c r="S72" s="25"/>
      <c r="T72" s="25"/>
      <c r="U72" s="25"/>
      <c r="V72" s="25"/>
      <c r="W72" s="25"/>
      <c r="X72" s="25"/>
      <c r="Y72" s="25"/>
      <c r="Z72" s="25"/>
      <c r="AA72" s="25"/>
      <c r="AB72" s="25"/>
      <c r="AC72" s="25"/>
      <c r="AD72" s="25"/>
      <c r="AE72" s="25"/>
      <c r="AF72" s="25"/>
      <c r="AG72" s="25"/>
      <c r="AH72" s="25"/>
      <c r="AI72" s="25"/>
      <c r="AJ72" s="25"/>
    </row>
    <row r="73" ht="12.75" customHeight="1">
      <c r="A73" s="25" t="s">
        <v>156</v>
      </c>
      <c r="B73" s="97">
        <f t="shared" ref="B73:K73" si="38">(B58/100)*B19</f>
        <v>10223.20187</v>
      </c>
      <c r="C73" s="97">
        <f t="shared" si="38"/>
        <v>17075.8801</v>
      </c>
      <c r="D73" s="97">
        <f t="shared" si="38"/>
        <v>11055.98135</v>
      </c>
      <c r="E73" s="97">
        <f t="shared" si="38"/>
        <v>44325.35</v>
      </c>
      <c r="F73" s="97">
        <f t="shared" si="38"/>
        <v>0</v>
      </c>
      <c r="G73" s="97">
        <f t="shared" si="38"/>
        <v>6371.199</v>
      </c>
      <c r="H73" s="97">
        <f t="shared" si="38"/>
        <v>26644.48908</v>
      </c>
      <c r="I73" s="97">
        <f t="shared" si="38"/>
        <v>236871.3647</v>
      </c>
      <c r="J73" s="97">
        <f t="shared" si="38"/>
        <v>2176683.782</v>
      </c>
      <c r="K73" s="97">
        <f t="shared" si="38"/>
        <v>2234579.794</v>
      </c>
      <c r="L73" s="97">
        <f t="shared" ref="L73:R73" si="39">(L58/100)*L10</f>
        <v>23312.19609</v>
      </c>
      <c r="M73" s="97">
        <f t="shared" si="39"/>
        <v>70524.66831</v>
      </c>
      <c r="N73" s="97">
        <f t="shared" si="39"/>
        <v>1011384.25</v>
      </c>
      <c r="O73" s="97">
        <f t="shared" si="39"/>
        <v>43964.6625</v>
      </c>
      <c r="P73" s="97">
        <f t="shared" si="39"/>
        <v>0</v>
      </c>
      <c r="Q73" s="97">
        <f t="shared" si="39"/>
        <v>0</v>
      </c>
      <c r="R73" s="97">
        <f t="shared" si="39"/>
        <v>0</v>
      </c>
      <c r="S73" s="25"/>
      <c r="T73" s="25"/>
      <c r="U73" s="25"/>
      <c r="V73" s="25"/>
      <c r="W73" s="25"/>
      <c r="X73" s="25"/>
      <c r="Y73" s="25"/>
      <c r="Z73" s="25"/>
      <c r="AA73" s="25"/>
      <c r="AB73" s="25"/>
      <c r="AC73" s="25"/>
      <c r="AD73" s="25"/>
      <c r="AE73" s="25"/>
      <c r="AF73" s="25"/>
      <c r="AG73" s="25"/>
      <c r="AH73" s="25"/>
      <c r="AI73" s="25"/>
      <c r="AJ73" s="25"/>
    </row>
    <row r="74" ht="12.75" customHeight="1">
      <c r="A74" s="25" t="s">
        <v>157</v>
      </c>
      <c r="B74" s="97">
        <f t="shared" ref="B74:K74" si="40">(B59/100)*B19</f>
        <v>63485.56645</v>
      </c>
      <c r="C74" s="97">
        <f t="shared" si="40"/>
        <v>129287.2387</v>
      </c>
      <c r="D74" s="97">
        <f t="shared" si="40"/>
        <v>76920.85552</v>
      </c>
      <c r="E74" s="97">
        <f t="shared" si="40"/>
        <v>0</v>
      </c>
      <c r="F74" s="97">
        <f t="shared" si="40"/>
        <v>22004.233</v>
      </c>
      <c r="G74" s="97">
        <f t="shared" si="40"/>
        <v>14866.131</v>
      </c>
      <c r="H74" s="97">
        <f t="shared" si="40"/>
        <v>19411.3782</v>
      </c>
      <c r="I74" s="97">
        <f t="shared" si="40"/>
        <v>18974.4012</v>
      </c>
      <c r="J74" s="97">
        <f t="shared" si="40"/>
        <v>0</v>
      </c>
      <c r="K74" s="97">
        <f t="shared" si="40"/>
        <v>0</v>
      </c>
      <c r="L74" s="97">
        <f t="shared" ref="L74:R74" si="41">(L59/100)*L10</f>
        <v>0</v>
      </c>
      <c r="M74" s="97">
        <f t="shared" si="41"/>
        <v>0</v>
      </c>
      <c r="N74" s="97">
        <f t="shared" si="41"/>
        <v>0</v>
      </c>
      <c r="O74" s="97">
        <f t="shared" si="41"/>
        <v>0</v>
      </c>
      <c r="P74" s="97">
        <f t="shared" si="41"/>
        <v>0</v>
      </c>
      <c r="Q74" s="97">
        <f t="shared" si="41"/>
        <v>0</v>
      </c>
      <c r="R74" s="97">
        <f t="shared" si="41"/>
        <v>0</v>
      </c>
      <c r="S74" s="25"/>
      <c r="T74" s="25"/>
      <c r="U74" s="25"/>
      <c r="V74" s="25"/>
      <c r="W74" s="25"/>
      <c r="X74" s="25"/>
      <c r="Y74" s="25"/>
      <c r="Z74" s="25"/>
      <c r="AA74" s="25"/>
      <c r="AB74" s="25"/>
      <c r="AC74" s="25"/>
      <c r="AD74" s="25"/>
      <c r="AE74" s="25"/>
      <c r="AF74" s="25"/>
      <c r="AG74" s="25"/>
      <c r="AH74" s="25"/>
      <c r="AI74" s="25"/>
      <c r="AJ74" s="25"/>
    </row>
    <row r="75" ht="12.75" customHeight="1">
      <c r="A75" s="25" t="s">
        <v>158</v>
      </c>
      <c r="B75" s="97">
        <f t="shared" ref="B75:K75" si="42">(B60/100)*B19</f>
        <v>1384037.068</v>
      </c>
      <c r="C75" s="97">
        <f t="shared" si="42"/>
        <v>2120179.024</v>
      </c>
      <c r="D75" s="97">
        <f t="shared" si="42"/>
        <v>2011923.125</v>
      </c>
      <c r="E75" s="97">
        <f t="shared" si="42"/>
        <v>398928.15</v>
      </c>
      <c r="F75" s="97">
        <f t="shared" si="42"/>
        <v>1210232.815</v>
      </c>
      <c r="G75" s="97">
        <f t="shared" si="42"/>
        <v>955679.85</v>
      </c>
      <c r="H75" s="97">
        <f t="shared" si="42"/>
        <v>21.568198</v>
      </c>
      <c r="I75" s="97">
        <f t="shared" si="42"/>
        <v>21.082668</v>
      </c>
      <c r="J75" s="97">
        <f t="shared" si="42"/>
        <v>0</v>
      </c>
      <c r="K75" s="97">
        <f t="shared" si="42"/>
        <v>0</v>
      </c>
      <c r="L75" s="97">
        <f t="shared" ref="L75:R75" si="43">(L60/100)*L10</f>
        <v>2005862.437</v>
      </c>
      <c r="M75" s="97">
        <f t="shared" si="43"/>
        <v>322398.4837</v>
      </c>
      <c r="N75" s="97">
        <f t="shared" si="43"/>
        <v>0</v>
      </c>
      <c r="O75" s="97">
        <f t="shared" si="43"/>
        <v>199423.7091</v>
      </c>
      <c r="P75" s="97">
        <f t="shared" si="43"/>
        <v>0</v>
      </c>
      <c r="Q75" s="97">
        <f t="shared" si="43"/>
        <v>0</v>
      </c>
      <c r="R75" s="97">
        <f t="shared" si="43"/>
        <v>0</v>
      </c>
      <c r="S75" s="25"/>
      <c r="T75" s="25"/>
      <c r="U75" s="25"/>
      <c r="V75" s="25"/>
      <c r="W75" s="25"/>
      <c r="X75" s="25"/>
      <c r="Y75" s="25"/>
      <c r="Z75" s="25"/>
      <c r="AA75" s="25"/>
      <c r="AB75" s="25"/>
      <c r="AC75" s="25"/>
      <c r="AD75" s="25"/>
      <c r="AE75" s="25"/>
      <c r="AF75" s="25"/>
      <c r="AG75" s="25"/>
      <c r="AH75" s="25"/>
      <c r="AI75" s="25"/>
      <c r="AJ75" s="25"/>
    </row>
    <row r="76" ht="12.75" customHeight="1">
      <c r="A76" s="245" t="s">
        <v>558</v>
      </c>
      <c r="B76" s="247">
        <f t="shared" ref="B76:R76" si="44">SUM(B64:B75)</f>
        <v>25826373.97</v>
      </c>
      <c r="C76" s="247">
        <f t="shared" si="44"/>
        <v>26441821.87</v>
      </c>
      <c r="D76" s="247">
        <f t="shared" si="44"/>
        <v>25597987.66</v>
      </c>
      <c r="E76" s="247">
        <f t="shared" si="44"/>
        <v>26002561.88</v>
      </c>
      <c r="F76" s="247">
        <f t="shared" si="44"/>
        <v>26180121.87</v>
      </c>
      <c r="G76" s="247">
        <f t="shared" si="44"/>
        <v>25286437.7</v>
      </c>
      <c r="H76" s="247">
        <f t="shared" si="44"/>
        <v>23892446.24</v>
      </c>
      <c r="I76" s="247">
        <f t="shared" si="44"/>
        <v>24432351.49</v>
      </c>
      <c r="J76" s="247">
        <f t="shared" si="44"/>
        <v>26883630.32</v>
      </c>
      <c r="K76" s="247">
        <f t="shared" si="44"/>
        <v>24313064</v>
      </c>
      <c r="L76" s="247">
        <f t="shared" si="44"/>
        <v>26891623.6</v>
      </c>
      <c r="M76" s="247">
        <f t="shared" si="44"/>
        <v>26487561.08</v>
      </c>
      <c r="N76" s="247">
        <f t="shared" si="44"/>
        <v>25695911.2</v>
      </c>
      <c r="O76" s="247">
        <f t="shared" si="44"/>
        <v>21962404.77</v>
      </c>
      <c r="P76" s="247">
        <f t="shared" si="44"/>
        <v>22122831.7</v>
      </c>
      <c r="Q76" s="247">
        <f t="shared" si="44"/>
        <v>21977052.65</v>
      </c>
      <c r="R76" s="247">
        <f t="shared" si="44"/>
        <v>22040876.88</v>
      </c>
      <c r="S76" s="25"/>
      <c r="T76" s="25"/>
      <c r="U76" s="25"/>
      <c r="V76" s="25"/>
      <c r="W76" s="25"/>
      <c r="X76" s="25"/>
      <c r="Y76" s="25"/>
      <c r="Z76" s="25"/>
      <c r="AA76" s="25"/>
      <c r="AB76" s="25"/>
      <c r="AC76" s="25"/>
      <c r="AD76" s="25"/>
      <c r="AE76" s="25"/>
      <c r="AF76" s="25"/>
      <c r="AG76" s="25"/>
      <c r="AH76" s="25"/>
      <c r="AI76" s="25"/>
      <c r="AJ76" s="25"/>
    </row>
    <row r="77" ht="12.75" customHeight="1">
      <c r="A77" s="25"/>
      <c r="B77" s="97"/>
      <c r="C77" s="25"/>
      <c r="D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ht="12.75" customHeight="1">
      <c r="A78" s="25"/>
      <c r="B78" s="25"/>
      <c r="C78" s="25"/>
      <c r="D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ht="12.75" customHeight="1">
      <c r="A79" s="65" t="s">
        <v>559</v>
      </c>
      <c r="B79" s="25"/>
      <c r="C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ht="12.75" customHeight="1">
      <c r="A80" s="25" t="s">
        <v>560</v>
      </c>
      <c r="B80" s="87">
        <f t="shared" ref="B80:R80" si="45">(B64/B76)</f>
        <v>0.1642588698</v>
      </c>
      <c r="C80" s="87">
        <f t="shared" si="45"/>
        <v>0.1683244075</v>
      </c>
      <c r="D80" s="87">
        <f t="shared" si="45"/>
        <v>0.1617252127</v>
      </c>
      <c r="E80" s="87">
        <f t="shared" si="45"/>
        <v>0.1466413201</v>
      </c>
      <c r="F80" s="87">
        <f t="shared" si="45"/>
        <v>0.1572133629</v>
      </c>
      <c r="G80" s="87">
        <f t="shared" si="45"/>
        <v>0.1445138316</v>
      </c>
      <c r="H80" s="87">
        <f t="shared" si="45"/>
        <v>0.1389600699</v>
      </c>
      <c r="I80" s="87">
        <f t="shared" si="45"/>
        <v>0.1537477881</v>
      </c>
      <c r="J80" s="87">
        <f t="shared" si="45"/>
        <v>0.1340701742</v>
      </c>
      <c r="K80" s="87">
        <f t="shared" si="45"/>
        <v>0.123448036</v>
      </c>
      <c r="L80" s="87">
        <f t="shared" si="45"/>
        <v>0.1330637024</v>
      </c>
      <c r="M80" s="87">
        <f t="shared" si="45"/>
        <v>0.113176898</v>
      </c>
      <c r="N80" s="87">
        <f t="shared" si="45"/>
        <v>0.1463680338</v>
      </c>
      <c r="O80" s="87">
        <f t="shared" si="45"/>
        <v>0.1384766392</v>
      </c>
      <c r="P80" s="87">
        <f t="shared" si="45"/>
        <v>0.1356265798</v>
      </c>
      <c r="Q80" s="87">
        <f t="shared" si="45"/>
        <v>0.1445125536</v>
      </c>
      <c r="R80" s="87">
        <f t="shared" si="45"/>
        <v>0.1146369998</v>
      </c>
      <c r="S80" s="25"/>
      <c r="T80" s="25"/>
      <c r="U80" s="25"/>
      <c r="V80" s="25"/>
      <c r="W80" s="25"/>
      <c r="X80" s="25"/>
      <c r="Y80" s="25"/>
      <c r="Z80" s="25"/>
      <c r="AA80" s="25"/>
      <c r="AB80" s="25"/>
      <c r="AC80" s="25"/>
      <c r="AD80" s="25"/>
      <c r="AE80" s="25"/>
      <c r="AF80" s="25"/>
      <c r="AG80" s="25"/>
      <c r="AH80" s="25"/>
      <c r="AI80" s="25"/>
      <c r="AJ80" s="25"/>
    </row>
    <row r="81" ht="12.75" customHeight="1">
      <c r="A81" s="25" t="s">
        <v>149</v>
      </c>
      <c r="B81" s="248">
        <f t="shared" ref="B81:R81" si="46">(B65/B76)</f>
        <v>0.0001868245231</v>
      </c>
      <c r="C81" s="248">
        <f t="shared" si="46"/>
        <v>0.0001632640905</v>
      </c>
      <c r="D81" s="248">
        <f t="shared" si="46"/>
        <v>0.00020189087</v>
      </c>
      <c r="E81" s="248">
        <f t="shared" si="46"/>
        <v>0.0001524849751</v>
      </c>
      <c r="F81" s="248">
        <f t="shared" si="46"/>
        <v>0.0001875468733</v>
      </c>
      <c r="G81" s="248">
        <f t="shared" si="46"/>
        <v>0.0001094657948</v>
      </c>
      <c r="H81" s="248">
        <f t="shared" si="46"/>
        <v>0.00009743665326</v>
      </c>
      <c r="I81" s="248">
        <f t="shared" si="46"/>
        <v>0.0001707572029</v>
      </c>
      <c r="J81" s="248">
        <f t="shared" si="46"/>
        <v>0.000182341445</v>
      </c>
      <c r="K81" s="248">
        <f t="shared" si="46"/>
        <v>0.0001697030041</v>
      </c>
      <c r="L81" s="248">
        <f t="shared" si="46"/>
        <v>0.0001614257311</v>
      </c>
      <c r="M81" s="248">
        <f t="shared" si="46"/>
        <v>0.0001458420421</v>
      </c>
      <c r="N81" s="248">
        <f t="shared" si="46"/>
        <v>0.0001609205437</v>
      </c>
      <c r="O81" s="248">
        <f t="shared" si="46"/>
        <v>0.0001627781674</v>
      </c>
      <c r="P81" s="248">
        <f t="shared" si="46"/>
        <v>0.0000936588963</v>
      </c>
      <c r="Q81" s="248">
        <f t="shared" si="46"/>
        <v>0.0000751693153</v>
      </c>
      <c r="R81" s="248">
        <f t="shared" si="46"/>
        <v>0.00007495164592</v>
      </c>
      <c r="S81" s="25"/>
      <c r="T81" s="25"/>
      <c r="U81" s="25"/>
      <c r="V81" s="25"/>
      <c r="W81" s="25"/>
      <c r="X81" s="25"/>
      <c r="Y81" s="25"/>
      <c r="Z81" s="25"/>
      <c r="AA81" s="25"/>
      <c r="AB81" s="25"/>
      <c r="AC81" s="25"/>
      <c r="AD81" s="25"/>
      <c r="AE81" s="25"/>
      <c r="AF81" s="25"/>
      <c r="AG81" s="25"/>
      <c r="AH81" s="25"/>
      <c r="AI81" s="25"/>
      <c r="AJ81" s="25"/>
    </row>
    <row r="82" ht="12.75" customHeight="1">
      <c r="A82" s="25" t="s">
        <v>150</v>
      </c>
      <c r="B82" s="248">
        <f t="shared" ref="B82:R82" si="47">(B66/B76)</f>
        <v>0.00003874334047</v>
      </c>
      <c r="C82" s="248">
        <f t="shared" si="47"/>
        <v>0.0001121594425</v>
      </c>
      <c r="D82" s="248">
        <f t="shared" si="47"/>
        <v>0.000452098038</v>
      </c>
      <c r="E82" s="248">
        <f t="shared" si="47"/>
        <v>0.0004232621406</v>
      </c>
      <c r="F82" s="248">
        <f t="shared" si="47"/>
        <v>0.0004059224802</v>
      </c>
      <c r="G82" s="248">
        <f t="shared" si="47"/>
        <v>0.00565612688</v>
      </c>
      <c r="H82" s="248">
        <f t="shared" si="47"/>
        <v>0.01085539745</v>
      </c>
      <c r="I82" s="248">
        <f t="shared" si="47"/>
        <v>0.02483498161</v>
      </c>
      <c r="J82" s="248">
        <f t="shared" si="47"/>
        <v>0.03837061096</v>
      </c>
      <c r="K82" s="248">
        <f t="shared" si="47"/>
        <v>0.04256884282</v>
      </c>
      <c r="L82" s="248">
        <f t="shared" si="47"/>
        <v>0.05189337099</v>
      </c>
      <c r="M82" s="248">
        <f t="shared" si="47"/>
        <v>0.06744535649</v>
      </c>
      <c r="N82" s="248">
        <f t="shared" si="47"/>
        <v>0.06627634983</v>
      </c>
      <c r="O82" s="248">
        <f t="shared" si="47"/>
        <v>0.08253139168</v>
      </c>
      <c r="P82" s="248">
        <f t="shared" si="47"/>
        <v>0.08010931982</v>
      </c>
      <c r="Q82" s="248">
        <f t="shared" si="47"/>
        <v>0.08429592582</v>
      </c>
      <c r="R82" s="248">
        <f t="shared" si="47"/>
        <v>0.08405182832</v>
      </c>
      <c r="S82" s="25"/>
      <c r="T82" s="25"/>
      <c r="U82" s="25"/>
      <c r="V82" s="25"/>
      <c r="W82" s="25"/>
      <c r="X82" s="25"/>
      <c r="Y82" s="25"/>
      <c r="Z82" s="25"/>
      <c r="AA82" s="25"/>
      <c r="AB82" s="25"/>
      <c r="AC82" s="25"/>
      <c r="AD82" s="25"/>
      <c r="AE82" s="25"/>
      <c r="AF82" s="25"/>
      <c r="AG82" s="25"/>
      <c r="AH82" s="25"/>
      <c r="AI82" s="25"/>
      <c r="AJ82" s="25"/>
    </row>
    <row r="83" ht="15.0" customHeight="1">
      <c r="A83" s="25" t="s">
        <v>561</v>
      </c>
      <c r="B83" s="248">
        <f t="shared" ref="B83:R83" si="48">(B67/B76)</f>
        <v>0.001613854119</v>
      </c>
      <c r="C83" s="248">
        <f t="shared" si="48"/>
        <v>0.001923808437</v>
      </c>
      <c r="D83" s="248">
        <f t="shared" si="48"/>
        <v>0.001521252393</v>
      </c>
      <c r="E83" s="248">
        <f t="shared" si="48"/>
        <v>0.003013318471</v>
      </c>
      <c r="F83" s="248">
        <f t="shared" si="48"/>
        <v>0.002539751356</v>
      </c>
      <c r="G83" s="248">
        <f t="shared" si="48"/>
        <v>0.002610094817</v>
      </c>
      <c r="H83" s="248">
        <f t="shared" si="48"/>
        <v>0.001332429492</v>
      </c>
      <c r="I83" s="248">
        <f t="shared" si="48"/>
        <v>0.001302985511</v>
      </c>
      <c r="J83" s="248">
        <f t="shared" si="48"/>
        <v>0.001184177867</v>
      </c>
      <c r="K83" s="248">
        <f t="shared" si="48"/>
        <v>0.00130793881</v>
      </c>
      <c r="L83" s="248">
        <f t="shared" si="48"/>
        <v>0</v>
      </c>
      <c r="M83" s="248">
        <f t="shared" si="48"/>
        <v>0</v>
      </c>
      <c r="N83" s="248">
        <f t="shared" si="48"/>
        <v>0</v>
      </c>
      <c r="O83" s="248">
        <f t="shared" si="48"/>
        <v>0</v>
      </c>
      <c r="P83" s="248">
        <f t="shared" si="48"/>
        <v>0</v>
      </c>
      <c r="Q83" s="248">
        <f t="shared" si="48"/>
        <v>0</v>
      </c>
      <c r="R83" s="248">
        <f t="shared" si="48"/>
        <v>0</v>
      </c>
      <c r="S83" s="25"/>
      <c r="T83" s="25"/>
      <c r="U83" s="25"/>
      <c r="V83" s="25"/>
      <c r="W83" s="25"/>
      <c r="X83" s="25"/>
      <c r="Y83" s="25"/>
      <c r="Z83" s="25"/>
      <c r="AA83" s="25"/>
      <c r="AB83" s="25"/>
      <c r="AC83" s="25"/>
      <c r="AD83" s="25"/>
      <c r="AE83" s="25"/>
      <c r="AF83" s="25"/>
      <c r="AG83" s="25"/>
      <c r="AH83" s="25"/>
      <c r="AI83" s="25"/>
      <c r="AJ83" s="25"/>
    </row>
    <row r="84" ht="12.75" customHeight="1">
      <c r="A84" s="56" t="s">
        <v>152</v>
      </c>
      <c r="B84" s="248">
        <f t="shared" ref="B84:R84" si="49">(B68/B76)</f>
        <v>0.01340594386</v>
      </c>
      <c r="C84" s="248">
        <f t="shared" si="49"/>
        <v>0.01575679268</v>
      </c>
      <c r="D84" s="248">
        <f t="shared" si="49"/>
        <v>0.01400590378</v>
      </c>
      <c r="E84" s="248">
        <f t="shared" si="49"/>
        <v>0.02983143079</v>
      </c>
      <c r="F84" s="248">
        <f t="shared" si="49"/>
        <v>0.0327792625</v>
      </c>
      <c r="G84" s="248">
        <f t="shared" si="49"/>
        <v>0.02925932025</v>
      </c>
      <c r="H84" s="248">
        <f t="shared" si="49"/>
        <v>0.04749222719</v>
      </c>
      <c r="I84" s="248">
        <f t="shared" si="49"/>
        <v>0.04539725511</v>
      </c>
      <c r="J84" s="248">
        <f t="shared" si="49"/>
        <v>0</v>
      </c>
      <c r="K84" s="248">
        <f t="shared" si="49"/>
        <v>0</v>
      </c>
      <c r="L84" s="248">
        <f t="shared" si="49"/>
        <v>0.01100578892</v>
      </c>
      <c r="M84" s="248">
        <f t="shared" si="49"/>
        <v>0.01103059753</v>
      </c>
      <c r="N84" s="248">
        <f t="shared" si="49"/>
        <v>0</v>
      </c>
      <c r="O84" s="248">
        <f t="shared" si="49"/>
        <v>0</v>
      </c>
      <c r="P84" s="248">
        <f t="shared" si="49"/>
        <v>0</v>
      </c>
      <c r="Q84" s="248">
        <f t="shared" si="49"/>
        <v>0</v>
      </c>
      <c r="R84" s="248">
        <f t="shared" si="49"/>
        <v>0</v>
      </c>
      <c r="S84" s="25"/>
      <c r="T84" s="25"/>
      <c r="U84" s="25"/>
      <c r="V84" s="25"/>
      <c r="W84" s="25"/>
      <c r="X84" s="25"/>
      <c r="Y84" s="25"/>
      <c r="Z84" s="25"/>
      <c r="AA84" s="25"/>
      <c r="AB84" s="25"/>
      <c r="AC84" s="25"/>
      <c r="AD84" s="25"/>
      <c r="AE84" s="25"/>
      <c r="AF84" s="25"/>
      <c r="AG84" s="25"/>
      <c r="AH84" s="25"/>
      <c r="AI84" s="25"/>
      <c r="AJ84" s="25"/>
    </row>
    <row r="85" ht="12.75" customHeight="1">
      <c r="A85" s="56" t="s">
        <v>153</v>
      </c>
      <c r="B85" s="87">
        <f t="shared" ref="B85:R85" si="50">(B69/B76)</f>
        <v>0.3008023319</v>
      </c>
      <c r="C85" s="87">
        <f t="shared" si="50"/>
        <v>0.3130069028</v>
      </c>
      <c r="D85" s="87">
        <f t="shared" si="50"/>
        <v>0.3118613226</v>
      </c>
      <c r="E85" s="87">
        <f t="shared" si="50"/>
        <v>0.3383736578</v>
      </c>
      <c r="F85" s="87">
        <f t="shared" si="50"/>
        <v>0.3387190458</v>
      </c>
      <c r="G85" s="87">
        <f t="shared" si="50"/>
        <v>0.3328690185</v>
      </c>
      <c r="H85" s="87">
        <f t="shared" si="50"/>
        <v>0.4375606977</v>
      </c>
      <c r="I85" s="87">
        <f t="shared" si="50"/>
        <v>0.4182590667</v>
      </c>
      <c r="J85" s="87">
        <f t="shared" si="50"/>
        <v>0.3797181629</v>
      </c>
      <c r="K85" s="87">
        <f t="shared" si="50"/>
        <v>0.3066367432</v>
      </c>
      <c r="L85" s="87">
        <f t="shared" si="50"/>
        <v>0.3662117033</v>
      </c>
      <c r="M85" s="87">
        <f t="shared" si="50"/>
        <v>0.3688457932</v>
      </c>
      <c r="N85" s="87">
        <f t="shared" si="50"/>
        <v>0.4801887644</v>
      </c>
      <c r="O85" s="87">
        <f t="shared" si="50"/>
        <v>0.4950407432</v>
      </c>
      <c r="P85" s="87">
        <f t="shared" si="50"/>
        <v>0.5268135509</v>
      </c>
      <c r="Q85" s="87">
        <f t="shared" si="50"/>
        <v>0.5180436824</v>
      </c>
      <c r="R85" s="87">
        <f t="shared" si="50"/>
        <v>0.5382785118</v>
      </c>
      <c r="S85" s="25"/>
      <c r="T85" s="25"/>
      <c r="U85" s="25"/>
      <c r="V85" s="25"/>
      <c r="W85" s="25"/>
      <c r="X85" s="25"/>
      <c r="Y85" s="25"/>
      <c r="Z85" s="25"/>
      <c r="AA85" s="25"/>
      <c r="AB85" s="25"/>
      <c r="AC85" s="25"/>
      <c r="AD85" s="25"/>
      <c r="AE85" s="25"/>
      <c r="AF85" s="25"/>
      <c r="AG85" s="25"/>
      <c r="AH85" s="25"/>
      <c r="AI85" s="25"/>
      <c r="AJ85" s="25"/>
    </row>
    <row r="86" ht="12.75" customHeight="1">
      <c r="A86" s="56" t="s">
        <v>154</v>
      </c>
      <c r="B86" s="87">
        <f t="shared" ref="B86:R86" si="51">(B70/B76)</f>
        <v>0.4564949841</v>
      </c>
      <c r="C86" s="87">
        <f t="shared" si="51"/>
        <v>0.4051111689</v>
      </c>
      <c r="D86" s="87">
        <f t="shared" si="51"/>
        <v>0.4206187236</v>
      </c>
      <c r="E86" s="87">
        <f t="shared" si="51"/>
        <v>0.4645179938</v>
      </c>
      <c r="F86" s="87">
        <f t="shared" si="51"/>
        <v>0.4210874491</v>
      </c>
      <c r="G86" s="87">
        <f t="shared" si="51"/>
        <v>0.4399714728</v>
      </c>
      <c r="H86" s="87">
        <f t="shared" si="51"/>
        <v>0.1801336981</v>
      </c>
      <c r="I86" s="87">
        <f t="shared" si="51"/>
        <v>0.1721876595</v>
      </c>
      <c r="J86" s="87">
        <f t="shared" si="51"/>
        <v>0.2164624862</v>
      </c>
      <c r="K86" s="87">
        <f t="shared" si="51"/>
        <v>0.2506673998</v>
      </c>
      <c r="L86" s="87">
        <f t="shared" si="51"/>
        <v>0.2086187631</v>
      </c>
      <c r="M86" s="87">
        <f t="shared" si="51"/>
        <v>0.2325161346</v>
      </c>
      <c r="N86" s="87">
        <f t="shared" si="51"/>
        <v>0.2204145148</v>
      </c>
      <c r="O86" s="87">
        <f t="shared" si="51"/>
        <v>0.2525008863</v>
      </c>
      <c r="P86" s="87">
        <f t="shared" si="51"/>
        <v>0.2573560838</v>
      </c>
      <c r="Q86" s="87">
        <f t="shared" si="51"/>
        <v>0.2530718755</v>
      </c>
      <c r="R86" s="87">
        <f t="shared" si="51"/>
        <v>0.262956884</v>
      </c>
      <c r="S86" s="25"/>
      <c r="T86" s="25"/>
      <c r="U86" s="25"/>
      <c r="V86" s="25"/>
      <c r="W86" s="25"/>
      <c r="X86" s="25"/>
      <c r="Y86" s="25"/>
      <c r="Z86" s="25"/>
      <c r="AA86" s="25"/>
      <c r="AB86" s="25"/>
      <c r="AC86" s="25"/>
      <c r="AD86" s="25"/>
      <c r="AE86" s="25"/>
      <c r="AF86" s="25"/>
      <c r="AG86" s="25"/>
      <c r="AH86" s="25"/>
      <c r="AI86" s="25"/>
      <c r="AJ86" s="25"/>
    </row>
    <row r="87" ht="12.75" customHeight="1">
      <c r="A87" s="25" t="s">
        <v>135</v>
      </c>
      <c r="B87" s="87">
        <f t="shared" ref="B87:R87" si="52">(B71/B76)</f>
        <v>0.004873614305</v>
      </c>
      <c r="C87" s="87">
        <f t="shared" si="52"/>
        <v>0.007028741762</v>
      </c>
      <c r="D87" s="87">
        <f t="shared" si="52"/>
        <v>0.005500556963</v>
      </c>
      <c r="E87" s="87">
        <f t="shared" si="52"/>
        <v>0</v>
      </c>
      <c r="F87" s="87">
        <f t="shared" si="52"/>
        <v>0</v>
      </c>
      <c r="G87" s="87">
        <f t="shared" si="52"/>
        <v>0.005529286636</v>
      </c>
      <c r="H87" s="87">
        <f t="shared" si="52"/>
        <v>0.1617254964</v>
      </c>
      <c r="I87" s="87">
        <f t="shared" si="52"/>
        <v>0.1545914785</v>
      </c>
      <c r="J87" s="87">
        <f t="shared" si="52"/>
        <v>0.1490451623</v>
      </c>
      <c r="K87" s="87">
        <f t="shared" si="52"/>
        <v>0.1832927314</v>
      </c>
      <c r="L87" s="87">
        <f t="shared" si="52"/>
        <v>0.144730349</v>
      </c>
      <c r="M87" s="87">
        <f t="shared" si="52"/>
        <v>0.1859192793</v>
      </c>
      <c r="N87" s="87">
        <f t="shared" si="52"/>
        <v>0.04723168175</v>
      </c>
      <c r="O87" s="87">
        <f t="shared" si="52"/>
        <v>0.02016227665</v>
      </c>
      <c r="P87" s="87">
        <f t="shared" si="52"/>
        <v>0</v>
      </c>
      <c r="Q87" s="87">
        <f t="shared" si="52"/>
        <v>0</v>
      </c>
      <c r="R87" s="87">
        <f t="shared" si="52"/>
        <v>0</v>
      </c>
      <c r="S87" s="25"/>
      <c r="T87" s="25"/>
      <c r="U87" s="25"/>
      <c r="V87" s="25"/>
      <c r="W87" s="25"/>
      <c r="X87" s="25"/>
      <c r="Y87" s="25"/>
      <c r="Z87" s="25"/>
      <c r="AA87" s="25"/>
      <c r="AB87" s="25"/>
      <c r="AC87" s="25"/>
      <c r="AD87" s="25"/>
      <c r="AE87" s="25"/>
      <c r="AF87" s="25"/>
      <c r="AG87" s="25"/>
      <c r="AH87" s="25"/>
      <c r="AI87" s="25"/>
      <c r="AJ87" s="25"/>
    </row>
    <row r="88" ht="12.75" customHeight="1">
      <c r="A88" s="25" t="s">
        <v>155</v>
      </c>
      <c r="B88" s="87">
        <f t="shared" ref="B88:R88" si="53">(B72/B76)</f>
        <v>0.001880757198</v>
      </c>
      <c r="C88" s="87">
        <f t="shared" si="53"/>
        <v>0.002854676688</v>
      </c>
      <c r="D88" s="87">
        <f t="shared" si="53"/>
        <v>0.002079248336</v>
      </c>
      <c r="E88" s="87">
        <f t="shared" si="53"/>
        <v>0</v>
      </c>
      <c r="F88" s="87">
        <f t="shared" si="53"/>
        <v>0</v>
      </c>
      <c r="G88" s="87">
        <f t="shared" si="53"/>
        <v>0.0008473452247</v>
      </c>
      <c r="H88" s="87">
        <f t="shared" si="53"/>
        <v>0.01991401144</v>
      </c>
      <c r="I88" s="87">
        <f t="shared" si="53"/>
        <v>0.01903556669</v>
      </c>
      <c r="J88" s="87">
        <f t="shared" si="53"/>
        <v>0</v>
      </c>
      <c r="K88" s="87">
        <f t="shared" si="53"/>
        <v>0</v>
      </c>
      <c r="L88" s="87">
        <f t="shared" si="53"/>
        <v>0.008857398614</v>
      </c>
      <c r="M88" s="87">
        <f t="shared" si="53"/>
        <v>0.006085846912</v>
      </c>
      <c r="N88" s="87">
        <f t="shared" si="53"/>
        <v>0</v>
      </c>
      <c r="O88" s="87">
        <f t="shared" si="53"/>
        <v>0.00004323919535</v>
      </c>
      <c r="P88" s="87">
        <f t="shared" si="53"/>
        <v>0.0000008067588834</v>
      </c>
      <c r="Q88" s="87">
        <f t="shared" si="53"/>
        <v>0.0000007933287633</v>
      </c>
      <c r="R88" s="87">
        <f t="shared" si="53"/>
        <v>0.0000008243162509</v>
      </c>
      <c r="S88" s="25"/>
      <c r="T88" s="25"/>
      <c r="U88" s="25"/>
      <c r="V88" s="25"/>
      <c r="W88" s="25"/>
      <c r="X88" s="25"/>
      <c r="Y88" s="25"/>
      <c r="Z88" s="25"/>
      <c r="AA88" s="25"/>
      <c r="AB88" s="25"/>
      <c r="AC88" s="25"/>
      <c r="AD88" s="25"/>
      <c r="AE88" s="25"/>
      <c r="AF88" s="25"/>
      <c r="AG88" s="25"/>
      <c r="AH88" s="25"/>
      <c r="AI88" s="25"/>
      <c r="AJ88" s="25"/>
    </row>
    <row r="89" ht="12.75" customHeight="1">
      <c r="A89" s="25" t="s">
        <v>156</v>
      </c>
      <c r="B89" s="87">
        <f t="shared" ref="B89:R89" si="54">(B73/B76)</f>
        <v>0.0003958434849</v>
      </c>
      <c r="C89" s="87">
        <f t="shared" si="54"/>
        <v>0.0006457906032</v>
      </c>
      <c r="D89" s="87">
        <f t="shared" si="54"/>
        <v>0.0004319082224</v>
      </c>
      <c r="E89" s="87">
        <f t="shared" si="54"/>
        <v>0.001704653188</v>
      </c>
      <c r="F89" s="87">
        <f t="shared" si="54"/>
        <v>0</v>
      </c>
      <c r="G89" s="87">
        <f t="shared" si="54"/>
        <v>0.0002519611135</v>
      </c>
      <c r="H89" s="87">
        <f t="shared" si="54"/>
        <v>0.001115184641</v>
      </c>
      <c r="I89" s="87">
        <f t="shared" si="54"/>
        <v>0.00969498842</v>
      </c>
      <c r="J89" s="87">
        <f t="shared" si="54"/>
        <v>0.08096688416</v>
      </c>
      <c r="K89" s="87">
        <f t="shared" si="54"/>
        <v>0.09190860492</v>
      </c>
      <c r="L89" s="87">
        <f t="shared" si="54"/>
        <v>0.0008668943324</v>
      </c>
      <c r="M89" s="87">
        <f t="shared" si="54"/>
        <v>0.002662558024</v>
      </c>
      <c r="N89" s="87">
        <f t="shared" si="54"/>
        <v>0.03935973479</v>
      </c>
      <c r="O89" s="87">
        <f t="shared" si="54"/>
        <v>0.002001814599</v>
      </c>
      <c r="P89" s="87">
        <f t="shared" si="54"/>
        <v>0</v>
      </c>
      <c r="Q89" s="87">
        <f t="shared" si="54"/>
        <v>0</v>
      </c>
      <c r="R89" s="87">
        <f t="shared" si="54"/>
        <v>0</v>
      </c>
      <c r="S89" s="25"/>
      <c r="T89" s="25"/>
      <c r="U89" s="25"/>
      <c r="V89" s="25"/>
      <c r="W89" s="25"/>
      <c r="X89" s="25"/>
      <c r="Y89" s="25"/>
      <c r="Z89" s="25"/>
      <c r="AA89" s="25"/>
      <c r="AB89" s="25"/>
      <c r="AC89" s="25"/>
      <c r="AD89" s="25"/>
      <c r="AE89" s="25"/>
      <c r="AF89" s="25"/>
      <c r="AG89" s="25"/>
      <c r="AH89" s="25"/>
      <c r="AI89" s="25"/>
      <c r="AJ89" s="25"/>
    </row>
    <row r="90" ht="12.75" customHeight="1">
      <c r="A90" s="25" t="s">
        <v>157</v>
      </c>
      <c r="B90" s="87">
        <f t="shared" ref="B90:R90" si="55">(B74/B76)</f>
        <v>0.002458168015</v>
      </c>
      <c r="C90" s="87">
        <f t="shared" si="55"/>
        <v>0.004889498134</v>
      </c>
      <c r="D90" s="87">
        <f t="shared" si="55"/>
        <v>0.003004957129</v>
      </c>
      <c r="E90" s="87">
        <f t="shared" si="55"/>
        <v>0</v>
      </c>
      <c r="F90" s="87">
        <f t="shared" si="55"/>
        <v>0.0008404939103</v>
      </c>
      <c r="G90" s="87">
        <f t="shared" si="55"/>
        <v>0.0005879092648</v>
      </c>
      <c r="H90" s="87">
        <f t="shared" si="55"/>
        <v>0.0008124483363</v>
      </c>
      <c r="I90" s="87">
        <f t="shared" si="55"/>
        <v>0.0007766097017</v>
      </c>
      <c r="J90" s="87">
        <f t="shared" si="55"/>
        <v>0</v>
      </c>
      <c r="K90" s="87">
        <f t="shared" si="55"/>
        <v>0</v>
      </c>
      <c r="L90" s="87">
        <f t="shared" si="55"/>
        <v>0</v>
      </c>
      <c r="M90" s="87">
        <f t="shared" si="55"/>
        <v>0</v>
      </c>
      <c r="N90" s="87">
        <f t="shared" si="55"/>
        <v>0</v>
      </c>
      <c r="O90" s="87">
        <f t="shared" si="55"/>
        <v>0</v>
      </c>
      <c r="P90" s="87">
        <f t="shared" si="55"/>
        <v>0</v>
      </c>
      <c r="Q90" s="87">
        <f t="shared" si="55"/>
        <v>0</v>
      </c>
      <c r="R90" s="87">
        <f t="shared" si="55"/>
        <v>0</v>
      </c>
      <c r="S90" s="25"/>
      <c r="T90" s="25"/>
      <c r="U90" s="25"/>
      <c r="V90" s="25"/>
      <c r="W90" s="25"/>
      <c r="X90" s="25"/>
      <c r="Y90" s="25"/>
      <c r="Z90" s="25"/>
      <c r="AA90" s="25"/>
      <c r="AB90" s="25"/>
      <c r="AC90" s="25"/>
      <c r="AD90" s="25"/>
      <c r="AE90" s="25"/>
      <c r="AF90" s="25"/>
      <c r="AG90" s="25"/>
      <c r="AH90" s="25"/>
      <c r="AI90" s="25"/>
      <c r="AJ90" s="25"/>
    </row>
    <row r="91" ht="12.75" customHeight="1">
      <c r="A91" s="25" t="s">
        <v>158</v>
      </c>
      <c r="B91" s="87">
        <f t="shared" ref="B91:R91" si="56">(B75/B76)</f>
        <v>0.05359006531</v>
      </c>
      <c r="C91" s="87">
        <f t="shared" si="56"/>
        <v>0.080182789</v>
      </c>
      <c r="D91" s="87">
        <f t="shared" si="56"/>
        <v>0.07859692533</v>
      </c>
      <c r="E91" s="87">
        <f t="shared" si="56"/>
        <v>0.01534187869</v>
      </c>
      <c r="F91" s="87">
        <f t="shared" si="56"/>
        <v>0.04622716507</v>
      </c>
      <c r="G91" s="87">
        <f t="shared" si="56"/>
        <v>0.03779416702</v>
      </c>
      <c r="H91" s="87">
        <f t="shared" si="56"/>
        <v>0.0000009027203737</v>
      </c>
      <c r="I91" s="87">
        <f t="shared" si="56"/>
        <v>0.0000008628996685</v>
      </c>
      <c r="J91" s="87">
        <f t="shared" si="56"/>
        <v>0</v>
      </c>
      <c r="K91" s="87">
        <f t="shared" si="56"/>
        <v>0</v>
      </c>
      <c r="L91" s="87">
        <f t="shared" si="56"/>
        <v>0.07459060365</v>
      </c>
      <c r="M91" s="87">
        <f t="shared" si="56"/>
        <v>0.01217169382</v>
      </c>
      <c r="N91" s="87">
        <f t="shared" si="56"/>
        <v>0</v>
      </c>
      <c r="O91" s="87">
        <f t="shared" si="56"/>
        <v>0.009080231023</v>
      </c>
      <c r="P91" s="87">
        <f t="shared" si="56"/>
        <v>0</v>
      </c>
      <c r="Q91" s="87">
        <f t="shared" si="56"/>
        <v>0</v>
      </c>
      <c r="R91" s="87">
        <f t="shared" si="56"/>
        <v>0</v>
      </c>
    </row>
    <row r="92" ht="12.75" customHeight="1">
      <c r="A92" s="245" t="s">
        <v>558</v>
      </c>
      <c r="B92" s="249">
        <f t="shared" ref="B92:R92" si="57">SUM(B80:B91)</f>
        <v>1</v>
      </c>
      <c r="C92" s="249">
        <f t="shared" si="57"/>
        <v>1</v>
      </c>
      <c r="D92" s="249">
        <f t="shared" si="57"/>
        <v>1</v>
      </c>
      <c r="E92" s="249">
        <f t="shared" si="57"/>
        <v>1</v>
      </c>
      <c r="F92" s="249">
        <f t="shared" si="57"/>
        <v>1</v>
      </c>
      <c r="G92" s="249">
        <f t="shared" si="57"/>
        <v>1</v>
      </c>
      <c r="H92" s="249">
        <f t="shared" si="57"/>
        <v>1</v>
      </c>
      <c r="I92" s="249">
        <f t="shared" si="57"/>
        <v>1</v>
      </c>
      <c r="J92" s="249">
        <f t="shared" si="57"/>
        <v>1</v>
      </c>
      <c r="K92" s="249">
        <f t="shared" si="57"/>
        <v>1</v>
      </c>
      <c r="L92" s="249">
        <f t="shared" si="57"/>
        <v>1</v>
      </c>
      <c r="M92" s="249">
        <f t="shared" si="57"/>
        <v>1</v>
      </c>
      <c r="N92" s="249">
        <f t="shared" si="57"/>
        <v>1</v>
      </c>
      <c r="O92" s="249">
        <f t="shared" si="57"/>
        <v>1</v>
      </c>
      <c r="P92" s="249">
        <f t="shared" si="57"/>
        <v>1</v>
      </c>
      <c r="Q92" s="249">
        <f t="shared" si="57"/>
        <v>1</v>
      </c>
      <c r="R92" s="249">
        <f t="shared" si="57"/>
        <v>1</v>
      </c>
    </row>
    <row r="93" ht="12.75" customHeight="1">
      <c r="A93" s="25" t="s">
        <v>562</v>
      </c>
      <c r="B93" s="87"/>
      <c r="C93" s="87"/>
      <c r="D93" s="87">
        <f>(D80*('Scope1A Stationary'!E86/('Scope1A Stationary'!E86+'Scope1A Stationary'!E21)))+D81+D82+D83+D85</f>
        <v>0.3310615131</v>
      </c>
      <c r="E93" s="87">
        <f>(E80*('Scope1A Stationary'!F86/('Scope1A Stationary'!F86+'Scope1A Stationary'!F21)))+E81+E82+E83+E85</f>
        <v>0.4072545136</v>
      </c>
      <c r="F93" s="87">
        <f>(F80*('Scope1A Stationary'!G86/('Scope1A Stationary'!G86+'Scope1A Stationary'!G21)))+F81+F82+F83+F85</f>
        <v>0.432614767</v>
      </c>
      <c r="G93" s="87">
        <f>(G80*('Scope1A Stationary'!H86/('Scope1A Stationary'!H86+'Scope1A Stationary'!H21)))+G81+G82+G83+G85</f>
        <v>0.4179685043</v>
      </c>
      <c r="H93" s="87">
        <f>(H80*('Scope1A Stationary'!I86/('Scope1A Stationary'!I86+'Scope1A Stationary'!I21)))+H81+H82+H83+H85</f>
        <v>0.5504677763</v>
      </c>
      <c r="I93" s="87">
        <f>(I80*('Scope1A Stationary'!J86/('Scope1A Stationary'!J86+'Scope1A Stationary'!J21)))+I81+I82+I83+I85</f>
        <v>0.5584680505</v>
      </c>
      <c r="J93" s="87">
        <f>(J80*('Scope1A Stationary'!K86/('Scope1A Stationary'!K86+'Scope1A Stationary'!K21)))+J81+J82+J83+J85</f>
        <v>0.5185645281</v>
      </c>
      <c r="K93" s="87">
        <f>(K80*('Scope1A Stationary'!L86/('Scope1A Stationary'!L86+'Scope1A Stationary'!L21)))+K81+K82+K83+K85</f>
        <v>0.4593251019</v>
      </c>
      <c r="L93" s="87">
        <f>(L80*('Scope1A Stationary'!M86/('Scope1A Stationary'!M86+'Scope1A Stationary'!M21)))+L81+L82+L83+L85</f>
        <v>0.5385180633</v>
      </c>
      <c r="M93" s="87">
        <f>(M80*('Scope1A Stationary'!N86/('Scope1A Stationary'!N86+'Scope1A Stationary'!N21)))+M81+M82+M83+M85</f>
        <v>0.5468077203</v>
      </c>
      <c r="N93" s="87">
        <f>(N80*('Scope1A Stationary'!O86/('Scope1A Stationary'!O86+'Scope1A Stationary'!O21)))+N81+N82+N83+N85</f>
        <v>0.6929940686</v>
      </c>
      <c r="O93" s="87">
        <f>(O80*('Scope1A Stationary'!P86/('Scope1A Stationary'!P86+'Scope1A Stationary'!P21)))+O81+O82+O83+O85</f>
        <v>0.7162115522</v>
      </c>
      <c r="P93" s="87">
        <f>(P80*('Scope1A Stationary'!Q86/('Scope1A Stationary'!Q86+'Scope1A Stationary'!Q21)))+P81+P82+P83+P85</f>
        <v>0.7426431094</v>
      </c>
      <c r="Q93" s="87">
        <f>(Q80*('Scope1A Stationary'!R86/('Scope1A Stationary'!R86+'Scope1A Stationary'!R21)))+Q81+Q82+Q83+Q85</f>
        <v>0.7469273312</v>
      </c>
      <c r="R93" s="87">
        <f>(R80*('Scope1A Stationary'!S86/('Scope1A Stationary'!S86+'Scope1A Stationary'!S21)))+R81+R82+R83+R85</f>
        <v>0.7370422916</v>
      </c>
    </row>
    <row r="94" ht="12.75" customHeight="1">
      <c r="A94" s="25" t="s">
        <v>563</v>
      </c>
      <c r="B94" s="25"/>
      <c r="C94" s="25"/>
      <c r="D94" s="87">
        <f t="shared" ref="D94:R94" si="58">1-D93</f>
        <v>0.6689384869</v>
      </c>
      <c r="E94" s="87">
        <f t="shared" si="58"/>
        <v>0.5927454864</v>
      </c>
      <c r="F94" s="87">
        <f t="shared" si="58"/>
        <v>0.567385233</v>
      </c>
      <c r="G94" s="87">
        <f t="shared" si="58"/>
        <v>0.5820314957</v>
      </c>
      <c r="H94" s="87">
        <f t="shared" si="58"/>
        <v>0.4495322237</v>
      </c>
      <c r="I94" s="87">
        <f t="shared" si="58"/>
        <v>0.4415319495</v>
      </c>
      <c r="J94" s="87">
        <f t="shared" si="58"/>
        <v>0.4814354719</v>
      </c>
      <c r="K94" s="87">
        <f t="shared" si="58"/>
        <v>0.5406748981</v>
      </c>
      <c r="L94" s="87">
        <f t="shared" si="58"/>
        <v>0.4614819367</v>
      </c>
      <c r="M94" s="87">
        <f t="shared" si="58"/>
        <v>0.4531922797</v>
      </c>
      <c r="N94" s="87">
        <f t="shared" si="58"/>
        <v>0.3070059314</v>
      </c>
      <c r="O94" s="87">
        <f t="shared" si="58"/>
        <v>0.2837884478</v>
      </c>
      <c r="P94" s="87">
        <f t="shared" si="58"/>
        <v>0.2573568906</v>
      </c>
      <c r="Q94" s="87">
        <f t="shared" si="58"/>
        <v>0.2530726688</v>
      </c>
      <c r="R94" s="87">
        <f t="shared" si="58"/>
        <v>0.2629577084</v>
      </c>
    </row>
    <row r="95" ht="12.75" customHeight="1">
      <c r="A95" s="25" t="s">
        <v>564</v>
      </c>
      <c r="B95" s="25"/>
      <c r="C95" s="25"/>
      <c r="D95" s="87">
        <f>'Scope1A Stationary'!E86/('Scope1A Stationary'!E86+'Scope1A Stationary'!E21)</f>
        <v>0.1052708411</v>
      </c>
      <c r="E95" s="87">
        <f>'Scope1A Stationary'!F86/('Scope1A Stationary'!F86+'Scope1A Stationary'!F21)</f>
        <v>0.4452482431</v>
      </c>
      <c r="F95" s="87">
        <f>'Scope1A Stationary'!G86/('Scope1A Stationary'!G86+'Scope1A Stationary'!G21)</f>
        <v>0.5773205203</v>
      </c>
      <c r="G95" s="87">
        <f>'Scope1A Stationary'!H86/('Scope1A Stationary'!H86+'Scope1A Stationary'!H21)</f>
        <v>0.5309097228</v>
      </c>
      <c r="H95" s="87">
        <f>'Scope1A Stationary'!I86/('Scope1A Stationary'!I86+'Scope1A Stationary'!I21)</f>
        <v>0.7241059615</v>
      </c>
      <c r="I95" s="87">
        <f>'Scope1A Stationary'!J86/('Scope1A Stationary'!J86+'Scope1A Stationary'!J21)</f>
        <v>0.7408253533</v>
      </c>
      <c r="J95" s="87">
        <f>'Scope1A Stationary'!K86/('Scope1A Stationary'!K86+'Scope1A Stationary'!K21)</f>
        <v>0.7392340282</v>
      </c>
      <c r="K95" s="87">
        <f>'Scope1A Stationary'!L86/('Scope1A Stationary'!L86+'Scope1A Stationary'!L21+'Scope1A Stationary'!L61)</f>
        <v>0.669737009</v>
      </c>
      <c r="L95" s="87">
        <f>'Scope1A Stationary'!M86/('Scope1A Stationary'!M86+'Scope1A Stationary'!M21+'Scope1A Stationary'!M61)</f>
        <v>0.7327344881</v>
      </c>
      <c r="M95" s="87">
        <f>'Scope1A Stationary'!N86/('Scope1A Stationary'!N86+'Scope1A Stationary'!N21+'Scope1A Stationary'!N61)</f>
        <v>0.7022660064</v>
      </c>
      <c r="N95" s="87">
        <f>'Scope1A Stationary'!O86/('Scope1A Stationary'!O86+'Scope1A Stationary'!O21+'Scope1A Stationary'!O61)</f>
        <v>0.6934850314</v>
      </c>
      <c r="O95" s="87">
        <f>'Scope1A Stationary'!P86/('Scope1A Stationary'!P86+'Scope1A Stationary'!P21+'Scope1A Stationary'!P61)</f>
        <v>0.6900807801</v>
      </c>
      <c r="P95" s="87">
        <f>'Scope1A Stationary'!Q86/('Scope1A Stationary'!Q86+'Scope1A Stationary'!Q21+'Scope1A Stationary'!Q61)</f>
        <v>0.5740293965</v>
      </c>
      <c r="Q95" s="87">
        <f>'Scope1A Stationary'!R86/('Scope1A Stationary'!R86+'Scope1A Stationary'!R21+'Scope1A Stationary'!R61)</f>
        <v>0.5856735989</v>
      </c>
      <c r="R95" s="87">
        <f>'Scope1A Stationary'!S86/('Scope1A Stationary'!S86+'Scope1A Stationary'!S21+'Scope1A Stationary'!S61)</f>
        <v>0.6880052483</v>
      </c>
    </row>
    <row r="96" ht="12.75" customHeight="1">
      <c r="A96" s="25"/>
      <c r="B96" s="25"/>
      <c r="C96" s="25"/>
      <c r="D96" s="87"/>
      <c r="E96" s="87"/>
      <c r="F96" s="87"/>
      <c r="G96" s="87"/>
      <c r="H96" s="87"/>
      <c r="I96" s="87"/>
      <c r="J96" s="87"/>
      <c r="K96" s="87"/>
      <c r="L96" s="87"/>
      <c r="M96" s="87"/>
      <c r="N96" s="87"/>
      <c r="O96" s="87"/>
      <c r="P96" s="87"/>
      <c r="Q96" s="87"/>
      <c r="R96" s="87"/>
    </row>
    <row r="97" ht="15.75" customHeight="1">
      <c r="A97" s="92" t="s">
        <v>135</v>
      </c>
    </row>
    <row r="98" ht="12.75" customHeight="1">
      <c r="A98" s="65" t="s">
        <v>195</v>
      </c>
      <c r="B98" s="214" t="s">
        <v>76</v>
      </c>
      <c r="C98" s="214" t="s">
        <v>77</v>
      </c>
      <c r="D98" s="214" t="s">
        <v>78</v>
      </c>
      <c r="E98" s="214" t="s">
        <v>79</v>
      </c>
      <c r="F98" s="214" t="s">
        <v>80</v>
      </c>
      <c r="G98" s="214" t="s">
        <v>81</v>
      </c>
      <c r="H98" s="214" t="s">
        <v>82</v>
      </c>
      <c r="I98" s="214" t="s">
        <v>83</v>
      </c>
      <c r="J98" s="214" t="s">
        <v>84</v>
      </c>
      <c r="K98" s="214" t="s">
        <v>66</v>
      </c>
      <c r="L98" s="214" t="s">
        <v>185</v>
      </c>
      <c r="M98" s="214" t="s">
        <v>186</v>
      </c>
      <c r="N98" s="214" t="s">
        <v>187</v>
      </c>
      <c r="O98" s="214" t="s">
        <v>188</v>
      </c>
      <c r="P98" s="96" t="s">
        <v>189</v>
      </c>
      <c r="Q98" s="96" t="s">
        <v>190</v>
      </c>
      <c r="R98" s="96" t="s">
        <v>191</v>
      </c>
    </row>
    <row r="99" ht="12.75" customHeight="1">
      <c r="A99" s="25" t="s">
        <v>565</v>
      </c>
      <c r="B99" s="97">
        <f t="shared" ref="B99:R99" si="59">B71</f>
        <v>125867.7856</v>
      </c>
      <c r="C99" s="97">
        <f t="shared" si="59"/>
        <v>185852.7376</v>
      </c>
      <c r="D99" s="97">
        <f t="shared" si="59"/>
        <v>140803.1893</v>
      </c>
      <c r="E99" s="97">
        <f t="shared" si="59"/>
        <v>0</v>
      </c>
      <c r="F99" s="97">
        <f t="shared" si="59"/>
        <v>0</v>
      </c>
      <c r="G99" s="97">
        <f t="shared" si="59"/>
        <v>139815.9621</v>
      </c>
      <c r="H99" s="97">
        <f t="shared" si="59"/>
        <v>3864017.729</v>
      </c>
      <c r="I99" s="97">
        <f t="shared" si="59"/>
        <v>3777033.34</v>
      </c>
      <c r="J99" s="97">
        <f t="shared" si="59"/>
        <v>4006875.044</v>
      </c>
      <c r="K99" s="97">
        <f t="shared" si="59"/>
        <v>4456407.909</v>
      </c>
      <c r="L99" s="97">
        <f t="shared" si="59"/>
        <v>3892034.068</v>
      </c>
      <c r="M99" s="97">
        <f t="shared" si="59"/>
        <v>4924548.267</v>
      </c>
      <c r="N99" s="97">
        <f t="shared" si="59"/>
        <v>1213661.1</v>
      </c>
      <c r="O99" s="97">
        <f t="shared" si="59"/>
        <v>442812.0807</v>
      </c>
      <c r="P99" s="97">
        <f t="shared" si="59"/>
        <v>0</v>
      </c>
      <c r="Q99" s="97">
        <f t="shared" si="59"/>
        <v>0</v>
      </c>
      <c r="R99" s="97">
        <f t="shared" si="59"/>
        <v>0</v>
      </c>
    </row>
    <row r="100" ht="12.75" customHeight="1">
      <c r="A100" s="25" t="s">
        <v>566</v>
      </c>
      <c r="B100" s="73">
        <f t="shared" ref="B100:R100" si="60">ROUND(B99*$B192,1)</f>
        <v>429.5</v>
      </c>
      <c r="C100" s="73">
        <f t="shared" si="60"/>
        <v>634.1</v>
      </c>
      <c r="D100" s="73">
        <f t="shared" si="60"/>
        <v>480.4</v>
      </c>
      <c r="E100" s="73">
        <f t="shared" si="60"/>
        <v>0</v>
      </c>
      <c r="F100" s="73">
        <f t="shared" si="60"/>
        <v>0</v>
      </c>
      <c r="G100" s="73">
        <f t="shared" si="60"/>
        <v>477.1</v>
      </c>
      <c r="H100" s="73">
        <f t="shared" si="60"/>
        <v>13184.4</v>
      </c>
      <c r="I100" s="73">
        <f t="shared" si="60"/>
        <v>12887.6</v>
      </c>
      <c r="J100" s="73">
        <f t="shared" si="60"/>
        <v>13671.9</v>
      </c>
      <c r="K100" s="73">
        <f t="shared" si="60"/>
        <v>15205.7</v>
      </c>
      <c r="L100" s="73">
        <f t="shared" si="60"/>
        <v>13280</v>
      </c>
      <c r="M100" s="73">
        <f t="shared" si="60"/>
        <v>16803.1</v>
      </c>
      <c r="N100" s="73">
        <f t="shared" si="60"/>
        <v>4141.1</v>
      </c>
      <c r="O100" s="73">
        <f t="shared" si="60"/>
        <v>1510.9</v>
      </c>
      <c r="P100" s="73">
        <f t="shared" si="60"/>
        <v>0</v>
      </c>
      <c r="Q100" s="73">
        <f t="shared" si="60"/>
        <v>0</v>
      </c>
      <c r="R100" s="73">
        <f t="shared" si="60"/>
        <v>0</v>
      </c>
    </row>
    <row r="101" ht="15.0" customHeight="1">
      <c r="A101" s="47" t="s">
        <v>567</v>
      </c>
      <c r="B101" s="78">
        <f t="shared" ref="B101:R101" si="61">ROUND(B99*$B200,1)</f>
        <v>22.7</v>
      </c>
      <c r="C101" s="78">
        <f t="shared" si="61"/>
        <v>33.5</v>
      </c>
      <c r="D101" s="78">
        <f t="shared" si="61"/>
        <v>25.3</v>
      </c>
      <c r="E101" s="78">
        <f t="shared" si="61"/>
        <v>0</v>
      </c>
      <c r="F101" s="78">
        <f t="shared" si="61"/>
        <v>0</v>
      </c>
      <c r="G101" s="78">
        <f t="shared" si="61"/>
        <v>25.2</v>
      </c>
      <c r="H101" s="78">
        <f t="shared" si="61"/>
        <v>695.6</v>
      </c>
      <c r="I101" s="78">
        <f t="shared" si="61"/>
        <v>679.9</v>
      </c>
      <c r="J101" s="78">
        <f t="shared" si="61"/>
        <v>721.3</v>
      </c>
      <c r="K101" s="78">
        <f t="shared" si="61"/>
        <v>802.2</v>
      </c>
      <c r="L101" s="78">
        <f t="shared" si="61"/>
        <v>700.6</v>
      </c>
      <c r="M101" s="78">
        <f t="shared" si="61"/>
        <v>886.5</v>
      </c>
      <c r="N101" s="78">
        <f t="shared" si="61"/>
        <v>218.5</v>
      </c>
      <c r="O101" s="78">
        <f t="shared" si="61"/>
        <v>79.7</v>
      </c>
      <c r="P101" s="78">
        <f t="shared" si="61"/>
        <v>0</v>
      </c>
      <c r="Q101" s="78">
        <f t="shared" si="61"/>
        <v>0</v>
      </c>
      <c r="R101" s="78">
        <f t="shared" si="61"/>
        <v>0</v>
      </c>
      <c r="S101" s="25"/>
      <c r="T101" s="25"/>
      <c r="U101" s="25"/>
      <c r="V101" s="25"/>
      <c r="W101" s="25"/>
      <c r="X101" s="25"/>
      <c r="Y101" s="25"/>
      <c r="Z101" s="25"/>
      <c r="AA101" s="25"/>
      <c r="AB101" s="25"/>
      <c r="AC101" s="25"/>
      <c r="AD101" s="25"/>
      <c r="AE101" s="25"/>
      <c r="AF101" s="25"/>
      <c r="AG101" s="25"/>
      <c r="AH101" s="25"/>
      <c r="AI101" s="25"/>
      <c r="AJ101" s="25"/>
    </row>
    <row r="102" ht="15.0" customHeight="1">
      <c r="A102" s="25" t="s">
        <v>568</v>
      </c>
      <c r="B102" s="128">
        <f t="shared" ref="B102:R102" si="62">($B201*B100*$B194)</f>
        <v>0.000408025</v>
      </c>
      <c r="C102" s="128">
        <f t="shared" si="62"/>
        <v>0.000602395</v>
      </c>
      <c r="D102" s="128">
        <f t="shared" si="62"/>
        <v>0.00045638</v>
      </c>
      <c r="E102" s="128">
        <f t="shared" si="62"/>
        <v>0</v>
      </c>
      <c r="F102" s="128">
        <f t="shared" si="62"/>
        <v>0</v>
      </c>
      <c r="G102" s="128">
        <f t="shared" si="62"/>
        <v>0.000453245</v>
      </c>
      <c r="H102" s="128">
        <f t="shared" si="62"/>
        <v>0.01252518</v>
      </c>
      <c r="I102" s="128">
        <f t="shared" si="62"/>
        <v>0.01224322</v>
      </c>
      <c r="J102" s="128">
        <f t="shared" si="62"/>
        <v>0.012988305</v>
      </c>
      <c r="K102" s="128">
        <f t="shared" si="62"/>
        <v>0.014445415</v>
      </c>
      <c r="L102" s="128">
        <f t="shared" si="62"/>
        <v>0.012616</v>
      </c>
      <c r="M102" s="128">
        <f t="shared" si="62"/>
        <v>0.015962945</v>
      </c>
      <c r="N102" s="128">
        <f t="shared" si="62"/>
        <v>0.003934045</v>
      </c>
      <c r="O102" s="128">
        <f t="shared" si="62"/>
        <v>0.001435355</v>
      </c>
      <c r="P102" s="128">
        <f t="shared" si="62"/>
        <v>0</v>
      </c>
      <c r="Q102" s="128">
        <f t="shared" si="62"/>
        <v>0</v>
      </c>
      <c r="R102" s="128">
        <f t="shared" si="62"/>
        <v>0</v>
      </c>
      <c r="S102" s="25"/>
      <c r="T102" s="25"/>
      <c r="U102" s="25"/>
      <c r="V102" s="25"/>
      <c r="W102" s="25"/>
      <c r="X102" s="25"/>
      <c r="Y102" s="25"/>
      <c r="Z102" s="25"/>
      <c r="AA102" s="25"/>
      <c r="AB102" s="25"/>
      <c r="AC102" s="25"/>
      <c r="AD102" s="25"/>
      <c r="AE102" s="25"/>
      <c r="AF102" s="25"/>
      <c r="AG102" s="25"/>
      <c r="AH102" s="25"/>
      <c r="AI102" s="25"/>
      <c r="AJ102" s="25"/>
    </row>
    <row r="103" ht="15.0" customHeight="1">
      <c r="A103" s="47" t="s">
        <v>569</v>
      </c>
      <c r="B103" s="93">
        <f t="shared" ref="B103:R103" si="63">B100*$B201*$B194*$B196</f>
        <v>0.008568525</v>
      </c>
      <c r="C103" s="93">
        <f t="shared" si="63"/>
        <v>0.012650295</v>
      </c>
      <c r="D103" s="93">
        <f t="shared" si="63"/>
        <v>0.00958398</v>
      </c>
      <c r="E103" s="93">
        <f t="shared" si="63"/>
        <v>0</v>
      </c>
      <c r="F103" s="93">
        <f t="shared" si="63"/>
        <v>0</v>
      </c>
      <c r="G103" s="93">
        <f t="shared" si="63"/>
        <v>0.009518145</v>
      </c>
      <c r="H103" s="93">
        <f t="shared" si="63"/>
        <v>0.26302878</v>
      </c>
      <c r="I103" s="93">
        <f t="shared" si="63"/>
        <v>0.25710762</v>
      </c>
      <c r="J103" s="93">
        <f t="shared" si="63"/>
        <v>0.272754405</v>
      </c>
      <c r="K103" s="93">
        <f t="shared" si="63"/>
        <v>0.303353715</v>
      </c>
      <c r="L103" s="93">
        <f t="shared" si="63"/>
        <v>0.264936</v>
      </c>
      <c r="M103" s="93">
        <f t="shared" si="63"/>
        <v>0.335221845</v>
      </c>
      <c r="N103" s="93">
        <f t="shared" si="63"/>
        <v>0.082614945</v>
      </c>
      <c r="O103" s="93">
        <f t="shared" si="63"/>
        <v>0.030142455</v>
      </c>
      <c r="P103" s="93">
        <f t="shared" si="63"/>
        <v>0</v>
      </c>
      <c r="Q103" s="93">
        <f t="shared" si="63"/>
        <v>0</v>
      </c>
      <c r="R103" s="93">
        <f t="shared" si="63"/>
        <v>0</v>
      </c>
    </row>
    <row r="104" ht="15.0" customHeight="1">
      <c r="A104" s="25" t="s">
        <v>570</v>
      </c>
      <c r="B104" s="128">
        <f t="shared" ref="B104:R104" si="64">($B202*B100*$B194)</f>
        <v>0.0000408025</v>
      </c>
      <c r="C104" s="128">
        <f t="shared" si="64"/>
        <v>0.0000602395</v>
      </c>
      <c r="D104" s="128">
        <f t="shared" si="64"/>
        <v>0.000045638</v>
      </c>
      <c r="E104" s="128">
        <f t="shared" si="64"/>
        <v>0</v>
      </c>
      <c r="F104" s="128">
        <f t="shared" si="64"/>
        <v>0</v>
      </c>
      <c r="G104" s="128">
        <f t="shared" si="64"/>
        <v>0.0000453245</v>
      </c>
      <c r="H104" s="128">
        <f t="shared" si="64"/>
        <v>0.001252518</v>
      </c>
      <c r="I104" s="128">
        <f t="shared" si="64"/>
        <v>0.001224322</v>
      </c>
      <c r="J104" s="128">
        <f t="shared" si="64"/>
        <v>0.0012988305</v>
      </c>
      <c r="K104" s="128">
        <f t="shared" si="64"/>
        <v>0.0014445415</v>
      </c>
      <c r="L104" s="128">
        <f t="shared" si="64"/>
        <v>0.0012616</v>
      </c>
      <c r="M104" s="128">
        <f t="shared" si="64"/>
        <v>0.0015962945</v>
      </c>
      <c r="N104" s="128">
        <f t="shared" si="64"/>
        <v>0.0003934045</v>
      </c>
      <c r="O104" s="128">
        <f t="shared" si="64"/>
        <v>0.0001435355</v>
      </c>
      <c r="P104" s="128">
        <f t="shared" si="64"/>
        <v>0</v>
      </c>
      <c r="Q104" s="128">
        <f t="shared" si="64"/>
        <v>0</v>
      </c>
      <c r="R104" s="128">
        <f t="shared" si="64"/>
        <v>0</v>
      </c>
    </row>
    <row r="105" ht="15.0" customHeight="1">
      <c r="A105" s="47" t="s">
        <v>571</v>
      </c>
      <c r="B105" s="93">
        <f t="shared" ref="B105:R105" si="65">B100*$B202*$B194*$B197</f>
        <v>0.012648775</v>
      </c>
      <c r="C105" s="93">
        <f t="shared" si="65"/>
        <v>0.018674245</v>
      </c>
      <c r="D105" s="93">
        <f t="shared" si="65"/>
        <v>0.01414778</v>
      </c>
      <c r="E105" s="93">
        <f t="shared" si="65"/>
        <v>0</v>
      </c>
      <c r="F105" s="93">
        <f t="shared" si="65"/>
        <v>0</v>
      </c>
      <c r="G105" s="93">
        <f t="shared" si="65"/>
        <v>0.014050595</v>
      </c>
      <c r="H105" s="93">
        <f t="shared" si="65"/>
        <v>0.38828058</v>
      </c>
      <c r="I105" s="93">
        <f t="shared" si="65"/>
        <v>0.37953982</v>
      </c>
      <c r="J105" s="93">
        <f t="shared" si="65"/>
        <v>0.402637455</v>
      </c>
      <c r="K105" s="93">
        <f t="shared" si="65"/>
        <v>0.447807865</v>
      </c>
      <c r="L105" s="93">
        <f t="shared" si="65"/>
        <v>0.391096</v>
      </c>
      <c r="M105" s="93">
        <f t="shared" si="65"/>
        <v>0.494851295</v>
      </c>
      <c r="N105" s="93">
        <f t="shared" si="65"/>
        <v>0.121955395</v>
      </c>
      <c r="O105" s="93">
        <f t="shared" si="65"/>
        <v>0.044496005</v>
      </c>
      <c r="P105" s="93">
        <f t="shared" si="65"/>
        <v>0</v>
      </c>
      <c r="Q105" s="93">
        <f t="shared" si="65"/>
        <v>0</v>
      </c>
      <c r="R105" s="93">
        <f t="shared" si="65"/>
        <v>0</v>
      </c>
    </row>
    <row r="106" ht="12.75" customHeight="1">
      <c r="A106" s="120" t="s">
        <v>572</v>
      </c>
      <c r="B106" s="121">
        <f t="shared" ref="B106:R106" si="66">ROUND(B101+B103+B105,1)</f>
        <v>22.7</v>
      </c>
      <c r="C106" s="121">
        <f t="shared" si="66"/>
        <v>33.5</v>
      </c>
      <c r="D106" s="121">
        <f t="shared" si="66"/>
        <v>25.3</v>
      </c>
      <c r="E106" s="121">
        <f t="shared" si="66"/>
        <v>0</v>
      </c>
      <c r="F106" s="121">
        <f t="shared" si="66"/>
        <v>0</v>
      </c>
      <c r="G106" s="121">
        <f t="shared" si="66"/>
        <v>25.2</v>
      </c>
      <c r="H106" s="121">
        <f t="shared" si="66"/>
        <v>696.3</v>
      </c>
      <c r="I106" s="121">
        <f t="shared" si="66"/>
        <v>680.5</v>
      </c>
      <c r="J106" s="121">
        <f t="shared" si="66"/>
        <v>722</v>
      </c>
      <c r="K106" s="121">
        <f t="shared" si="66"/>
        <v>803</v>
      </c>
      <c r="L106" s="121">
        <f t="shared" si="66"/>
        <v>701.3</v>
      </c>
      <c r="M106" s="121">
        <f t="shared" si="66"/>
        <v>887.3</v>
      </c>
      <c r="N106" s="121">
        <f t="shared" si="66"/>
        <v>218.7</v>
      </c>
      <c r="O106" s="121">
        <f t="shared" si="66"/>
        <v>79.8</v>
      </c>
      <c r="P106" s="121">
        <f t="shared" si="66"/>
        <v>0</v>
      </c>
      <c r="Q106" s="121">
        <f t="shared" si="66"/>
        <v>0</v>
      </c>
      <c r="R106" s="121">
        <f t="shared" si="66"/>
        <v>0</v>
      </c>
    </row>
    <row r="107" ht="12.75" customHeight="1">
      <c r="E107" s="25"/>
      <c r="F107" s="25"/>
    </row>
    <row r="108" ht="15.75" customHeight="1">
      <c r="A108" s="92" t="s">
        <v>155</v>
      </c>
      <c r="E108" s="25"/>
      <c r="F108" s="25"/>
    </row>
    <row r="109" ht="12.75" customHeight="1">
      <c r="A109" s="47"/>
      <c r="E109" s="25"/>
      <c r="F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row>
    <row r="110" ht="12.75" customHeight="1">
      <c r="A110" s="65" t="s">
        <v>195</v>
      </c>
      <c r="B110" s="86" t="s">
        <v>76</v>
      </c>
      <c r="C110" s="86" t="s">
        <v>77</v>
      </c>
      <c r="D110" s="86" t="s">
        <v>78</v>
      </c>
      <c r="E110" s="86" t="s">
        <v>79</v>
      </c>
      <c r="F110" s="86" t="s">
        <v>80</v>
      </c>
      <c r="G110" s="86" t="s">
        <v>81</v>
      </c>
      <c r="H110" s="86" t="s">
        <v>82</v>
      </c>
      <c r="I110" s="214" t="s">
        <v>83</v>
      </c>
      <c r="J110" s="214" t="s">
        <v>84</v>
      </c>
      <c r="K110" s="214" t="s">
        <v>66</v>
      </c>
      <c r="L110" s="214" t="s">
        <v>185</v>
      </c>
      <c r="M110" s="214" t="s">
        <v>186</v>
      </c>
      <c r="N110" s="214" t="s">
        <v>187</v>
      </c>
      <c r="O110" s="214" t="s">
        <v>188</v>
      </c>
      <c r="P110" s="96" t="s">
        <v>189</v>
      </c>
      <c r="Q110" s="96" t="s">
        <v>190</v>
      </c>
      <c r="R110" s="96" t="s">
        <v>191</v>
      </c>
      <c r="S110" s="25"/>
      <c r="T110" s="25"/>
      <c r="U110" s="25"/>
      <c r="V110" s="25"/>
      <c r="W110" s="25"/>
      <c r="X110" s="25"/>
      <c r="Y110" s="25"/>
      <c r="Z110" s="25"/>
      <c r="AA110" s="25"/>
      <c r="AB110" s="25"/>
      <c r="AC110" s="25"/>
      <c r="AD110" s="25"/>
      <c r="AE110" s="25"/>
      <c r="AF110" s="25"/>
      <c r="AG110" s="25"/>
      <c r="AH110" s="25"/>
      <c r="AI110" s="25"/>
      <c r="AJ110" s="25"/>
    </row>
    <row r="111" ht="12.75" customHeight="1">
      <c r="A111" s="25" t="s">
        <v>573</v>
      </c>
      <c r="B111" s="97">
        <f t="shared" ref="B111:R111" si="67">B72</f>
        <v>48573.13875</v>
      </c>
      <c r="C111" s="97">
        <f t="shared" si="67"/>
        <v>75482.85249</v>
      </c>
      <c r="D111" s="97">
        <f t="shared" si="67"/>
        <v>53224.57327</v>
      </c>
      <c r="E111" s="97">
        <f t="shared" si="67"/>
        <v>0</v>
      </c>
      <c r="F111" s="97">
        <f t="shared" si="67"/>
        <v>0</v>
      </c>
      <c r="G111" s="97">
        <f t="shared" si="67"/>
        <v>21426.34224</v>
      </c>
      <c r="H111" s="97">
        <f t="shared" si="67"/>
        <v>475794.4479</v>
      </c>
      <c r="I111" s="97">
        <f t="shared" si="67"/>
        <v>465083.6561</v>
      </c>
      <c r="J111" s="97">
        <f t="shared" si="67"/>
        <v>0</v>
      </c>
      <c r="K111" s="97">
        <f t="shared" si="67"/>
        <v>0</v>
      </c>
      <c r="L111" s="97">
        <f t="shared" si="67"/>
        <v>238189.8296</v>
      </c>
      <c r="M111" s="97">
        <f t="shared" si="67"/>
        <v>161199.2418</v>
      </c>
      <c r="N111" s="97">
        <f t="shared" si="67"/>
        <v>0</v>
      </c>
      <c r="O111" s="97">
        <f t="shared" si="67"/>
        <v>949.63671</v>
      </c>
      <c r="P111" s="97">
        <f t="shared" si="67"/>
        <v>17.847791</v>
      </c>
      <c r="Q111" s="97">
        <f t="shared" si="67"/>
        <v>17.435028</v>
      </c>
      <c r="R111" s="97">
        <f t="shared" si="67"/>
        <v>18.168653</v>
      </c>
    </row>
    <row r="112" ht="12.75" customHeight="1">
      <c r="A112" s="25" t="s">
        <v>566</v>
      </c>
      <c r="B112" s="73">
        <f t="shared" ref="B112:R112" si="68">ROUND(B111*$B192,1)</f>
        <v>165.7</v>
      </c>
      <c r="C112" s="73">
        <f t="shared" si="68"/>
        <v>257.6</v>
      </c>
      <c r="D112" s="73">
        <f t="shared" si="68"/>
        <v>181.6</v>
      </c>
      <c r="E112" s="73">
        <f t="shared" si="68"/>
        <v>0</v>
      </c>
      <c r="F112" s="73">
        <f t="shared" si="68"/>
        <v>0</v>
      </c>
      <c r="G112" s="73">
        <f t="shared" si="68"/>
        <v>73.1</v>
      </c>
      <c r="H112" s="73">
        <f t="shared" si="68"/>
        <v>1623.5</v>
      </c>
      <c r="I112" s="73">
        <f t="shared" si="68"/>
        <v>1586.9</v>
      </c>
      <c r="J112" s="73">
        <f t="shared" si="68"/>
        <v>0</v>
      </c>
      <c r="K112" s="73">
        <f t="shared" si="68"/>
        <v>0</v>
      </c>
      <c r="L112" s="73">
        <f t="shared" si="68"/>
        <v>812.7</v>
      </c>
      <c r="M112" s="73">
        <f t="shared" si="68"/>
        <v>550</v>
      </c>
      <c r="N112" s="73">
        <f t="shared" si="68"/>
        <v>0</v>
      </c>
      <c r="O112" s="73">
        <f t="shared" si="68"/>
        <v>3.2</v>
      </c>
      <c r="P112" s="73">
        <f t="shared" si="68"/>
        <v>0.1</v>
      </c>
      <c r="Q112" s="73">
        <f t="shared" si="68"/>
        <v>0.1</v>
      </c>
      <c r="R112" s="73">
        <f t="shared" si="68"/>
        <v>0.1</v>
      </c>
    </row>
    <row r="113" ht="15.0" customHeight="1">
      <c r="A113" s="47" t="s">
        <v>574</v>
      </c>
      <c r="B113" s="78">
        <f t="shared" ref="B113:R113" si="69">ROUND(B111*$B208,1)</f>
        <v>15.3</v>
      </c>
      <c r="C113" s="78">
        <f t="shared" si="69"/>
        <v>23.8</v>
      </c>
      <c r="D113" s="78">
        <f t="shared" si="69"/>
        <v>16.8</v>
      </c>
      <c r="E113" s="78">
        <f t="shared" si="69"/>
        <v>0</v>
      </c>
      <c r="F113" s="78">
        <f t="shared" si="69"/>
        <v>0</v>
      </c>
      <c r="G113" s="78">
        <f t="shared" si="69"/>
        <v>6.8</v>
      </c>
      <c r="H113" s="78">
        <f t="shared" si="69"/>
        <v>150.1</v>
      </c>
      <c r="I113" s="78">
        <f t="shared" si="69"/>
        <v>146.7</v>
      </c>
      <c r="J113" s="78">
        <f t="shared" si="69"/>
        <v>0</v>
      </c>
      <c r="K113" s="78">
        <f t="shared" si="69"/>
        <v>0</v>
      </c>
      <c r="L113" s="78">
        <f t="shared" si="69"/>
        <v>75.2</v>
      </c>
      <c r="M113" s="78">
        <f t="shared" si="69"/>
        <v>50.9</v>
      </c>
      <c r="N113" s="78">
        <f t="shared" si="69"/>
        <v>0</v>
      </c>
      <c r="O113" s="78">
        <f t="shared" si="69"/>
        <v>0.3</v>
      </c>
      <c r="P113" s="78">
        <f t="shared" si="69"/>
        <v>0</v>
      </c>
      <c r="Q113" s="78">
        <f t="shared" si="69"/>
        <v>0</v>
      </c>
      <c r="R113" s="78">
        <f t="shared" si="69"/>
        <v>0</v>
      </c>
    </row>
    <row r="114" ht="15.0" customHeight="1">
      <c r="A114" s="25" t="s">
        <v>575</v>
      </c>
      <c r="B114" s="128">
        <f t="shared" ref="B114:R114" si="70">($B209*B112*$B194)</f>
        <v>0.0001657</v>
      </c>
      <c r="C114" s="128">
        <f t="shared" si="70"/>
        <v>0.0002576</v>
      </c>
      <c r="D114" s="128">
        <f t="shared" si="70"/>
        <v>0.0001816</v>
      </c>
      <c r="E114" s="128">
        <f t="shared" si="70"/>
        <v>0</v>
      </c>
      <c r="F114" s="128">
        <f t="shared" si="70"/>
        <v>0</v>
      </c>
      <c r="G114" s="128">
        <f t="shared" si="70"/>
        <v>0.0000731</v>
      </c>
      <c r="H114" s="128">
        <f t="shared" si="70"/>
        <v>0.0016235</v>
      </c>
      <c r="I114" s="128">
        <f t="shared" si="70"/>
        <v>0.0015869</v>
      </c>
      <c r="J114" s="128">
        <f t="shared" si="70"/>
        <v>0</v>
      </c>
      <c r="K114" s="128">
        <f t="shared" si="70"/>
        <v>0</v>
      </c>
      <c r="L114" s="128">
        <f t="shared" si="70"/>
        <v>0.0008127</v>
      </c>
      <c r="M114" s="128">
        <f t="shared" si="70"/>
        <v>0.00055</v>
      </c>
      <c r="N114" s="128">
        <f t="shared" si="70"/>
        <v>0</v>
      </c>
      <c r="O114" s="128">
        <f t="shared" si="70"/>
        <v>0.0000032</v>
      </c>
      <c r="P114" s="128">
        <f t="shared" si="70"/>
        <v>0.0000001</v>
      </c>
      <c r="Q114" s="128">
        <f t="shared" si="70"/>
        <v>0.0000001</v>
      </c>
      <c r="R114" s="128">
        <f t="shared" si="70"/>
        <v>0.0000001</v>
      </c>
    </row>
    <row r="115" ht="15.0" customHeight="1">
      <c r="A115" s="47" t="s">
        <v>576</v>
      </c>
      <c r="B115" s="93">
        <f t="shared" ref="B115:R115" si="71">B112*$B209*$B194*$B196</f>
        <v>0.0034797</v>
      </c>
      <c r="C115" s="93">
        <f t="shared" si="71"/>
        <v>0.0054096</v>
      </c>
      <c r="D115" s="93">
        <f t="shared" si="71"/>
        <v>0.0038136</v>
      </c>
      <c r="E115" s="93">
        <f t="shared" si="71"/>
        <v>0</v>
      </c>
      <c r="F115" s="93">
        <f t="shared" si="71"/>
        <v>0</v>
      </c>
      <c r="G115" s="93">
        <f t="shared" si="71"/>
        <v>0.0015351</v>
      </c>
      <c r="H115" s="93">
        <f t="shared" si="71"/>
        <v>0.0340935</v>
      </c>
      <c r="I115" s="93">
        <f t="shared" si="71"/>
        <v>0.0333249</v>
      </c>
      <c r="J115" s="93">
        <f t="shared" si="71"/>
        <v>0</v>
      </c>
      <c r="K115" s="93">
        <f t="shared" si="71"/>
        <v>0</v>
      </c>
      <c r="L115" s="93">
        <f t="shared" si="71"/>
        <v>0.0170667</v>
      </c>
      <c r="M115" s="93">
        <f t="shared" si="71"/>
        <v>0.01155</v>
      </c>
      <c r="N115" s="93">
        <f t="shared" si="71"/>
        <v>0</v>
      </c>
      <c r="O115" s="93">
        <f t="shared" si="71"/>
        <v>0.0000672</v>
      </c>
      <c r="P115" s="93">
        <f t="shared" si="71"/>
        <v>0.0000021</v>
      </c>
      <c r="Q115" s="93">
        <f t="shared" si="71"/>
        <v>0.0000021</v>
      </c>
      <c r="R115" s="93">
        <f t="shared" si="71"/>
        <v>0.0000021</v>
      </c>
    </row>
    <row r="116" ht="15.0" customHeight="1">
      <c r="A116" s="25" t="s">
        <v>577</v>
      </c>
      <c r="B116" s="128">
        <f t="shared" ref="B116:R116" si="72">($B210*B112*$B194)</f>
        <v>0.00023198</v>
      </c>
      <c r="C116" s="128">
        <f t="shared" si="72"/>
        <v>0.00036064</v>
      </c>
      <c r="D116" s="128">
        <f t="shared" si="72"/>
        <v>0.00025424</v>
      </c>
      <c r="E116" s="128">
        <f t="shared" si="72"/>
        <v>0</v>
      </c>
      <c r="F116" s="128">
        <f t="shared" si="72"/>
        <v>0</v>
      </c>
      <c r="G116" s="128">
        <f t="shared" si="72"/>
        <v>0.00010234</v>
      </c>
      <c r="H116" s="128">
        <f t="shared" si="72"/>
        <v>0.0022729</v>
      </c>
      <c r="I116" s="128">
        <f t="shared" si="72"/>
        <v>0.00222166</v>
      </c>
      <c r="J116" s="128">
        <f t="shared" si="72"/>
        <v>0</v>
      </c>
      <c r="K116" s="128">
        <f t="shared" si="72"/>
        <v>0</v>
      </c>
      <c r="L116" s="128">
        <f t="shared" si="72"/>
        <v>0.00113778</v>
      </c>
      <c r="M116" s="128">
        <f t="shared" si="72"/>
        <v>0.00077</v>
      </c>
      <c r="N116" s="128">
        <f t="shared" si="72"/>
        <v>0</v>
      </c>
      <c r="O116" s="128">
        <f t="shared" si="72"/>
        <v>0.00000448</v>
      </c>
      <c r="P116" s="128">
        <f t="shared" si="72"/>
        <v>0.00000014</v>
      </c>
      <c r="Q116" s="128">
        <f t="shared" si="72"/>
        <v>0.00000014</v>
      </c>
      <c r="R116" s="128">
        <f t="shared" si="72"/>
        <v>0.00000014</v>
      </c>
    </row>
    <row r="117" ht="15.0" customHeight="1">
      <c r="A117" s="47" t="s">
        <v>578</v>
      </c>
      <c r="B117" s="93">
        <f t="shared" ref="B117:R117" si="73">B112*$B210*$B194*$B197</f>
        <v>0.0719138</v>
      </c>
      <c r="C117" s="93">
        <f t="shared" si="73"/>
        <v>0.1117984</v>
      </c>
      <c r="D117" s="93">
        <f t="shared" si="73"/>
        <v>0.0788144</v>
      </c>
      <c r="E117" s="93">
        <f t="shared" si="73"/>
        <v>0</v>
      </c>
      <c r="F117" s="93">
        <f t="shared" si="73"/>
        <v>0</v>
      </c>
      <c r="G117" s="93">
        <f t="shared" si="73"/>
        <v>0.0317254</v>
      </c>
      <c r="H117" s="93">
        <f t="shared" si="73"/>
        <v>0.704599</v>
      </c>
      <c r="I117" s="93">
        <f t="shared" si="73"/>
        <v>0.6887146</v>
      </c>
      <c r="J117" s="93">
        <f t="shared" si="73"/>
        <v>0</v>
      </c>
      <c r="K117" s="93">
        <f t="shared" si="73"/>
        <v>0</v>
      </c>
      <c r="L117" s="93">
        <f t="shared" si="73"/>
        <v>0.3527118</v>
      </c>
      <c r="M117" s="93">
        <f t="shared" si="73"/>
        <v>0.2387</v>
      </c>
      <c r="N117" s="93">
        <f t="shared" si="73"/>
        <v>0</v>
      </c>
      <c r="O117" s="93">
        <f t="shared" si="73"/>
        <v>0.0013888</v>
      </c>
      <c r="P117" s="93">
        <f t="shared" si="73"/>
        <v>0.0000434</v>
      </c>
      <c r="Q117" s="93">
        <f t="shared" si="73"/>
        <v>0.0000434</v>
      </c>
      <c r="R117" s="93">
        <f t="shared" si="73"/>
        <v>0.0000434</v>
      </c>
    </row>
    <row r="118" ht="12.75" customHeight="1">
      <c r="A118" s="120" t="s">
        <v>579</v>
      </c>
      <c r="B118" s="121">
        <f t="shared" ref="B118:R118" si="74">ROUND(B113+B115+B117,1)</f>
        <v>15.4</v>
      </c>
      <c r="C118" s="121">
        <f t="shared" si="74"/>
        <v>23.9</v>
      </c>
      <c r="D118" s="121">
        <f t="shared" si="74"/>
        <v>16.9</v>
      </c>
      <c r="E118" s="121">
        <f t="shared" si="74"/>
        <v>0</v>
      </c>
      <c r="F118" s="121">
        <f t="shared" si="74"/>
        <v>0</v>
      </c>
      <c r="G118" s="121">
        <f t="shared" si="74"/>
        <v>6.8</v>
      </c>
      <c r="H118" s="121">
        <f t="shared" si="74"/>
        <v>150.8</v>
      </c>
      <c r="I118" s="121">
        <f t="shared" si="74"/>
        <v>147.4</v>
      </c>
      <c r="J118" s="121">
        <f t="shared" si="74"/>
        <v>0</v>
      </c>
      <c r="K118" s="121">
        <f t="shared" si="74"/>
        <v>0</v>
      </c>
      <c r="L118" s="121">
        <f t="shared" si="74"/>
        <v>75.6</v>
      </c>
      <c r="M118" s="121">
        <f t="shared" si="74"/>
        <v>51.2</v>
      </c>
      <c r="N118" s="121">
        <f t="shared" si="74"/>
        <v>0</v>
      </c>
      <c r="O118" s="121">
        <f t="shared" si="74"/>
        <v>0.3</v>
      </c>
      <c r="P118" s="121">
        <f t="shared" si="74"/>
        <v>0</v>
      </c>
      <c r="Q118" s="121">
        <f t="shared" si="74"/>
        <v>0</v>
      </c>
      <c r="R118" s="121">
        <f t="shared" si="74"/>
        <v>0</v>
      </c>
    </row>
    <row r="119" ht="12.75" customHeight="1">
      <c r="A119" s="47"/>
      <c r="E119" s="25"/>
      <c r="F119" s="25"/>
    </row>
    <row r="120" ht="15.75" customHeight="1">
      <c r="A120" s="92" t="s">
        <v>156</v>
      </c>
      <c r="E120" s="25"/>
      <c r="F120" s="25"/>
    </row>
    <row r="121" ht="12.75" customHeight="1">
      <c r="A121" s="47"/>
      <c r="E121" s="78"/>
      <c r="F121" s="78"/>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row>
    <row r="122" ht="12.75" customHeight="1">
      <c r="A122" s="65" t="s">
        <v>195</v>
      </c>
      <c r="B122" s="71" t="s">
        <v>76</v>
      </c>
      <c r="C122" s="71" t="s">
        <v>77</v>
      </c>
      <c r="D122" s="71" t="s">
        <v>78</v>
      </c>
      <c r="E122" s="71" t="s">
        <v>79</v>
      </c>
      <c r="F122" s="71" t="s">
        <v>80</v>
      </c>
      <c r="G122" s="71" t="s">
        <v>81</v>
      </c>
      <c r="H122" s="71" t="s">
        <v>82</v>
      </c>
      <c r="I122" s="95" t="s">
        <v>83</v>
      </c>
      <c r="J122" s="95" t="s">
        <v>84</v>
      </c>
      <c r="K122" s="214" t="s">
        <v>66</v>
      </c>
      <c r="L122" s="214" t="s">
        <v>185</v>
      </c>
      <c r="M122" s="214" t="s">
        <v>186</v>
      </c>
      <c r="N122" s="214" t="s">
        <v>187</v>
      </c>
      <c r="O122" s="214" t="s">
        <v>188</v>
      </c>
      <c r="P122" s="96" t="s">
        <v>189</v>
      </c>
      <c r="Q122" s="96" t="s">
        <v>190</v>
      </c>
      <c r="R122" s="96" t="s">
        <v>191</v>
      </c>
      <c r="S122" s="25"/>
      <c r="T122" s="25"/>
      <c r="U122" s="25"/>
      <c r="V122" s="25"/>
      <c r="W122" s="25"/>
      <c r="X122" s="25"/>
      <c r="Y122" s="25"/>
      <c r="Z122" s="25"/>
      <c r="AA122" s="25"/>
      <c r="AB122" s="25"/>
      <c r="AC122" s="25"/>
      <c r="AD122" s="25"/>
      <c r="AE122" s="25"/>
      <c r="AF122" s="25"/>
      <c r="AG122" s="25"/>
      <c r="AH122" s="25"/>
      <c r="AI122" s="25"/>
      <c r="AJ122" s="25"/>
    </row>
    <row r="123" ht="12.75" customHeight="1">
      <c r="A123" s="25" t="s">
        <v>580</v>
      </c>
      <c r="B123" s="97">
        <f t="shared" ref="B123:R123" si="75">B73</f>
        <v>10223.20187</v>
      </c>
      <c r="C123" s="97">
        <f t="shared" si="75"/>
        <v>17075.8801</v>
      </c>
      <c r="D123" s="97">
        <f t="shared" si="75"/>
        <v>11055.98135</v>
      </c>
      <c r="E123" s="97">
        <f t="shared" si="75"/>
        <v>44325.35</v>
      </c>
      <c r="F123" s="97">
        <f t="shared" si="75"/>
        <v>0</v>
      </c>
      <c r="G123" s="97">
        <f t="shared" si="75"/>
        <v>6371.199</v>
      </c>
      <c r="H123" s="97">
        <f t="shared" si="75"/>
        <v>26644.48908</v>
      </c>
      <c r="I123" s="97">
        <f t="shared" si="75"/>
        <v>236871.3647</v>
      </c>
      <c r="J123" s="97">
        <f t="shared" si="75"/>
        <v>2176683.782</v>
      </c>
      <c r="K123" s="97">
        <f t="shared" si="75"/>
        <v>2234579.794</v>
      </c>
      <c r="L123" s="97">
        <f t="shared" si="75"/>
        <v>23312.19609</v>
      </c>
      <c r="M123" s="97">
        <f t="shared" si="75"/>
        <v>70524.66831</v>
      </c>
      <c r="N123" s="97">
        <f t="shared" si="75"/>
        <v>1011384.25</v>
      </c>
      <c r="O123" s="97">
        <f t="shared" si="75"/>
        <v>43964.6625</v>
      </c>
      <c r="P123" s="97">
        <f t="shared" si="75"/>
        <v>0</v>
      </c>
      <c r="Q123" s="97">
        <f t="shared" si="75"/>
        <v>0</v>
      </c>
      <c r="R123" s="97">
        <f t="shared" si="75"/>
        <v>0</v>
      </c>
      <c r="S123" s="25"/>
      <c r="T123" s="25"/>
      <c r="U123" s="25"/>
      <c r="V123" s="25"/>
      <c r="W123" s="25"/>
      <c r="X123" s="25"/>
      <c r="Y123" s="25"/>
      <c r="Z123" s="25"/>
      <c r="AA123" s="25"/>
      <c r="AB123" s="25"/>
      <c r="AC123" s="25"/>
      <c r="AD123" s="25"/>
      <c r="AE123" s="25"/>
      <c r="AF123" s="25"/>
      <c r="AG123" s="25"/>
      <c r="AH123" s="25"/>
      <c r="AI123" s="25"/>
      <c r="AJ123" s="25"/>
    </row>
    <row r="124" ht="12.75" customHeight="1">
      <c r="A124" s="25" t="s">
        <v>566</v>
      </c>
      <c r="B124" s="73">
        <f t="shared" ref="B124:R124" si="76">ROUND(B123*$B192,1)</f>
        <v>34.9</v>
      </c>
      <c r="C124" s="73">
        <f t="shared" si="76"/>
        <v>58.3</v>
      </c>
      <c r="D124" s="73">
        <f t="shared" si="76"/>
        <v>37.7</v>
      </c>
      <c r="E124" s="73">
        <f t="shared" si="76"/>
        <v>151.2</v>
      </c>
      <c r="F124" s="73">
        <f t="shared" si="76"/>
        <v>0</v>
      </c>
      <c r="G124" s="73">
        <f t="shared" si="76"/>
        <v>21.7</v>
      </c>
      <c r="H124" s="73">
        <f t="shared" si="76"/>
        <v>90.9</v>
      </c>
      <c r="I124" s="73">
        <f t="shared" si="76"/>
        <v>808.2</v>
      </c>
      <c r="J124" s="73">
        <f t="shared" si="76"/>
        <v>7427.1</v>
      </c>
      <c r="K124" s="73">
        <f t="shared" si="76"/>
        <v>7624.6</v>
      </c>
      <c r="L124" s="73">
        <f t="shared" si="76"/>
        <v>79.5</v>
      </c>
      <c r="M124" s="73">
        <f t="shared" si="76"/>
        <v>240.6</v>
      </c>
      <c r="N124" s="73">
        <f t="shared" si="76"/>
        <v>3450.9</v>
      </c>
      <c r="O124" s="73">
        <f t="shared" si="76"/>
        <v>150</v>
      </c>
      <c r="P124" s="73">
        <f t="shared" si="76"/>
        <v>0</v>
      </c>
      <c r="Q124" s="73">
        <f t="shared" si="76"/>
        <v>0</v>
      </c>
      <c r="R124" s="73">
        <f t="shared" si="76"/>
        <v>0</v>
      </c>
      <c r="S124" s="25"/>
      <c r="T124" s="25"/>
      <c r="U124" s="25"/>
      <c r="V124" s="25"/>
      <c r="W124" s="25"/>
      <c r="X124" s="25"/>
      <c r="Y124" s="25"/>
      <c r="Z124" s="25"/>
      <c r="AA124" s="25"/>
      <c r="AB124" s="25"/>
      <c r="AC124" s="25"/>
      <c r="AD124" s="25"/>
      <c r="AE124" s="25"/>
      <c r="AF124" s="25"/>
      <c r="AG124" s="25"/>
      <c r="AH124" s="25"/>
      <c r="AI124" s="25"/>
      <c r="AJ124" s="25"/>
    </row>
    <row r="125" ht="15.0" customHeight="1">
      <c r="A125" s="47" t="s">
        <v>581</v>
      </c>
      <c r="B125" s="78">
        <f t="shared" ref="B125:R125" si="77">ROUND(B123*$B216,1)</f>
        <v>2.5</v>
      </c>
      <c r="C125" s="78">
        <f t="shared" si="77"/>
        <v>4.2</v>
      </c>
      <c r="D125" s="78">
        <f t="shared" si="77"/>
        <v>2.7</v>
      </c>
      <c r="E125" s="78">
        <f t="shared" si="77"/>
        <v>10.9</v>
      </c>
      <c r="F125" s="78">
        <f t="shared" si="77"/>
        <v>0</v>
      </c>
      <c r="G125" s="78">
        <f t="shared" si="77"/>
        <v>1.6</v>
      </c>
      <c r="H125" s="78">
        <f t="shared" si="77"/>
        <v>6.6</v>
      </c>
      <c r="I125" s="78">
        <f t="shared" si="77"/>
        <v>58.5</v>
      </c>
      <c r="J125" s="78">
        <f t="shared" si="77"/>
        <v>537.5</v>
      </c>
      <c r="K125" s="78">
        <f t="shared" si="77"/>
        <v>551.8</v>
      </c>
      <c r="L125" s="78">
        <f t="shared" si="77"/>
        <v>5.8</v>
      </c>
      <c r="M125" s="78">
        <f t="shared" si="77"/>
        <v>17.4</v>
      </c>
      <c r="N125" s="78">
        <f t="shared" si="77"/>
        <v>249.7</v>
      </c>
      <c r="O125" s="78">
        <f t="shared" si="77"/>
        <v>10.9</v>
      </c>
      <c r="P125" s="78">
        <f t="shared" si="77"/>
        <v>0</v>
      </c>
      <c r="Q125" s="78">
        <f t="shared" si="77"/>
        <v>0</v>
      </c>
      <c r="R125" s="78">
        <f t="shared" si="77"/>
        <v>0</v>
      </c>
      <c r="S125" s="25"/>
      <c r="T125" s="25"/>
      <c r="U125" s="25"/>
      <c r="V125" s="25"/>
      <c r="W125" s="25"/>
      <c r="X125" s="25"/>
      <c r="Y125" s="25"/>
      <c r="Z125" s="25"/>
      <c r="AA125" s="25"/>
      <c r="AB125" s="25"/>
      <c r="AC125" s="25"/>
      <c r="AD125" s="25"/>
      <c r="AE125" s="25"/>
      <c r="AF125" s="25"/>
      <c r="AG125" s="25"/>
      <c r="AH125" s="25"/>
      <c r="AI125" s="25"/>
      <c r="AJ125" s="25"/>
    </row>
    <row r="126" ht="15.0" customHeight="1">
      <c r="A126" s="25" t="s">
        <v>582</v>
      </c>
      <c r="B126" s="128">
        <f t="shared" ref="B126:R126" si="78">($B217*B124*$B194)</f>
        <v>0.000105049</v>
      </c>
      <c r="C126" s="128">
        <f t="shared" si="78"/>
        <v>0.000175483</v>
      </c>
      <c r="D126" s="128">
        <f t="shared" si="78"/>
        <v>0.000113477</v>
      </c>
      <c r="E126" s="128">
        <f t="shared" si="78"/>
        <v>0.000455112</v>
      </c>
      <c r="F126" s="128">
        <f t="shared" si="78"/>
        <v>0</v>
      </c>
      <c r="G126" s="128">
        <f t="shared" si="78"/>
        <v>0.000065317</v>
      </c>
      <c r="H126" s="128">
        <f t="shared" si="78"/>
        <v>0.000273609</v>
      </c>
      <c r="I126" s="128">
        <f t="shared" si="78"/>
        <v>0.002432682</v>
      </c>
      <c r="J126" s="128">
        <f t="shared" si="78"/>
        <v>0.022355571</v>
      </c>
      <c r="K126" s="128">
        <f t="shared" si="78"/>
        <v>0.022950046</v>
      </c>
      <c r="L126" s="128">
        <f t="shared" si="78"/>
        <v>0.000239295</v>
      </c>
      <c r="M126" s="128">
        <f t="shared" si="78"/>
        <v>0.000724206</v>
      </c>
      <c r="N126" s="128">
        <f t="shared" si="78"/>
        <v>0.010387209</v>
      </c>
      <c r="O126" s="128">
        <f t="shared" si="78"/>
        <v>0.0004515</v>
      </c>
      <c r="P126" s="128">
        <f t="shared" si="78"/>
        <v>0</v>
      </c>
      <c r="Q126" s="128">
        <f t="shared" si="78"/>
        <v>0</v>
      </c>
      <c r="R126" s="128">
        <f t="shared" si="78"/>
        <v>0</v>
      </c>
      <c r="S126" s="25"/>
      <c r="T126" s="25"/>
      <c r="U126" s="25"/>
      <c r="V126" s="25"/>
      <c r="W126" s="25"/>
      <c r="X126" s="25"/>
      <c r="Y126" s="25"/>
      <c r="Z126" s="25"/>
      <c r="AA126" s="25"/>
      <c r="AB126" s="25"/>
      <c r="AC126" s="25"/>
      <c r="AD126" s="25"/>
      <c r="AE126" s="25"/>
      <c r="AF126" s="25"/>
      <c r="AG126" s="25"/>
      <c r="AH126" s="25"/>
      <c r="AI126" s="25"/>
      <c r="AJ126" s="25"/>
    </row>
    <row r="127" ht="15.0" customHeight="1">
      <c r="A127" s="47" t="s">
        <v>583</v>
      </c>
      <c r="B127" s="93">
        <f t="shared" ref="B127:R127" si="79">B124*$B217*$B194*$B196</f>
        <v>0.002206029</v>
      </c>
      <c r="C127" s="93">
        <f t="shared" si="79"/>
        <v>0.003685143</v>
      </c>
      <c r="D127" s="93">
        <f t="shared" si="79"/>
        <v>0.002383017</v>
      </c>
      <c r="E127" s="93">
        <f t="shared" si="79"/>
        <v>0.009557352</v>
      </c>
      <c r="F127" s="93">
        <f t="shared" si="79"/>
        <v>0</v>
      </c>
      <c r="G127" s="93">
        <f t="shared" si="79"/>
        <v>0.001371657</v>
      </c>
      <c r="H127" s="93">
        <f t="shared" si="79"/>
        <v>0.005745789</v>
      </c>
      <c r="I127" s="93">
        <f t="shared" si="79"/>
        <v>0.051086322</v>
      </c>
      <c r="J127" s="93">
        <f t="shared" si="79"/>
        <v>0.469466991</v>
      </c>
      <c r="K127" s="93">
        <f t="shared" si="79"/>
        <v>0.481950966</v>
      </c>
      <c r="L127" s="93">
        <f t="shared" si="79"/>
        <v>0.005025195</v>
      </c>
      <c r="M127" s="93">
        <f t="shared" si="79"/>
        <v>0.015208326</v>
      </c>
      <c r="N127" s="93">
        <f t="shared" si="79"/>
        <v>0.218131389</v>
      </c>
      <c r="O127" s="93">
        <f t="shared" si="79"/>
        <v>0.0094815</v>
      </c>
      <c r="P127" s="93">
        <f t="shared" si="79"/>
        <v>0</v>
      </c>
      <c r="Q127" s="93">
        <f t="shared" si="79"/>
        <v>0</v>
      </c>
      <c r="R127" s="93">
        <f t="shared" si="79"/>
        <v>0</v>
      </c>
      <c r="S127" s="25"/>
      <c r="T127" s="25"/>
      <c r="U127" s="25"/>
      <c r="V127" s="25"/>
      <c r="W127" s="25"/>
      <c r="X127" s="25"/>
      <c r="Y127" s="25"/>
      <c r="Z127" s="25"/>
      <c r="AA127" s="25"/>
      <c r="AB127" s="25"/>
      <c r="AC127" s="25"/>
      <c r="AD127" s="25"/>
      <c r="AE127" s="25"/>
      <c r="AF127" s="25"/>
      <c r="AG127" s="25"/>
      <c r="AH127" s="25"/>
      <c r="AI127" s="25"/>
      <c r="AJ127" s="25"/>
    </row>
    <row r="128" ht="15.0" customHeight="1">
      <c r="A128" s="25" t="s">
        <v>584</v>
      </c>
      <c r="B128" s="128">
        <f t="shared" ref="B128:R128" si="80">($B218*B124*$B194)</f>
        <v>0.0000209749</v>
      </c>
      <c r="C128" s="128">
        <f t="shared" si="80"/>
        <v>0.0000350383</v>
      </c>
      <c r="D128" s="128">
        <f t="shared" si="80"/>
        <v>0.0000226577</v>
      </c>
      <c r="E128" s="128">
        <f t="shared" si="80"/>
        <v>0.0000908712</v>
      </c>
      <c r="F128" s="128">
        <f t="shared" si="80"/>
        <v>0</v>
      </c>
      <c r="G128" s="128">
        <f t="shared" si="80"/>
        <v>0.0000130417</v>
      </c>
      <c r="H128" s="128">
        <f t="shared" si="80"/>
        <v>0.0000546309</v>
      </c>
      <c r="I128" s="128">
        <f t="shared" si="80"/>
        <v>0.0004857282</v>
      </c>
      <c r="J128" s="128">
        <f t="shared" si="80"/>
        <v>0.0044636871</v>
      </c>
      <c r="K128" s="128">
        <f t="shared" si="80"/>
        <v>0.0045823846</v>
      </c>
      <c r="L128" s="128">
        <f t="shared" si="80"/>
        <v>0.0000477795</v>
      </c>
      <c r="M128" s="128">
        <f t="shared" si="80"/>
        <v>0.0001446006</v>
      </c>
      <c r="N128" s="128">
        <f t="shared" si="80"/>
        <v>0.0020739909</v>
      </c>
      <c r="O128" s="128">
        <f t="shared" si="80"/>
        <v>0.00009015</v>
      </c>
      <c r="P128" s="128">
        <f t="shared" si="80"/>
        <v>0</v>
      </c>
      <c r="Q128" s="128">
        <f t="shared" si="80"/>
        <v>0</v>
      </c>
      <c r="R128" s="128">
        <f t="shared" si="80"/>
        <v>0</v>
      </c>
    </row>
    <row r="129" ht="15.0" customHeight="1">
      <c r="A129" s="47" t="s">
        <v>585</v>
      </c>
      <c r="B129" s="93">
        <f t="shared" ref="B129:R129" si="81">B124*$B218*$B194*$B197</f>
        <v>0.006502219</v>
      </c>
      <c r="C129" s="93">
        <f t="shared" si="81"/>
        <v>0.010861873</v>
      </c>
      <c r="D129" s="93">
        <f t="shared" si="81"/>
        <v>0.007023887</v>
      </c>
      <c r="E129" s="93">
        <f t="shared" si="81"/>
        <v>0.028170072</v>
      </c>
      <c r="F129" s="93">
        <f t="shared" si="81"/>
        <v>0</v>
      </c>
      <c r="G129" s="93">
        <f t="shared" si="81"/>
        <v>0.004042927</v>
      </c>
      <c r="H129" s="93">
        <f t="shared" si="81"/>
        <v>0.016935579</v>
      </c>
      <c r="I129" s="93">
        <f t="shared" si="81"/>
        <v>0.150575742</v>
      </c>
      <c r="J129" s="93">
        <f t="shared" si="81"/>
        <v>1.383743001</v>
      </c>
      <c r="K129" s="93">
        <f t="shared" si="81"/>
        <v>1.420539226</v>
      </c>
      <c r="L129" s="93">
        <f t="shared" si="81"/>
        <v>0.014811645</v>
      </c>
      <c r="M129" s="93">
        <f t="shared" si="81"/>
        <v>0.044826186</v>
      </c>
      <c r="N129" s="93">
        <f t="shared" si="81"/>
        <v>0.642937179</v>
      </c>
      <c r="O129" s="93">
        <f t="shared" si="81"/>
        <v>0.0279465</v>
      </c>
      <c r="P129" s="93">
        <f t="shared" si="81"/>
        <v>0</v>
      </c>
      <c r="Q129" s="93">
        <f t="shared" si="81"/>
        <v>0</v>
      </c>
      <c r="R129" s="93">
        <f t="shared" si="81"/>
        <v>0</v>
      </c>
    </row>
    <row r="130" ht="12.75" customHeight="1">
      <c r="A130" s="120" t="s">
        <v>586</v>
      </c>
      <c r="B130" s="121">
        <f t="shared" ref="B130:R130" si="82">ROUND(B125+B127+B129,1)</f>
        <v>2.5</v>
      </c>
      <c r="C130" s="121">
        <f t="shared" si="82"/>
        <v>4.2</v>
      </c>
      <c r="D130" s="121">
        <f t="shared" si="82"/>
        <v>2.7</v>
      </c>
      <c r="E130" s="121">
        <f t="shared" si="82"/>
        <v>10.9</v>
      </c>
      <c r="F130" s="121">
        <f t="shared" si="82"/>
        <v>0</v>
      </c>
      <c r="G130" s="121">
        <f t="shared" si="82"/>
        <v>1.6</v>
      </c>
      <c r="H130" s="121">
        <f t="shared" si="82"/>
        <v>6.6</v>
      </c>
      <c r="I130" s="121">
        <f t="shared" si="82"/>
        <v>58.7</v>
      </c>
      <c r="J130" s="121">
        <f t="shared" si="82"/>
        <v>539.4</v>
      </c>
      <c r="K130" s="121">
        <f t="shared" si="82"/>
        <v>553.7</v>
      </c>
      <c r="L130" s="121">
        <f t="shared" si="82"/>
        <v>5.8</v>
      </c>
      <c r="M130" s="121">
        <f t="shared" si="82"/>
        <v>17.5</v>
      </c>
      <c r="N130" s="121">
        <f t="shared" si="82"/>
        <v>250.6</v>
      </c>
      <c r="O130" s="121">
        <f t="shared" si="82"/>
        <v>10.9</v>
      </c>
      <c r="P130" s="121">
        <f t="shared" si="82"/>
        <v>0</v>
      </c>
      <c r="Q130" s="121">
        <f t="shared" si="82"/>
        <v>0</v>
      </c>
      <c r="R130" s="121">
        <f t="shared" si="82"/>
        <v>0</v>
      </c>
    </row>
    <row r="131" ht="12.75" customHeight="1">
      <c r="A131" s="47"/>
      <c r="B131" s="126"/>
      <c r="E131" s="25"/>
      <c r="F131" s="25"/>
    </row>
    <row r="132" ht="15.75" customHeight="1">
      <c r="A132" s="92" t="s">
        <v>157</v>
      </c>
      <c r="E132" s="25"/>
      <c r="F132" s="25"/>
    </row>
    <row r="133" ht="12.75" customHeight="1">
      <c r="A133" s="47"/>
      <c r="E133" s="78"/>
      <c r="F133" s="78"/>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row>
    <row r="134" ht="12.75" customHeight="1">
      <c r="A134" s="65" t="s">
        <v>195</v>
      </c>
      <c r="B134" s="71" t="s">
        <v>76</v>
      </c>
      <c r="C134" s="71" t="s">
        <v>77</v>
      </c>
      <c r="D134" s="71" t="s">
        <v>78</v>
      </c>
      <c r="E134" s="71" t="s">
        <v>79</v>
      </c>
      <c r="F134" s="71" t="s">
        <v>80</v>
      </c>
      <c r="G134" s="71" t="s">
        <v>81</v>
      </c>
      <c r="H134" s="71" t="s">
        <v>82</v>
      </c>
      <c r="I134" s="95" t="s">
        <v>83</v>
      </c>
      <c r="J134" s="95" t="s">
        <v>84</v>
      </c>
      <c r="K134" s="214" t="s">
        <v>66</v>
      </c>
      <c r="L134" s="214" t="s">
        <v>185</v>
      </c>
      <c r="M134" s="214" t="s">
        <v>186</v>
      </c>
      <c r="N134" s="214" t="s">
        <v>187</v>
      </c>
      <c r="O134" s="214" t="s">
        <v>188</v>
      </c>
      <c r="P134" s="96" t="s">
        <v>189</v>
      </c>
      <c r="Q134" s="96" t="s">
        <v>190</v>
      </c>
      <c r="R134" s="96" t="s">
        <v>191</v>
      </c>
      <c r="S134" s="25"/>
      <c r="T134" s="25"/>
      <c r="U134" s="25"/>
      <c r="V134" s="25"/>
      <c r="W134" s="25"/>
      <c r="X134" s="25"/>
      <c r="Y134" s="25"/>
      <c r="Z134" s="25"/>
      <c r="AA134" s="25"/>
      <c r="AB134" s="25"/>
      <c r="AC134" s="25"/>
      <c r="AD134" s="25"/>
      <c r="AE134" s="25"/>
      <c r="AF134" s="25"/>
      <c r="AG134" s="25"/>
      <c r="AH134" s="25"/>
      <c r="AI134" s="25"/>
      <c r="AJ134" s="25"/>
    </row>
    <row r="135" ht="12.75" customHeight="1">
      <c r="A135" s="25" t="s">
        <v>580</v>
      </c>
      <c r="B135" s="97">
        <f t="shared" ref="B135:R135" si="83">B74</f>
        <v>63485.56645</v>
      </c>
      <c r="C135" s="97">
        <f t="shared" si="83"/>
        <v>129287.2387</v>
      </c>
      <c r="D135" s="97">
        <f t="shared" si="83"/>
        <v>76920.85552</v>
      </c>
      <c r="E135" s="97">
        <f t="shared" si="83"/>
        <v>0</v>
      </c>
      <c r="F135" s="97">
        <f t="shared" si="83"/>
        <v>22004.233</v>
      </c>
      <c r="G135" s="97">
        <f t="shared" si="83"/>
        <v>14866.131</v>
      </c>
      <c r="H135" s="97">
        <f t="shared" si="83"/>
        <v>19411.3782</v>
      </c>
      <c r="I135" s="97">
        <f t="shared" si="83"/>
        <v>18974.4012</v>
      </c>
      <c r="J135" s="97">
        <f t="shared" si="83"/>
        <v>0</v>
      </c>
      <c r="K135" s="97">
        <f t="shared" si="83"/>
        <v>0</v>
      </c>
      <c r="L135" s="97">
        <f t="shared" si="83"/>
        <v>0</v>
      </c>
      <c r="M135" s="97">
        <f t="shared" si="83"/>
        <v>0</v>
      </c>
      <c r="N135" s="97">
        <f t="shared" si="83"/>
        <v>0</v>
      </c>
      <c r="O135" s="97">
        <f t="shared" si="83"/>
        <v>0</v>
      </c>
      <c r="P135" s="97">
        <f t="shared" si="83"/>
        <v>0</v>
      </c>
      <c r="Q135" s="97">
        <f t="shared" si="83"/>
        <v>0</v>
      </c>
      <c r="R135" s="97">
        <f t="shared" si="83"/>
        <v>0</v>
      </c>
    </row>
    <row r="136" ht="12.75" customHeight="1">
      <c r="A136" s="25" t="s">
        <v>566</v>
      </c>
      <c r="B136" s="73">
        <f t="shared" ref="B136:R136" si="84">ROUND(B135*$B192,1)</f>
        <v>216.6</v>
      </c>
      <c r="C136" s="73">
        <f t="shared" si="84"/>
        <v>441.1</v>
      </c>
      <c r="D136" s="73">
        <f t="shared" si="84"/>
        <v>262.5</v>
      </c>
      <c r="E136" s="73">
        <f t="shared" si="84"/>
        <v>0</v>
      </c>
      <c r="F136" s="73">
        <f t="shared" si="84"/>
        <v>75.1</v>
      </c>
      <c r="G136" s="73">
        <f t="shared" si="84"/>
        <v>50.7</v>
      </c>
      <c r="H136" s="73">
        <f t="shared" si="84"/>
        <v>66.2</v>
      </c>
      <c r="I136" s="73">
        <f t="shared" si="84"/>
        <v>64.7</v>
      </c>
      <c r="J136" s="73">
        <f t="shared" si="84"/>
        <v>0</v>
      </c>
      <c r="K136" s="73">
        <f t="shared" si="84"/>
        <v>0</v>
      </c>
      <c r="L136" s="73">
        <f t="shared" si="84"/>
        <v>0</v>
      </c>
      <c r="M136" s="73">
        <f t="shared" si="84"/>
        <v>0</v>
      </c>
      <c r="N136" s="73">
        <f t="shared" si="84"/>
        <v>0</v>
      </c>
      <c r="O136" s="73">
        <f t="shared" si="84"/>
        <v>0</v>
      </c>
      <c r="P136" s="73">
        <f t="shared" si="84"/>
        <v>0</v>
      </c>
      <c r="Q136" s="73">
        <f t="shared" si="84"/>
        <v>0</v>
      </c>
      <c r="R136" s="73">
        <f t="shared" si="84"/>
        <v>0</v>
      </c>
    </row>
    <row r="137" ht="15.0" customHeight="1">
      <c r="A137" s="47" t="s">
        <v>587</v>
      </c>
      <c r="B137" s="78">
        <f t="shared" ref="B137:R137" si="85">ROUND(B135*$B224,1)</f>
        <v>16.9</v>
      </c>
      <c r="C137" s="78">
        <f t="shared" si="85"/>
        <v>34.4</v>
      </c>
      <c r="D137" s="78">
        <f t="shared" si="85"/>
        <v>20.5</v>
      </c>
      <c r="E137" s="78">
        <f t="shared" si="85"/>
        <v>0</v>
      </c>
      <c r="F137" s="78">
        <f t="shared" si="85"/>
        <v>5.9</v>
      </c>
      <c r="G137" s="78">
        <f t="shared" si="85"/>
        <v>4</v>
      </c>
      <c r="H137" s="78">
        <f t="shared" si="85"/>
        <v>5.2</v>
      </c>
      <c r="I137" s="78">
        <f t="shared" si="85"/>
        <v>5</v>
      </c>
      <c r="J137" s="78">
        <f t="shared" si="85"/>
        <v>0</v>
      </c>
      <c r="K137" s="78">
        <f t="shared" si="85"/>
        <v>0</v>
      </c>
      <c r="L137" s="78">
        <f t="shared" si="85"/>
        <v>0</v>
      </c>
      <c r="M137" s="78">
        <f t="shared" si="85"/>
        <v>0</v>
      </c>
      <c r="N137" s="78">
        <f t="shared" si="85"/>
        <v>0</v>
      </c>
      <c r="O137" s="78">
        <f t="shared" si="85"/>
        <v>0</v>
      </c>
      <c r="P137" s="78">
        <f t="shared" si="85"/>
        <v>0</v>
      </c>
      <c r="Q137" s="78">
        <f t="shared" si="85"/>
        <v>0</v>
      </c>
      <c r="R137" s="78">
        <f t="shared" si="85"/>
        <v>0</v>
      </c>
    </row>
    <row r="138" ht="15.0" customHeight="1">
      <c r="A138" s="25" t="s">
        <v>588</v>
      </c>
      <c r="B138" s="128">
        <f t="shared" ref="B138:R138" si="86">($B225*B136*$B194)</f>
        <v>0.000651966</v>
      </c>
      <c r="C138" s="128">
        <f t="shared" si="86"/>
        <v>0.001327711</v>
      </c>
      <c r="D138" s="128">
        <f t="shared" si="86"/>
        <v>0.000790125</v>
      </c>
      <c r="E138" s="128">
        <f t="shared" si="86"/>
        <v>0</v>
      </c>
      <c r="F138" s="128">
        <f t="shared" si="86"/>
        <v>0.000226051</v>
      </c>
      <c r="G138" s="128">
        <f t="shared" si="86"/>
        <v>0.000152607</v>
      </c>
      <c r="H138" s="128">
        <f t="shared" si="86"/>
        <v>0.000199262</v>
      </c>
      <c r="I138" s="128">
        <f t="shared" si="86"/>
        <v>0.000194747</v>
      </c>
      <c r="J138" s="128">
        <f t="shared" si="86"/>
        <v>0</v>
      </c>
      <c r="K138" s="128">
        <f t="shared" si="86"/>
        <v>0</v>
      </c>
      <c r="L138" s="128">
        <f t="shared" si="86"/>
        <v>0</v>
      </c>
      <c r="M138" s="128">
        <f t="shared" si="86"/>
        <v>0</v>
      </c>
      <c r="N138" s="128">
        <f t="shared" si="86"/>
        <v>0</v>
      </c>
      <c r="O138" s="128">
        <f t="shared" si="86"/>
        <v>0</v>
      </c>
      <c r="P138" s="128">
        <f t="shared" si="86"/>
        <v>0</v>
      </c>
      <c r="Q138" s="128">
        <f t="shared" si="86"/>
        <v>0</v>
      </c>
      <c r="R138" s="128">
        <f t="shared" si="86"/>
        <v>0</v>
      </c>
    </row>
    <row r="139" ht="15.0" customHeight="1">
      <c r="A139" s="47" t="s">
        <v>589</v>
      </c>
      <c r="B139" s="93">
        <f t="shared" ref="B139:R139" si="87">B136*$B225*$B194*$B196</f>
        <v>0.013691286</v>
      </c>
      <c r="C139" s="93">
        <f t="shared" si="87"/>
        <v>0.027881931</v>
      </c>
      <c r="D139" s="93">
        <f t="shared" si="87"/>
        <v>0.016592625</v>
      </c>
      <c r="E139" s="93">
        <f t="shared" si="87"/>
        <v>0</v>
      </c>
      <c r="F139" s="93">
        <f t="shared" si="87"/>
        <v>0.004747071</v>
      </c>
      <c r="G139" s="93">
        <f t="shared" si="87"/>
        <v>0.003204747</v>
      </c>
      <c r="H139" s="93">
        <f t="shared" si="87"/>
        <v>0.004184502</v>
      </c>
      <c r="I139" s="93">
        <f t="shared" si="87"/>
        <v>0.004089687</v>
      </c>
      <c r="J139" s="93">
        <f t="shared" si="87"/>
        <v>0</v>
      </c>
      <c r="K139" s="93">
        <f t="shared" si="87"/>
        <v>0</v>
      </c>
      <c r="L139" s="93">
        <f t="shared" si="87"/>
        <v>0</v>
      </c>
      <c r="M139" s="93">
        <f t="shared" si="87"/>
        <v>0</v>
      </c>
      <c r="N139" s="93">
        <f t="shared" si="87"/>
        <v>0</v>
      </c>
      <c r="O139" s="93">
        <f t="shared" si="87"/>
        <v>0</v>
      </c>
      <c r="P139" s="93">
        <f t="shared" si="87"/>
        <v>0</v>
      </c>
      <c r="Q139" s="93">
        <f t="shared" si="87"/>
        <v>0</v>
      </c>
      <c r="R139" s="93">
        <f t="shared" si="87"/>
        <v>0</v>
      </c>
    </row>
    <row r="140" ht="15.0" customHeight="1">
      <c r="A140" s="25" t="s">
        <v>590</v>
      </c>
      <c r="B140" s="128">
        <f t="shared" ref="B140:R140" si="88">($B226*B136*$B194)</f>
        <v>0.0001301766</v>
      </c>
      <c r="C140" s="128">
        <f t="shared" si="88"/>
        <v>0.0002651011</v>
      </c>
      <c r="D140" s="128">
        <f t="shared" si="88"/>
        <v>0.0001577625</v>
      </c>
      <c r="E140" s="128">
        <f t="shared" si="88"/>
        <v>0</v>
      </c>
      <c r="F140" s="128">
        <f t="shared" si="88"/>
        <v>0.0000451351</v>
      </c>
      <c r="G140" s="128">
        <f t="shared" si="88"/>
        <v>0.0000304707</v>
      </c>
      <c r="H140" s="128">
        <f t="shared" si="88"/>
        <v>0.0000397862</v>
      </c>
      <c r="I140" s="128">
        <f t="shared" si="88"/>
        <v>0.0000388847</v>
      </c>
      <c r="J140" s="128">
        <f t="shared" si="88"/>
        <v>0</v>
      </c>
      <c r="K140" s="128">
        <f t="shared" si="88"/>
        <v>0</v>
      </c>
      <c r="L140" s="128">
        <f t="shared" si="88"/>
        <v>0</v>
      </c>
      <c r="M140" s="128">
        <f t="shared" si="88"/>
        <v>0</v>
      </c>
      <c r="N140" s="128">
        <f t="shared" si="88"/>
        <v>0</v>
      </c>
      <c r="O140" s="128">
        <f t="shared" si="88"/>
        <v>0</v>
      </c>
      <c r="P140" s="128">
        <f t="shared" si="88"/>
        <v>0</v>
      </c>
      <c r="Q140" s="128">
        <f t="shared" si="88"/>
        <v>0</v>
      </c>
      <c r="R140" s="128">
        <f t="shared" si="88"/>
        <v>0</v>
      </c>
    </row>
    <row r="141" ht="15.0" customHeight="1">
      <c r="A141" s="47" t="s">
        <v>591</v>
      </c>
      <c r="B141" s="93">
        <f t="shared" ref="B141:R141" si="89">B136*$B226*$B194*$B197</f>
        <v>0.040354746</v>
      </c>
      <c r="C141" s="93">
        <f t="shared" si="89"/>
        <v>0.082181341</v>
      </c>
      <c r="D141" s="93">
        <f t="shared" si="89"/>
        <v>0.048906375</v>
      </c>
      <c r="E141" s="93">
        <f t="shared" si="89"/>
        <v>0</v>
      </c>
      <c r="F141" s="93">
        <f t="shared" si="89"/>
        <v>0.013991881</v>
      </c>
      <c r="G141" s="93">
        <f t="shared" si="89"/>
        <v>0.009445917</v>
      </c>
      <c r="H141" s="93">
        <f t="shared" si="89"/>
        <v>0.012333722</v>
      </c>
      <c r="I141" s="93">
        <f t="shared" si="89"/>
        <v>0.012054257</v>
      </c>
      <c r="J141" s="93">
        <f t="shared" si="89"/>
        <v>0</v>
      </c>
      <c r="K141" s="93">
        <f t="shared" si="89"/>
        <v>0</v>
      </c>
      <c r="L141" s="93">
        <f t="shared" si="89"/>
        <v>0</v>
      </c>
      <c r="M141" s="93">
        <f t="shared" si="89"/>
        <v>0</v>
      </c>
      <c r="N141" s="93">
        <f t="shared" si="89"/>
        <v>0</v>
      </c>
      <c r="O141" s="93">
        <f t="shared" si="89"/>
        <v>0</v>
      </c>
      <c r="P141" s="93">
        <f t="shared" si="89"/>
        <v>0</v>
      </c>
      <c r="Q141" s="93">
        <f t="shared" si="89"/>
        <v>0</v>
      </c>
      <c r="R141" s="93">
        <f t="shared" si="89"/>
        <v>0</v>
      </c>
    </row>
    <row r="142" ht="12.75" customHeight="1">
      <c r="A142" s="120" t="s">
        <v>592</v>
      </c>
      <c r="B142" s="121">
        <f t="shared" ref="B142:R142" si="90">ROUND(B137+B139+B141,1)</f>
        <v>17</v>
      </c>
      <c r="C142" s="121">
        <f t="shared" si="90"/>
        <v>34.5</v>
      </c>
      <c r="D142" s="121">
        <f t="shared" si="90"/>
        <v>20.6</v>
      </c>
      <c r="E142" s="121">
        <f t="shared" si="90"/>
        <v>0</v>
      </c>
      <c r="F142" s="121">
        <f t="shared" si="90"/>
        <v>5.9</v>
      </c>
      <c r="G142" s="121">
        <f t="shared" si="90"/>
        <v>4</v>
      </c>
      <c r="H142" s="121">
        <f t="shared" si="90"/>
        <v>5.2</v>
      </c>
      <c r="I142" s="121">
        <f t="shared" si="90"/>
        <v>5</v>
      </c>
      <c r="J142" s="121">
        <f t="shared" si="90"/>
        <v>0</v>
      </c>
      <c r="K142" s="121">
        <f t="shared" si="90"/>
        <v>0</v>
      </c>
      <c r="L142" s="121">
        <f t="shared" si="90"/>
        <v>0</v>
      </c>
      <c r="M142" s="121">
        <f t="shared" si="90"/>
        <v>0</v>
      </c>
      <c r="N142" s="121">
        <f t="shared" si="90"/>
        <v>0</v>
      </c>
      <c r="O142" s="121">
        <f t="shared" si="90"/>
        <v>0</v>
      </c>
      <c r="P142" s="121">
        <f t="shared" si="90"/>
        <v>0</v>
      </c>
      <c r="Q142" s="121">
        <f t="shared" si="90"/>
        <v>0</v>
      </c>
      <c r="R142" s="121">
        <f t="shared" si="90"/>
        <v>0</v>
      </c>
    </row>
    <row r="143" ht="12.75" customHeight="1">
      <c r="E143" s="25"/>
      <c r="F143" s="25"/>
    </row>
    <row r="144" ht="15.75" customHeight="1">
      <c r="A144" s="92" t="s">
        <v>593</v>
      </c>
      <c r="E144" s="93"/>
      <c r="F144" s="93"/>
    </row>
    <row r="145" ht="12.75" customHeight="1">
      <c r="A145" s="47"/>
      <c r="E145" s="78"/>
      <c r="F145" s="78"/>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row>
    <row r="146" ht="12.75" customHeight="1">
      <c r="A146" s="65" t="s">
        <v>195</v>
      </c>
      <c r="B146" s="71" t="s">
        <v>76</v>
      </c>
      <c r="C146" s="71" t="s">
        <v>77</v>
      </c>
      <c r="D146" s="71" t="s">
        <v>78</v>
      </c>
      <c r="E146" s="71" t="s">
        <v>79</v>
      </c>
      <c r="F146" s="71" t="s">
        <v>80</v>
      </c>
      <c r="G146" s="71" t="s">
        <v>81</v>
      </c>
      <c r="H146" s="71" t="s">
        <v>82</v>
      </c>
      <c r="I146" s="95" t="s">
        <v>83</v>
      </c>
      <c r="J146" s="95" t="s">
        <v>84</v>
      </c>
      <c r="K146" s="214" t="s">
        <v>66</v>
      </c>
      <c r="L146" s="214" t="s">
        <v>185</v>
      </c>
      <c r="M146" s="214" t="s">
        <v>186</v>
      </c>
      <c r="N146" s="214" t="s">
        <v>187</v>
      </c>
      <c r="O146" s="214" t="s">
        <v>188</v>
      </c>
      <c r="P146" s="96" t="s">
        <v>189</v>
      </c>
      <c r="Q146" s="96" t="s">
        <v>190</v>
      </c>
      <c r="R146" s="96" t="s">
        <v>191</v>
      </c>
      <c r="S146" s="25"/>
      <c r="T146" s="25"/>
      <c r="U146" s="25"/>
      <c r="V146" s="25"/>
      <c r="W146" s="25"/>
      <c r="X146" s="25"/>
      <c r="Y146" s="25"/>
      <c r="Z146" s="25"/>
      <c r="AA146" s="25"/>
      <c r="AB146" s="25"/>
      <c r="AC146" s="25"/>
      <c r="AD146" s="25"/>
      <c r="AE146" s="25"/>
      <c r="AF146" s="25"/>
      <c r="AG146" s="25"/>
      <c r="AH146" s="25"/>
      <c r="AI146" s="25"/>
      <c r="AJ146" s="25"/>
    </row>
    <row r="147" ht="12.75" customHeight="1">
      <c r="A147" s="25" t="s">
        <v>594</v>
      </c>
      <c r="B147" s="97">
        <f t="shared" ref="B147:R147" si="91">B75</f>
        <v>1384037.068</v>
      </c>
      <c r="C147" s="97">
        <f t="shared" si="91"/>
        <v>2120179.024</v>
      </c>
      <c r="D147" s="97">
        <f t="shared" si="91"/>
        <v>2011923.125</v>
      </c>
      <c r="E147" s="97">
        <f t="shared" si="91"/>
        <v>398928.15</v>
      </c>
      <c r="F147" s="97">
        <f t="shared" si="91"/>
        <v>1210232.815</v>
      </c>
      <c r="G147" s="97">
        <f t="shared" si="91"/>
        <v>955679.85</v>
      </c>
      <c r="H147" s="97">
        <f t="shared" si="91"/>
        <v>21.568198</v>
      </c>
      <c r="I147" s="97">
        <f t="shared" si="91"/>
        <v>21.082668</v>
      </c>
      <c r="J147" s="97">
        <f t="shared" si="91"/>
        <v>0</v>
      </c>
      <c r="K147" s="97">
        <f t="shared" si="91"/>
        <v>0</v>
      </c>
      <c r="L147" s="97">
        <f t="shared" si="91"/>
        <v>2005862.437</v>
      </c>
      <c r="M147" s="97">
        <f t="shared" si="91"/>
        <v>322398.4837</v>
      </c>
      <c r="N147" s="97">
        <f t="shared" si="91"/>
        <v>0</v>
      </c>
      <c r="O147" s="97">
        <f t="shared" si="91"/>
        <v>199423.7091</v>
      </c>
      <c r="P147" s="97">
        <f t="shared" si="91"/>
        <v>0</v>
      </c>
      <c r="Q147" s="97">
        <f t="shared" si="91"/>
        <v>0</v>
      </c>
      <c r="R147" s="97">
        <f t="shared" si="91"/>
        <v>0</v>
      </c>
    </row>
    <row r="148" ht="12.75" customHeight="1">
      <c r="A148" s="25" t="s">
        <v>566</v>
      </c>
      <c r="B148" s="73">
        <f t="shared" ref="B148:R148" si="92">ROUND(B147*$B192,1)</f>
        <v>4722.5</v>
      </c>
      <c r="C148" s="73">
        <f t="shared" si="92"/>
        <v>7234.3</v>
      </c>
      <c r="D148" s="73">
        <f t="shared" si="92"/>
        <v>6864.9</v>
      </c>
      <c r="E148" s="73">
        <f t="shared" si="92"/>
        <v>1361.2</v>
      </c>
      <c r="F148" s="73">
        <f t="shared" si="92"/>
        <v>4129.4</v>
      </c>
      <c r="G148" s="73">
        <f t="shared" si="92"/>
        <v>3260.9</v>
      </c>
      <c r="H148" s="73">
        <f t="shared" si="92"/>
        <v>0.1</v>
      </c>
      <c r="I148" s="73">
        <f t="shared" si="92"/>
        <v>0.1</v>
      </c>
      <c r="J148" s="73">
        <f t="shared" si="92"/>
        <v>0</v>
      </c>
      <c r="K148" s="73">
        <f t="shared" si="92"/>
        <v>0</v>
      </c>
      <c r="L148" s="73">
        <f t="shared" si="92"/>
        <v>6844.2</v>
      </c>
      <c r="M148" s="73">
        <f t="shared" si="92"/>
        <v>1100.1</v>
      </c>
      <c r="N148" s="73">
        <f t="shared" si="92"/>
        <v>0</v>
      </c>
      <c r="O148" s="73">
        <f t="shared" si="92"/>
        <v>680.5</v>
      </c>
      <c r="P148" s="73">
        <f t="shared" si="92"/>
        <v>0</v>
      </c>
      <c r="Q148" s="73">
        <f t="shared" si="92"/>
        <v>0</v>
      </c>
      <c r="R148" s="73">
        <f t="shared" si="92"/>
        <v>0</v>
      </c>
    </row>
    <row r="149" ht="15.0" customHeight="1">
      <c r="A149" s="47" t="s">
        <v>595</v>
      </c>
      <c r="B149" s="78">
        <f t="shared" ref="B149:R149" si="93">ROUND(B147*$B232,1)</f>
        <v>563.2</v>
      </c>
      <c r="C149" s="78">
        <f t="shared" si="93"/>
        <v>862.7</v>
      </c>
      <c r="D149" s="78">
        <f t="shared" si="93"/>
        <v>818.7</v>
      </c>
      <c r="E149" s="78">
        <f t="shared" si="93"/>
        <v>162.3</v>
      </c>
      <c r="F149" s="78">
        <f t="shared" si="93"/>
        <v>492.5</v>
      </c>
      <c r="G149" s="78">
        <f t="shared" si="93"/>
        <v>388.9</v>
      </c>
      <c r="H149" s="78">
        <f t="shared" si="93"/>
        <v>0</v>
      </c>
      <c r="I149" s="78">
        <f t="shared" si="93"/>
        <v>0</v>
      </c>
      <c r="J149" s="78">
        <f t="shared" si="93"/>
        <v>0</v>
      </c>
      <c r="K149" s="78">
        <f t="shared" si="93"/>
        <v>0</v>
      </c>
      <c r="L149" s="78">
        <f t="shared" si="93"/>
        <v>816.2</v>
      </c>
      <c r="M149" s="78">
        <f t="shared" si="93"/>
        <v>131.2</v>
      </c>
      <c r="N149" s="78">
        <f t="shared" si="93"/>
        <v>0</v>
      </c>
      <c r="O149" s="78">
        <f t="shared" si="93"/>
        <v>81.1</v>
      </c>
      <c r="P149" s="78">
        <f t="shared" si="93"/>
        <v>0</v>
      </c>
      <c r="Q149" s="78">
        <f t="shared" si="93"/>
        <v>0</v>
      </c>
      <c r="R149" s="78">
        <f t="shared" si="93"/>
        <v>0</v>
      </c>
    </row>
    <row r="150" ht="15.0" customHeight="1">
      <c r="A150" s="25" t="s">
        <v>596</v>
      </c>
      <c r="B150" s="112">
        <f t="shared" ref="B150:R150" si="94">($B234*B148*$B195)</f>
        <v>0.1640840931</v>
      </c>
      <c r="C150" s="112">
        <f t="shared" si="94"/>
        <v>0.2513570259</v>
      </c>
      <c r="D150" s="112">
        <f t="shared" si="94"/>
        <v>0.2385221579</v>
      </c>
      <c r="E150" s="112">
        <f t="shared" si="94"/>
        <v>0.04729513342</v>
      </c>
      <c r="F150" s="112">
        <f t="shared" si="94"/>
        <v>0.1434767293</v>
      </c>
      <c r="G150" s="112">
        <f t="shared" si="94"/>
        <v>0.113300544</v>
      </c>
      <c r="H150" s="112">
        <f t="shared" si="94"/>
        <v>0.000003474517589</v>
      </c>
      <c r="I150" s="112">
        <f t="shared" si="94"/>
        <v>0.000003474517589</v>
      </c>
      <c r="J150" s="112">
        <f t="shared" si="94"/>
        <v>0</v>
      </c>
      <c r="K150" s="112">
        <f t="shared" si="94"/>
        <v>0</v>
      </c>
      <c r="L150" s="112">
        <f t="shared" si="94"/>
        <v>0.2378029328</v>
      </c>
      <c r="M150" s="112">
        <f t="shared" si="94"/>
        <v>0.03822316799</v>
      </c>
      <c r="N150" s="112">
        <f t="shared" si="94"/>
        <v>0</v>
      </c>
      <c r="O150" s="112">
        <f t="shared" si="94"/>
        <v>0.02364409219</v>
      </c>
      <c r="P150" s="112">
        <f t="shared" si="94"/>
        <v>0</v>
      </c>
      <c r="Q150" s="112">
        <f t="shared" si="94"/>
        <v>0</v>
      </c>
      <c r="R150" s="112">
        <f t="shared" si="94"/>
        <v>0</v>
      </c>
    </row>
    <row r="151" ht="15.0" customHeight="1">
      <c r="A151" s="47" t="s">
        <v>597</v>
      </c>
      <c r="B151" s="126">
        <f t="shared" ref="B151:R151" si="95">B148*$B234*$B195*$B196</f>
        <v>3.445765956</v>
      </c>
      <c r="C151" s="126">
        <f t="shared" si="95"/>
        <v>5.278497544</v>
      </c>
      <c r="D151" s="126">
        <f t="shared" si="95"/>
        <v>5.008965317</v>
      </c>
      <c r="E151" s="126">
        <f t="shared" si="95"/>
        <v>0.9931978017</v>
      </c>
      <c r="F151" s="126">
        <f t="shared" si="95"/>
        <v>3.013011315</v>
      </c>
      <c r="G151" s="126">
        <f t="shared" si="95"/>
        <v>2.379311425</v>
      </c>
      <c r="H151" s="126">
        <f t="shared" si="95"/>
        <v>0.00007296486936</v>
      </c>
      <c r="I151" s="126">
        <f t="shared" si="95"/>
        <v>0.00007296486936</v>
      </c>
      <c r="J151" s="126">
        <f t="shared" si="95"/>
        <v>0</v>
      </c>
      <c r="K151" s="126">
        <f t="shared" si="95"/>
        <v>0</v>
      </c>
      <c r="L151" s="126">
        <f t="shared" si="95"/>
        <v>4.993861589</v>
      </c>
      <c r="M151" s="126">
        <f t="shared" si="95"/>
        <v>0.8026865278</v>
      </c>
      <c r="N151" s="126">
        <f t="shared" si="95"/>
        <v>0</v>
      </c>
      <c r="O151" s="126">
        <f t="shared" si="95"/>
        <v>0.496525936</v>
      </c>
      <c r="P151" s="126">
        <f t="shared" si="95"/>
        <v>0</v>
      </c>
      <c r="Q151" s="126">
        <f t="shared" si="95"/>
        <v>0</v>
      </c>
      <c r="R151" s="126">
        <f t="shared" si="95"/>
        <v>0</v>
      </c>
    </row>
    <row r="152" ht="15.0" customHeight="1">
      <c r="A152" s="25" t="s">
        <v>598</v>
      </c>
      <c r="B152" s="112">
        <f t="shared" ref="B152:R152" si="96">($B235*B148*$B195)</f>
        <v>0.03405923082</v>
      </c>
      <c r="C152" s="112">
        <f t="shared" si="96"/>
        <v>0.05217463071</v>
      </c>
      <c r="D152" s="112">
        <f t="shared" si="96"/>
        <v>0.04951047404</v>
      </c>
      <c r="E152" s="112">
        <f t="shared" si="96"/>
        <v>0.009817136049</v>
      </c>
      <c r="F152" s="112">
        <f t="shared" si="96"/>
        <v>0.02978172318</v>
      </c>
      <c r="G152" s="112">
        <f t="shared" si="96"/>
        <v>0.02351799805</v>
      </c>
      <c r="H152" s="112">
        <f t="shared" si="96"/>
        <v>0.0000007212118754</v>
      </c>
      <c r="I152" s="112">
        <f t="shared" si="96"/>
        <v>0.0000007212118754</v>
      </c>
      <c r="J152" s="112">
        <f t="shared" si="96"/>
        <v>0</v>
      </c>
      <c r="K152" s="112">
        <f t="shared" si="96"/>
        <v>0</v>
      </c>
      <c r="L152" s="112">
        <f t="shared" si="96"/>
        <v>0.04936118318</v>
      </c>
      <c r="M152" s="112">
        <f t="shared" si="96"/>
        <v>0.007934051842</v>
      </c>
      <c r="N152" s="112">
        <f t="shared" si="96"/>
        <v>0</v>
      </c>
      <c r="O152" s="112">
        <f t="shared" si="96"/>
        <v>0.004907846812</v>
      </c>
      <c r="P152" s="112">
        <f t="shared" si="96"/>
        <v>0</v>
      </c>
      <c r="Q152" s="112">
        <f t="shared" si="96"/>
        <v>0</v>
      </c>
      <c r="R152" s="112">
        <f t="shared" si="96"/>
        <v>0</v>
      </c>
    </row>
    <row r="153" ht="15.0" customHeight="1">
      <c r="A153" s="47" t="s">
        <v>599</v>
      </c>
      <c r="B153" s="119">
        <f t="shared" ref="B153:R153" si="97">B148*$B235*$B195*$B197</f>
        <v>10.55836155</v>
      </c>
      <c r="C153" s="119">
        <f t="shared" si="97"/>
        <v>16.17413552</v>
      </c>
      <c r="D153" s="119">
        <f t="shared" si="97"/>
        <v>15.34824695</v>
      </c>
      <c r="E153" s="119">
        <f t="shared" si="97"/>
        <v>3.043312175</v>
      </c>
      <c r="F153" s="119">
        <f t="shared" si="97"/>
        <v>9.232334187</v>
      </c>
      <c r="G153" s="119">
        <f t="shared" si="97"/>
        <v>7.290579394</v>
      </c>
      <c r="H153" s="119">
        <f t="shared" si="97"/>
        <v>0.0002235756814</v>
      </c>
      <c r="I153" s="119">
        <f t="shared" si="97"/>
        <v>0.0002235756814</v>
      </c>
      <c r="J153" s="119">
        <f t="shared" si="97"/>
        <v>0</v>
      </c>
      <c r="K153" s="119">
        <f t="shared" si="97"/>
        <v>0</v>
      </c>
      <c r="L153" s="119">
        <f t="shared" si="97"/>
        <v>15.30196679</v>
      </c>
      <c r="M153" s="119">
        <f t="shared" si="97"/>
        <v>2.459556071</v>
      </c>
      <c r="N153" s="119">
        <f t="shared" si="97"/>
        <v>0</v>
      </c>
      <c r="O153" s="119">
        <f t="shared" si="97"/>
        <v>1.521432512</v>
      </c>
      <c r="P153" s="119">
        <f t="shared" si="97"/>
        <v>0</v>
      </c>
      <c r="Q153" s="119">
        <f t="shared" si="97"/>
        <v>0</v>
      </c>
      <c r="R153" s="119">
        <f t="shared" si="97"/>
        <v>0</v>
      </c>
    </row>
    <row r="154" ht="12.75" customHeight="1">
      <c r="A154" s="120" t="s">
        <v>600</v>
      </c>
      <c r="B154" s="121">
        <f t="shared" ref="B154:R154" si="98">ROUND(B149+B151+B153,1)</f>
        <v>577.2</v>
      </c>
      <c r="C154" s="121">
        <f t="shared" si="98"/>
        <v>884.2</v>
      </c>
      <c r="D154" s="121">
        <f t="shared" si="98"/>
        <v>839.1</v>
      </c>
      <c r="E154" s="121">
        <f t="shared" si="98"/>
        <v>166.3</v>
      </c>
      <c r="F154" s="121">
        <f t="shared" si="98"/>
        <v>504.7</v>
      </c>
      <c r="G154" s="121">
        <f t="shared" si="98"/>
        <v>398.6</v>
      </c>
      <c r="H154" s="121">
        <f t="shared" si="98"/>
        <v>0</v>
      </c>
      <c r="I154" s="121">
        <f t="shared" si="98"/>
        <v>0</v>
      </c>
      <c r="J154" s="121">
        <f t="shared" si="98"/>
        <v>0</v>
      </c>
      <c r="K154" s="121">
        <f t="shared" si="98"/>
        <v>0</v>
      </c>
      <c r="L154" s="121">
        <f t="shared" si="98"/>
        <v>836.5</v>
      </c>
      <c r="M154" s="121">
        <f t="shared" si="98"/>
        <v>134.5</v>
      </c>
      <c r="N154" s="121">
        <f t="shared" si="98"/>
        <v>0</v>
      </c>
      <c r="O154" s="121">
        <f t="shared" si="98"/>
        <v>83.1</v>
      </c>
      <c r="P154" s="121">
        <f t="shared" si="98"/>
        <v>0</v>
      </c>
      <c r="Q154" s="121">
        <f t="shared" si="98"/>
        <v>0</v>
      </c>
      <c r="R154" s="121">
        <f t="shared" si="98"/>
        <v>0</v>
      </c>
    </row>
    <row r="155" ht="12.75" customHeight="1">
      <c r="E155" s="25"/>
      <c r="F155" s="25"/>
    </row>
    <row r="156" ht="15.75" customHeight="1">
      <c r="A156" s="92" t="s">
        <v>147</v>
      </c>
      <c r="E156" s="93"/>
      <c r="F156" s="93"/>
    </row>
    <row r="157" ht="12.75" customHeight="1">
      <c r="A157" s="47"/>
      <c r="E157" s="78"/>
      <c r="F157" s="78"/>
    </row>
    <row r="158" ht="12.75" customHeight="1">
      <c r="A158" s="65" t="s">
        <v>131</v>
      </c>
      <c r="B158" s="71" t="s">
        <v>76</v>
      </c>
      <c r="C158" s="71" t="s">
        <v>77</v>
      </c>
      <c r="D158" s="71" t="s">
        <v>78</v>
      </c>
      <c r="E158" s="71" t="s">
        <v>79</v>
      </c>
      <c r="F158" s="71" t="s">
        <v>80</v>
      </c>
      <c r="G158" s="71" t="s">
        <v>81</v>
      </c>
      <c r="H158" s="71" t="s">
        <v>82</v>
      </c>
      <c r="I158" s="95" t="s">
        <v>83</v>
      </c>
      <c r="J158" s="95" t="s">
        <v>84</v>
      </c>
      <c r="K158" s="214" t="s">
        <v>66</v>
      </c>
      <c r="L158" s="214" t="s">
        <v>185</v>
      </c>
      <c r="M158" s="214" t="s">
        <v>186</v>
      </c>
      <c r="N158" s="214" t="s">
        <v>187</v>
      </c>
      <c r="O158" s="214" t="s">
        <v>188</v>
      </c>
      <c r="P158" s="214" t="s">
        <v>189</v>
      </c>
      <c r="Q158" s="214" t="s">
        <v>190</v>
      </c>
      <c r="R158" s="96" t="s">
        <v>191</v>
      </c>
    </row>
    <row r="159" ht="12.75" customHeight="1">
      <c r="A159" s="25" t="s">
        <v>148</v>
      </c>
      <c r="B159" s="97">
        <v>0.0</v>
      </c>
      <c r="C159" s="97">
        <v>0.0</v>
      </c>
      <c r="D159" s="97">
        <v>0.0</v>
      </c>
      <c r="E159" s="97">
        <v>0.0</v>
      </c>
      <c r="F159" s="97">
        <v>0.0</v>
      </c>
      <c r="G159" s="97">
        <v>0.0</v>
      </c>
      <c r="H159" s="97">
        <v>0.0</v>
      </c>
      <c r="I159" s="97">
        <v>0.0</v>
      </c>
      <c r="J159" s="97">
        <v>0.0</v>
      </c>
      <c r="K159" s="97">
        <v>0.0</v>
      </c>
      <c r="L159" s="97">
        <v>0.0</v>
      </c>
      <c r="M159" s="97">
        <v>0.0</v>
      </c>
      <c r="N159" s="97">
        <v>0.0</v>
      </c>
      <c r="O159" s="97">
        <v>0.0</v>
      </c>
      <c r="P159" s="97">
        <v>0.0</v>
      </c>
      <c r="Q159" s="97">
        <v>0.0</v>
      </c>
      <c r="R159" s="97">
        <v>0.0</v>
      </c>
    </row>
    <row r="160" ht="12.75" customHeight="1">
      <c r="A160" s="25" t="s">
        <v>149</v>
      </c>
      <c r="B160" s="97">
        <v>0.0</v>
      </c>
      <c r="C160" s="97">
        <v>0.0</v>
      </c>
      <c r="D160" s="97">
        <v>0.0</v>
      </c>
      <c r="E160" s="97">
        <v>0.0</v>
      </c>
      <c r="F160" s="97">
        <v>0.0</v>
      </c>
      <c r="G160" s="97">
        <v>0.0</v>
      </c>
      <c r="H160" s="97">
        <v>0.0</v>
      </c>
      <c r="I160" s="97">
        <v>0.0</v>
      </c>
      <c r="J160" s="97">
        <v>0.0</v>
      </c>
      <c r="K160" s="97">
        <v>0.0</v>
      </c>
      <c r="L160" s="97">
        <v>0.0</v>
      </c>
      <c r="M160" s="97">
        <v>0.0</v>
      </c>
      <c r="N160" s="97">
        <v>0.0</v>
      </c>
      <c r="O160" s="97">
        <v>0.0</v>
      </c>
      <c r="P160" s="97">
        <v>0.0</v>
      </c>
      <c r="Q160" s="97">
        <v>0.0</v>
      </c>
      <c r="R160" s="97">
        <v>0.0</v>
      </c>
    </row>
    <row r="161" ht="12.75" customHeight="1">
      <c r="A161" s="25" t="s">
        <v>150</v>
      </c>
      <c r="B161" s="97">
        <v>0.0</v>
      </c>
      <c r="C161" s="97">
        <v>0.0</v>
      </c>
      <c r="D161" s="97">
        <v>0.0</v>
      </c>
      <c r="E161" s="97">
        <v>0.0</v>
      </c>
      <c r="F161" s="97">
        <v>0.0</v>
      </c>
      <c r="G161" s="97">
        <v>0.0</v>
      </c>
      <c r="H161" s="97">
        <v>0.0</v>
      </c>
      <c r="I161" s="97">
        <v>0.0</v>
      </c>
      <c r="J161" s="97">
        <v>0.0</v>
      </c>
      <c r="K161" s="97">
        <v>0.0</v>
      </c>
      <c r="L161" s="97">
        <v>0.0</v>
      </c>
      <c r="M161" s="97">
        <v>0.0</v>
      </c>
      <c r="N161" s="97">
        <v>0.0</v>
      </c>
      <c r="O161" s="97">
        <v>0.0</v>
      </c>
      <c r="P161" s="97">
        <v>0.0</v>
      </c>
      <c r="Q161" s="97">
        <v>0.0</v>
      </c>
      <c r="R161" s="97">
        <v>0.0</v>
      </c>
    </row>
    <row r="162" ht="15.0" customHeight="1">
      <c r="A162" s="25" t="s">
        <v>601</v>
      </c>
      <c r="B162" s="97">
        <v>0.0</v>
      </c>
      <c r="C162" s="97">
        <v>0.0</v>
      </c>
      <c r="D162" s="97">
        <v>0.0</v>
      </c>
      <c r="E162" s="97">
        <v>0.0</v>
      </c>
      <c r="F162" s="97">
        <v>0.0</v>
      </c>
      <c r="G162" s="97">
        <v>0.0</v>
      </c>
      <c r="H162" s="97">
        <v>0.0</v>
      </c>
      <c r="I162" s="97">
        <v>0.0</v>
      </c>
      <c r="J162" s="97">
        <v>0.0</v>
      </c>
      <c r="K162" s="97">
        <v>0.0</v>
      </c>
      <c r="L162" s="97">
        <v>0.0</v>
      </c>
      <c r="M162" s="97">
        <v>0.0</v>
      </c>
      <c r="N162" s="97">
        <v>0.0</v>
      </c>
      <c r="O162" s="97">
        <v>0.0</v>
      </c>
      <c r="P162" s="97">
        <v>0.0</v>
      </c>
      <c r="Q162" s="97">
        <v>0.0</v>
      </c>
      <c r="R162" s="97">
        <v>0.0</v>
      </c>
    </row>
    <row r="163" ht="12.75" customHeight="1">
      <c r="A163" s="56" t="s">
        <v>152</v>
      </c>
      <c r="B163" s="97">
        <v>0.0</v>
      </c>
      <c r="C163" s="97">
        <v>0.0</v>
      </c>
      <c r="D163" s="97">
        <v>0.0</v>
      </c>
      <c r="E163" s="97">
        <v>0.0</v>
      </c>
      <c r="F163" s="97">
        <v>0.0</v>
      </c>
      <c r="G163" s="97">
        <v>0.0</v>
      </c>
      <c r="H163" s="97">
        <v>0.0</v>
      </c>
      <c r="I163" s="97">
        <v>0.0</v>
      </c>
      <c r="J163" s="97">
        <v>0.0</v>
      </c>
      <c r="K163" s="97">
        <v>0.0</v>
      </c>
      <c r="L163" s="97">
        <v>0.0</v>
      </c>
      <c r="M163" s="97">
        <v>0.0</v>
      </c>
      <c r="N163" s="97">
        <v>0.0</v>
      </c>
      <c r="O163" s="97">
        <v>0.0</v>
      </c>
      <c r="P163" s="97">
        <v>0.0</v>
      </c>
      <c r="Q163" s="97">
        <v>0.0</v>
      </c>
      <c r="R163" s="97">
        <v>0.0</v>
      </c>
    </row>
    <row r="164" ht="12.75" customHeight="1">
      <c r="A164" s="56" t="s">
        <v>153</v>
      </c>
      <c r="B164" s="97">
        <v>0.0</v>
      </c>
      <c r="C164" s="97">
        <v>0.0</v>
      </c>
      <c r="D164" s="97">
        <v>0.0</v>
      </c>
      <c r="E164" s="97">
        <v>0.0</v>
      </c>
      <c r="F164" s="97">
        <v>0.0</v>
      </c>
      <c r="G164" s="97">
        <v>0.0</v>
      </c>
      <c r="H164" s="97">
        <v>0.0</v>
      </c>
      <c r="I164" s="97">
        <v>0.0</v>
      </c>
      <c r="J164" s="97">
        <v>0.0</v>
      </c>
      <c r="K164" s="97">
        <v>0.0</v>
      </c>
      <c r="L164" s="97">
        <v>0.0</v>
      </c>
      <c r="M164" s="97">
        <v>0.0</v>
      </c>
      <c r="N164" s="97">
        <v>0.0</v>
      </c>
      <c r="O164" s="97">
        <v>0.0</v>
      </c>
      <c r="P164" s="97">
        <v>0.0</v>
      </c>
      <c r="Q164" s="97">
        <v>0.0</v>
      </c>
      <c r="R164" s="97">
        <v>0.0</v>
      </c>
    </row>
    <row r="165" ht="12.75" customHeight="1">
      <c r="A165" s="56" t="s">
        <v>154</v>
      </c>
      <c r="B165" s="97">
        <v>0.0</v>
      </c>
      <c r="C165" s="97">
        <v>0.0</v>
      </c>
      <c r="D165" s="97">
        <v>0.0</v>
      </c>
      <c r="E165" s="97">
        <v>0.0</v>
      </c>
      <c r="F165" s="97">
        <v>0.0</v>
      </c>
      <c r="G165" s="97">
        <v>0.0</v>
      </c>
      <c r="H165" s="97">
        <v>0.0</v>
      </c>
      <c r="I165" s="97">
        <v>0.0</v>
      </c>
      <c r="J165" s="97">
        <v>0.0</v>
      </c>
      <c r="K165" s="97">
        <v>0.0</v>
      </c>
      <c r="L165" s="97">
        <v>0.0</v>
      </c>
      <c r="M165" s="97">
        <v>0.0</v>
      </c>
      <c r="N165" s="97">
        <v>0.0</v>
      </c>
      <c r="O165" s="97">
        <v>0.0</v>
      </c>
      <c r="P165" s="97">
        <v>0.0</v>
      </c>
      <c r="Q165" s="97">
        <v>0.0</v>
      </c>
      <c r="R165" s="97">
        <v>0.0</v>
      </c>
    </row>
    <row r="166" ht="12.75" customHeight="1">
      <c r="A166" s="25" t="s">
        <v>135</v>
      </c>
      <c r="B166" s="97">
        <f t="shared" ref="B166:R166" si="99">B106</f>
        <v>22.7</v>
      </c>
      <c r="C166" s="97">
        <f t="shared" si="99"/>
        <v>33.5</v>
      </c>
      <c r="D166" s="97">
        <f t="shared" si="99"/>
        <v>25.3</v>
      </c>
      <c r="E166" s="97">
        <f t="shared" si="99"/>
        <v>0</v>
      </c>
      <c r="F166" s="97">
        <f t="shared" si="99"/>
        <v>0</v>
      </c>
      <c r="G166" s="97">
        <f t="shared" si="99"/>
        <v>25.2</v>
      </c>
      <c r="H166" s="97">
        <f t="shared" si="99"/>
        <v>696.3</v>
      </c>
      <c r="I166" s="97">
        <f t="shared" si="99"/>
        <v>680.5</v>
      </c>
      <c r="J166" s="97">
        <f t="shared" si="99"/>
        <v>722</v>
      </c>
      <c r="K166" s="97">
        <f t="shared" si="99"/>
        <v>803</v>
      </c>
      <c r="L166" s="97">
        <f t="shared" si="99"/>
        <v>701.3</v>
      </c>
      <c r="M166" s="97">
        <f t="shared" si="99"/>
        <v>887.3</v>
      </c>
      <c r="N166" s="97">
        <f t="shared" si="99"/>
        <v>218.7</v>
      </c>
      <c r="O166" s="97">
        <f t="shared" si="99"/>
        <v>79.8</v>
      </c>
      <c r="P166" s="97">
        <f t="shared" si="99"/>
        <v>0</v>
      </c>
      <c r="Q166" s="97">
        <f t="shared" si="99"/>
        <v>0</v>
      </c>
      <c r="R166" s="97">
        <f t="shared" si="99"/>
        <v>0</v>
      </c>
    </row>
    <row r="167" ht="12.75" customHeight="1">
      <c r="A167" s="25" t="s">
        <v>155</v>
      </c>
      <c r="B167" s="97">
        <f t="shared" ref="B167:R167" si="100">B118</f>
        <v>15.4</v>
      </c>
      <c r="C167" s="97">
        <f t="shared" si="100"/>
        <v>23.9</v>
      </c>
      <c r="D167" s="97">
        <f t="shared" si="100"/>
        <v>16.9</v>
      </c>
      <c r="E167" s="97">
        <f t="shared" si="100"/>
        <v>0</v>
      </c>
      <c r="F167" s="97">
        <f t="shared" si="100"/>
        <v>0</v>
      </c>
      <c r="G167" s="97">
        <f t="shared" si="100"/>
        <v>6.8</v>
      </c>
      <c r="H167" s="97">
        <f t="shared" si="100"/>
        <v>150.8</v>
      </c>
      <c r="I167" s="97">
        <f t="shared" si="100"/>
        <v>147.4</v>
      </c>
      <c r="J167" s="97">
        <f t="shared" si="100"/>
        <v>0</v>
      </c>
      <c r="K167" s="97">
        <f t="shared" si="100"/>
        <v>0</v>
      </c>
      <c r="L167" s="97">
        <f t="shared" si="100"/>
        <v>75.6</v>
      </c>
      <c r="M167" s="97">
        <f t="shared" si="100"/>
        <v>51.2</v>
      </c>
      <c r="N167" s="97">
        <f t="shared" si="100"/>
        <v>0</v>
      </c>
      <c r="O167" s="97">
        <f t="shared" si="100"/>
        <v>0.3</v>
      </c>
      <c r="P167" s="97">
        <f t="shared" si="100"/>
        <v>0</v>
      </c>
      <c r="Q167" s="97">
        <f t="shared" si="100"/>
        <v>0</v>
      </c>
      <c r="R167" s="97">
        <f t="shared" si="100"/>
        <v>0</v>
      </c>
    </row>
    <row r="168" ht="12.75" customHeight="1">
      <c r="A168" s="25" t="s">
        <v>156</v>
      </c>
      <c r="B168" s="97">
        <f t="shared" ref="B168:R168" si="101">B130</f>
        <v>2.5</v>
      </c>
      <c r="C168" s="97">
        <f t="shared" si="101"/>
        <v>4.2</v>
      </c>
      <c r="D168" s="97">
        <f t="shared" si="101"/>
        <v>2.7</v>
      </c>
      <c r="E168" s="97">
        <f t="shared" si="101"/>
        <v>10.9</v>
      </c>
      <c r="F168" s="97">
        <f t="shared" si="101"/>
        <v>0</v>
      </c>
      <c r="G168" s="97">
        <f t="shared" si="101"/>
        <v>1.6</v>
      </c>
      <c r="H168" s="97">
        <f t="shared" si="101"/>
        <v>6.6</v>
      </c>
      <c r="I168" s="97">
        <f t="shared" si="101"/>
        <v>58.7</v>
      </c>
      <c r="J168" s="97">
        <f t="shared" si="101"/>
        <v>539.4</v>
      </c>
      <c r="K168" s="97">
        <f t="shared" si="101"/>
        <v>553.7</v>
      </c>
      <c r="L168" s="97">
        <f t="shared" si="101"/>
        <v>5.8</v>
      </c>
      <c r="M168" s="97">
        <f t="shared" si="101"/>
        <v>17.5</v>
      </c>
      <c r="N168" s="97">
        <f t="shared" si="101"/>
        <v>250.6</v>
      </c>
      <c r="O168" s="97">
        <f t="shared" si="101"/>
        <v>10.9</v>
      </c>
      <c r="P168" s="97">
        <f t="shared" si="101"/>
        <v>0</v>
      </c>
      <c r="Q168" s="97">
        <f t="shared" si="101"/>
        <v>0</v>
      </c>
      <c r="R168" s="97">
        <f t="shared" si="101"/>
        <v>0</v>
      </c>
    </row>
    <row r="169" ht="12.75" customHeight="1">
      <c r="A169" s="25" t="s">
        <v>157</v>
      </c>
      <c r="B169" s="97">
        <f t="shared" ref="B169:R169" si="102">B142</f>
        <v>17</v>
      </c>
      <c r="C169" s="97">
        <f t="shared" si="102"/>
        <v>34.5</v>
      </c>
      <c r="D169" s="97">
        <f t="shared" si="102"/>
        <v>20.6</v>
      </c>
      <c r="E169" s="97">
        <f t="shared" si="102"/>
        <v>0</v>
      </c>
      <c r="F169" s="97">
        <f t="shared" si="102"/>
        <v>5.9</v>
      </c>
      <c r="G169" s="97">
        <f t="shared" si="102"/>
        <v>4</v>
      </c>
      <c r="H169" s="97">
        <f t="shared" si="102"/>
        <v>5.2</v>
      </c>
      <c r="I169" s="97">
        <f t="shared" si="102"/>
        <v>5</v>
      </c>
      <c r="J169" s="97">
        <f t="shared" si="102"/>
        <v>0</v>
      </c>
      <c r="K169" s="97">
        <f t="shared" si="102"/>
        <v>0</v>
      </c>
      <c r="L169" s="97">
        <f t="shared" si="102"/>
        <v>0</v>
      </c>
      <c r="M169" s="97">
        <f t="shared" si="102"/>
        <v>0</v>
      </c>
      <c r="N169" s="97">
        <f t="shared" si="102"/>
        <v>0</v>
      </c>
      <c r="O169" s="97">
        <f t="shared" si="102"/>
        <v>0</v>
      </c>
      <c r="P169" s="97">
        <f t="shared" si="102"/>
        <v>0</v>
      </c>
      <c r="Q169" s="97">
        <f t="shared" si="102"/>
        <v>0</v>
      </c>
      <c r="R169" s="97">
        <f t="shared" si="102"/>
        <v>0</v>
      </c>
    </row>
    <row r="170" ht="12.75" customHeight="1">
      <c r="A170" s="25" t="s">
        <v>158</v>
      </c>
      <c r="B170" s="97">
        <f t="shared" ref="B170:R170" si="103">B154</f>
        <v>577.2</v>
      </c>
      <c r="C170" s="97">
        <f t="shared" si="103"/>
        <v>884.2</v>
      </c>
      <c r="D170" s="97">
        <f t="shared" si="103"/>
        <v>839.1</v>
      </c>
      <c r="E170" s="97">
        <f t="shared" si="103"/>
        <v>166.3</v>
      </c>
      <c r="F170" s="97">
        <f t="shared" si="103"/>
        <v>504.7</v>
      </c>
      <c r="G170" s="97">
        <f t="shared" si="103"/>
        <v>398.6</v>
      </c>
      <c r="H170" s="97">
        <f t="shared" si="103"/>
        <v>0</v>
      </c>
      <c r="I170" s="97">
        <f t="shared" si="103"/>
        <v>0</v>
      </c>
      <c r="J170" s="97">
        <f t="shared" si="103"/>
        <v>0</v>
      </c>
      <c r="K170" s="97">
        <f t="shared" si="103"/>
        <v>0</v>
      </c>
      <c r="L170" s="97">
        <f t="shared" si="103"/>
        <v>836.5</v>
      </c>
      <c r="M170" s="97">
        <f t="shared" si="103"/>
        <v>134.5</v>
      </c>
      <c r="N170" s="97">
        <f t="shared" si="103"/>
        <v>0</v>
      </c>
      <c r="O170" s="97">
        <f t="shared" si="103"/>
        <v>83.1</v>
      </c>
      <c r="P170" s="97">
        <f t="shared" si="103"/>
        <v>0</v>
      </c>
      <c r="Q170" s="97">
        <f t="shared" si="103"/>
        <v>0</v>
      </c>
      <c r="R170" s="97">
        <f t="shared" si="103"/>
        <v>0</v>
      </c>
    </row>
    <row r="171" ht="12.75" customHeight="1">
      <c r="A171" s="76" t="s">
        <v>602</v>
      </c>
      <c r="B171" s="98">
        <f t="shared" ref="B171:R171" si="104">SUM(B159:B170)</f>
        <v>634.8</v>
      </c>
      <c r="C171" s="98">
        <f t="shared" si="104"/>
        <v>980.3</v>
      </c>
      <c r="D171" s="98">
        <f t="shared" si="104"/>
        <v>904.6</v>
      </c>
      <c r="E171" s="98">
        <f t="shared" si="104"/>
        <v>177.2</v>
      </c>
      <c r="F171" s="98">
        <f t="shared" si="104"/>
        <v>510.6</v>
      </c>
      <c r="G171" s="98">
        <f t="shared" si="104"/>
        <v>436.2</v>
      </c>
      <c r="H171" s="98">
        <f t="shared" si="104"/>
        <v>858.9</v>
      </c>
      <c r="I171" s="98">
        <f t="shared" si="104"/>
        <v>891.6</v>
      </c>
      <c r="J171" s="98">
        <f t="shared" si="104"/>
        <v>1261.4</v>
      </c>
      <c r="K171" s="98">
        <f t="shared" si="104"/>
        <v>1356.7</v>
      </c>
      <c r="L171" s="98">
        <f t="shared" si="104"/>
        <v>1619.2</v>
      </c>
      <c r="M171" s="98">
        <f t="shared" si="104"/>
        <v>1090.5</v>
      </c>
      <c r="N171" s="98">
        <f t="shared" si="104"/>
        <v>469.3</v>
      </c>
      <c r="O171" s="98">
        <f t="shared" si="104"/>
        <v>174.1</v>
      </c>
      <c r="P171" s="98">
        <f t="shared" si="104"/>
        <v>0</v>
      </c>
      <c r="Q171" s="98">
        <f t="shared" si="104"/>
        <v>0</v>
      </c>
      <c r="R171" s="98">
        <f t="shared" si="104"/>
        <v>0</v>
      </c>
    </row>
    <row r="172" ht="12.75" customHeight="1">
      <c r="E172" s="25"/>
      <c r="F172" s="25"/>
    </row>
    <row r="173" ht="12.75" customHeight="1">
      <c r="A173" s="65" t="s">
        <v>603</v>
      </c>
      <c r="B173" s="71" t="s">
        <v>76</v>
      </c>
      <c r="C173" s="71" t="s">
        <v>77</v>
      </c>
      <c r="D173" s="71" t="s">
        <v>78</v>
      </c>
      <c r="E173" s="71" t="s">
        <v>79</v>
      </c>
      <c r="F173" s="71" t="s">
        <v>80</v>
      </c>
      <c r="G173" s="71" t="s">
        <v>81</v>
      </c>
      <c r="H173" s="71" t="s">
        <v>82</v>
      </c>
      <c r="I173" s="95" t="s">
        <v>83</v>
      </c>
      <c r="J173" s="95" t="s">
        <v>84</v>
      </c>
      <c r="K173" s="214" t="s">
        <v>66</v>
      </c>
      <c r="L173" s="214" t="s">
        <v>185</v>
      </c>
      <c r="M173" s="214" t="s">
        <v>186</v>
      </c>
      <c r="N173" s="214" t="s">
        <v>187</v>
      </c>
      <c r="O173" s="214" t="s">
        <v>188</v>
      </c>
      <c r="P173" s="96" t="s">
        <v>189</v>
      </c>
      <c r="Q173" s="96" t="s">
        <v>190</v>
      </c>
      <c r="R173" s="96" t="s">
        <v>191</v>
      </c>
    </row>
    <row r="174" ht="12.75" customHeight="1">
      <c r="A174" s="25" t="s">
        <v>148</v>
      </c>
      <c r="B174" s="79">
        <v>0.0</v>
      </c>
      <c r="C174" s="79">
        <v>0.0</v>
      </c>
      <c r="D174" s="79">
        <v>0.0</v>
      </c>
      <c r="E174" s="79">
        <v>0.0</v>
      </c>
      <c r="F174" s="79">
        <v>0.0</v>
      </c>
      <c r="G174" s="79">
        <v>0.0</v>
      </c>
      <c r="H174" s="79">
        <v>0.0</v>
      </c>
      <c r="I174" s="79">
        <v>0.0</v>
      </c>
      <c r="J174" s="79">
        <v>0.0</v>
      </c>
      <c r="K174" s="79">
        <v>0.0</v>
      </c>
      <c r="L174" s="79">
        <v>0.0</v>
      </c>
      <c r="M174" s="79">
        <v>0.0</v>
      </c>
      <c r="N174" s="79">
        <v>0.0</v>
      </c>
      <c r="O174" s="79">
        <v>0.0</v>
      </c>
      <c r="P174" s="79">
        <v>0.0</v>
      </c>
      <c r="Q174" s="79">
        <v>0.0</v>
      </c>
      <c r="R174" s="79">
        <v>0.0</v>
      </c>
    </row>
    <row r="175" ht="12.75" customHeight="1">
      <c r="A175" s="25" t="s">
        <v>149</v>
      </c>
      <c r="B175" s="79">
        <v>0.0</v>
      </c>
      <c r="C175" s="79">
        <v>0.0</v>
      </c>
      <c r="D175" s="79">
        <v>0.0</v>
      </c>
      <c r="E175" s="79">
        <v>0.0</v>
      </c>
      <c r="F175" s="79">
        <v>0.0</v>
      </c>
      <c r="G175" s="79">
        <v>0.0</v>
      </c>
      <c r="H175" s="79">
        <v>0.0</v>
      </c>
      <c r="I175" s="79">
        <v>0.0</v>
      </c>
      <c r="J175" s="79">
        <v>0.0</v>
      </c>
      <c r="K175" s="79">
        <v>0.0</v>
      </c>
      <c r="L175" s="79">
        <v>0.0</v>
      </c>
      <c r="M175" s="79">
        <v>0.0</v>
      </c>
      <c r="N175" s="79">
        <v>0.0</v>
      </c>
      <c r="O175" s="79">
        <v>0.0</v>
      </c>
      <c r="P175" s="79">
        <v>0.0</v>
      </c>
      <c r="Q175" s="79">
        <v>0.0</v>
      </c>
      <c r="R175" s="79">
        <v>0.0</v>
      </c>
    </row>
    <row r="176" ht="12.75" customHeight="1">
      <c r="A176" s="25" t="s">
        <v>150</v>
      </c>
      <c r="B176" s="79">
        <v>0.0</v>
      </c>
      <c r="C176" s="79">
        <v>0.0</v>
      </c>
      <c r="D176" s="79">
        <v>0.0</v>
      </c>
      <c r="E176" s="79">
        <v>0.0</v>
      </c>
      <c r="F176" s="79">
        <v>0.0</v>
      </c>
      <c r="G176" s="79">
        <v>0.0</v>
      </c>
      <c r="H176" s="79">
        <v>0.0</v>
      </c>
      <c r="I176" s="79">
        <v>0.0</v>
      </c>
      <c r="J176" s="79">
        <v>0.0</v>
      </c>
      <c r="K176" s="79">
        <v>0.0</v>
      </c>
      <c r="L176" s="79">
        <v>0.0</v>
      </c>
      <c r="M176" s="79">
        <v>0.0</v>
      </c>
      <c r="N176" s="79">
        <v>0.0</v>
      </c>
      <c r="O176" s="79">
        <v>0.0</v>
      </c>
      <c r="P176" s="79">
        <v>0.0</v>
      </c>
      <c r="Q176" s="79">
        <v>0.0</v>
      </c>
      <c r="R176" s="79">
        <v>0.0</v>
      </c>
    </row>
    <row r="177" ht="15.0" customHeight="1">
      <c r="A177" s="25" t="s">
        <v>604</v>
      </c>
      <c r="B177" s="79">
        <v>0.0</v>
      </c>
      <c r="C177" s="79">
        <v>0.0</v>
      </c>
      <c r="D177" s="79">
        <v>0.0</v>
      </c>
      <c r="E177" s="79">
        <v>0.0</v>
      </c>
      <c r="F177" s="79">
        <v>0.0</v>
      </c>
      <c r="G177" s="79">
        <v>0.0</v>
      </c>
      <c r="H177" s="79">
        <v>0.0</v>
      </c>
      <c r="I177" s="79">
        <v>0.0</v>
      </c>
      <c r="J177" s="79">
        <v>0.0</v>
      </c>
      <c r="K177" s="79">
        <v>0.0</v>
      </c>
      <c r="L177" s="79">
        <v>0.0</v>
      </c>
      <c r="M177" s="79">
        <v>0.0</v>
      </c>
      <c r="N177" s="79">
        <v>0.0</v>
      </c>
      <c r="O177" s="79">
        <v>0.0</v>
      </c>
      <c r="P177" s="79">
        <v>0.0</v>
      </c>
      <c r="Q177" s="79">
        <v>0.0</v>
      </c>
      <c r="R177" s="79">
        <v>0.0</v>
      </c>
    </row>
    <row r="178" ht="12.75" customHeight="1">
      <c r="A178" s="56" t="s">
        <v>152</v>
      </c>
      <c r="B178" s="79">
        <v>0.0</v>
      </c>
      <c r="C178" s="79">
        <v>0.0</v>
      </c>
      <c r="D178" s="79">
        <v>0.0</v>
      </c>
      <c r="E178" s="79">
        <v>0.0</v>
      </c>
      <c r="F178" s="79">
        <v>0.0</v>
      </c>
      <c r="G178" s="79">
        <v>0.0</v>
      </c>
      <c r="H178" s="79">
        <v>0.0</v>
      </c>
      <c r="I178" s="79">
        <v>0.0</v>
      </c>
      <c r="J178" s="79">
        <v>0.0</v>
      </c>
      <c r="K178" s="79">
        <v>0.0</v>
      </c>
      <c r="L178" s="79">
        <v>0.0</v>
      </c>
      <c r="M178" s="79">
        <v>0.0</v>
      </c>
      <c r="N178" s="79">
        <v>0.0</v>
      </c>
      <c r="O178" s="79">
        <v>0.0</v>
      </c>
      <c r="P178" s="79">
        <v>0.0</v>
      </c>
      <c r="Q178" s="79">
        <v>0.0</v>
      </c>
      <c r="R178" s="79">
        <v>0.0</v>
      </c>
    </row>
    <row r="179" ht="12.75" customHeight="1">
      <c r="A179" s="56" t="s">
        <v>153</v>
      </c>
      <c r="B179" s="79">
        <v>0.0</v>
      </c>
      <c r="C179" s="79">
        <v>0.0</v>
      </c>
      <c r="D179" s="79">
        <v>0.0</v>
      </c>
      <c r="E179" s="79">
        <v>0.0</v>
      </c>
      <c r="F179" s="79">
        <v>0.0</v>
      </c>
      <c r="G179" s="79">
        <v>0.0</v>
      </c>
      <c r="H179" s="79">
        <v>0.0</v>
      </c>
      <c r="I179" s="79">
        <v>0.0</v>
      </c>
      <c r="J179" s="79">
        <v>0.0</v>
      </c>
      <c r="K179" s="79">
        <v>0.0</v>
      </c>
      <c r="L179" s="79">
        <v>0.0</v>
      </c>
      <c r="M179" s="79">
        <v>0.0</v>
      </c>
      <c r="N179" s="79">
        <v>0.0</v>
      </c>
      <c r="O179" s="79">
        <v>0.0</v>
      </c>
      <c r="P179" s="79">
        <v>0.0</v>
      </c>
      <c r="Q179" s="79">
        <v>0.0</v>
      </c>
      <c r="R179" s="79">
        <v>0.0</v>
      </c>
    </row>
    <row r="180" ht="12.75" customHeight="1">
      <c r="A180" s="56" t="s">
        <v>154</v>
      </c>
      <c r="B180" s="79">
        <v>0.0</v>
      </c>
      <c r="C180" s="79">
        <v>0.0</v>
      </c>
      <c r="D180" s="79">
        <v>0.0</v>
      </c>
      <c r="E180" s="79">
        <v>0.0</v>
      </c>
      <c r="F180" s="79">
        <v>0.0</v>
      </c>
      <c r="G180" s="79">
        <v>0.0</v>
      </c>
      <c r="H180" s="79">
        <v>0.0</v>
      </c>
      <c r="I180" s="79">
        <v>0.0</v>
      </c>
      <c r="J180" s="79">
        <v>0.0</v>
      </c>
      <c r="K180" s="79">
        <v>0.0</v>
      </c>
      <c r="L180" s="79">
        <v>0.0</v>
      </c>
      <c r="M180" s="79">
        <v>0.0</v>
      </c>
      <c r="N180" s="79">
        <v>0.0</v>
      </c>
      <c r="O180" s="79">
        <v>0.0</v>
      </c>
      <c r="P180" s="79">
        <v>0.0</v>
      </c>
      <c r="Q180" s="79">
        <v>0.0</v>
      </c>
      <c r="R180" s="79">
        <v>0.0</v>
      </c>
    </row>
    <row r="181" ht="12.75" customHeight="1">
      <c r="A181" s="25" t="s">
        <v>135</v>
      </c>
      <c r="B181" s="79">
        <f t="shared" ref="B181:R181" si="105">B166/B171</f>
        <v>0.03575929427</v>
      </c>
      <c r="C181" s="79">
        <f t="shared" si="105"/>
        <v>0.03417321228</v>
      </c>
      <c r="D181" s="79">
        <f t="shared" si="105"/>
        <v>0.02796816272</v>
      </c>
      <c r="E181" s="79">
        <f t="shared" si="105"/>
        <v>0</v>
      </c>
      <c r="F181" s="79">
        <f t="shared" si="105"/>
        <v>0</v>
      </c>
      <c r="G181" s="79">
        <f t="shared" si="105"/>
        <v>0.05777166437</v>
      </c>
      <c r="H181" s="79">
        <f t="shared" si="105"/>
        <v>0.8106880894</v>
      </c>
      <c r="I181" s="79">
        <f t="shared" si="105"/>
        <v>0.7632346344</v>
      </c>
      <c r="J181" s="79">
        <f t="shared" si="105"/>
        <v>0.5723798954</v>
      </c>
      <c r="K181" s="79">
        <f t="shared" si="105"/>
        <v>0.5918773495</v>
      </c>
      <c r="L181" s="79">
        <f t="shared" si="105"/>
        <v>0.4331151186</v>
      </c>
      <c r="M181" s="79">
        <f t="shared" si="105"/>
        <v>0.8136634571</v>
      </c>
      <c r="N181" s="79">
        <f t="shared" si="105"/>
        <v>0.4660132112</v>
      </c>
      <c r="O181" s="79">
        <f t="shared" si="105"/>
        <v>0.4583572659</v>
      </c>
      <c r="P181" s="79" t="str">
        <f t="shared" si="105"/>
        <v>#DIV/0!</v>
      </c>
      <c r="Q181" s="79" t="str">
        <f t="shared" si="105"/>
        <v>#DIV/0!</v>
      </c>
      <c r="R181" s="79" t="str">
        <f t="shared" si="105"/>
        <v>#DIV/0!</v>
      </c>
    </row>
    <row r="182" ht="12.75" customHeight="1">
      <c r="A182" s="25" t="s">
        <v>155</v>
      </c>
      <c r="B182" s="79">
        <f t="shared" ref="B182:R182" si="106">B167/B171</f>
        <v>0.02425960933</v>
      </c>
      <c r="C182" s="79">
        <f t="shared" si="106"/>
        <v>0.02438029175</v>
      </c>
      <c r="D182" s="79">
        <f t="shared" si="106"/>
        <v>0.01868229052</v>
      </c>
      <c r="E182" s="79">
        <f t="shared" si="106"/>
        <v>0</v>
      </c>
      <c r="F182" s="79">
        <f t="shared" si="106"/>
        <v>0</v>
      </c>
      <c r="G182" s="79">
        <f t="shared" si="106"/>
        <v>0.01558917928</v>
      </c>
      <c r="H182" s="79">
        <f t="shared" si="106"/>
        <v>0.1755734078</v>
      </c>
      <c r="I182" s="79">
        <f t="shared" si="106"/>
        <v>0.1653207716</v>
      </c>
      <c r="J182" s="79">
        <f t="shared" si="106"/>
        <v>0</v>
      </c>
      <c r="K182" s="79">
        <f t="shared" si="106"/>
        <v>0</v>
      </c>
      <c r="L182" s="79">
        <f t="shared" si="106"/>
        <v>0.04668972332</v>
      </c>
      <c r="M182" s="79">
        <f t="shared" si="106"/>
        <v>0.04695093994</v>
      </c>
      <c r="N182" s="79">
        <f t="shared" si="106"/>
        <v>0</v>
      </c>
      <c r="O182" s="79">
        <f t="shared" si="106"/>
        <v>0.001723147616</v>
      </c>
      <c r="P182" s="79" t="str">
        <f t="shared" si="106"/>
        <v>#DIV/0!</v>
      </c>
      <c r="Q182" s="79" t="str">
        <f t="shared" si="106"/>
        <v>#DIV/0!</v>
      </c>
      <c r="R182" s="79" t="str">
        <f t="shared" si="106"/>
        <v>#DIV/0!</v>
      </c>
    </row>
    <row r="183" ht="12.75" customHeight="1">
      <c r="A183" s="25" t="s">
        <v>156</v>
      </c>
      <c r="B183" s="79">
        <f t="shared" ref="B183:R183" si="107">B168/B171</f>
        <v>0.003938248267</v>
      </c>
      <c r="C183" s="79">
        <f t="shared" si="107"/>
        <v>0.004284402734</v>
      </c>
      <c r="D183" s="79">
        <f t="shared" si="107"/>
        <v>0.002984744639</v>
      </c>
      <c r="E183" s="79">
        <f t="shared" si="107"/>
        <v>0.06151241535</v>
      </c>
      <c r="F183" s="79">
        <f t="shared" si="107"/>
        <v>0</v>
      </c>
      <c r="G183" s="79">
        <f t="shared" si="107"/>
        <v>0.003668042182</v>
      </c>
      <c r="H183" s="79">
        <f t="shared" si="107"/>
        <v>0.007684247293</v>
      </c>
      <c r="I183" s="79">
        <f t="shared" si="107"/>
        <v>0.06583669807</v>
      </c>
      <c r="J183" s="79">
        <f t="shared" si="107"/>
        <v>0.4276201046</v>
      </c>
      <c r="K183" s="79">
        <f t="shared" si="107"/>
        <v>0.4081226505</v>
      </c>
      <c r="L183" s="79">
        <f t="shared" si="107"/>
        <v>0.00358201581</v>
      </c>
      <c r="M183" s="79">
        <f t="shared" si="107"/>
        <v>0.01604768455</v>
      </c>
      <c r="N183" s="79">
        <f t="shared" si="107"/>
        <v>0.5339867888</v>
      </c>
      <c r="O183" s="79">
        <f t="shared" si="107"/>
        <v>0.06260769673</v>
      </c>
      <c r="P183" s="79" t="str">
        <f t="shared" si="107"/>
        <v>#DIV/0!</v>
      </c>
      <c r="Q183" s="79" t="str">
        <f t="shared" si="107"/>
        <v>#DIV/0!</v>
      </c>
      <c r="R183" s="79" t="str">
        <f t="shared" si="107"/>
        <v>#DIV/0!</v>
      </c>
    </row>
    <row r="184" ht="12.75" customHeight="1">
      <c r="A184" s="25" t="s">
        <v>157</v>
      </c>
      <c r="B184" s="79">
        <f t="shared" ref="B184:R184" si="108">B169/B171</f>
        <v>0.02678008822</v>
      </c>
      <c r="C184" s="79">
        <f t="shared" si="108"/>
        <v>0.03519330817</v>
      </c>
      <c r="D184" s="79">
        <f t="shared" si="108"/>
        <v>0.02277249613</v>
      </c>
      <c r="E184" s="79">
        <f t="shared" si="108"/>
        <v>0</v>
      </c>
      <c r="F184" s="79">
        <f t="shared" si="108"/>
        <v>0.01155503329</v>
      </c>
      <c r="G184" s="79">
        <f t="shared" si="108"/>
        <v>0.009170105456</v>
      </c>
      <c r="H184" s="79">
        <f t="shared" si="108"/>
        <v>0.006054255443</v>
      </c>
      <c r="I184" s="79">
        <f t="shared" si="108"/>
        <v>0.005607895917</v>
      </c>
      <c r="J184" s="79">
        <f t="shared" si="108"/>
        <v>0</v>
      </c>
      <c r="K184" s="79">
        <f t="shared" si="108"/>
        <v>0</v>
      </c>
      <c r="L184" s="79">
        <f t="shared" si="108"/>
        <v>0</v>
      </c>
      <c r="M184" s="79">
        <f t="shared" si="108"/>
        <v>0</v>
      </c>
      <c r="N184" s="79">
        <f t="shared" si="108"/>
        <v>0</v>
      </c>
      <c r="O184" s="79">
        <f t="shared" si="108"/>
        <v>0</v>
      </c>
      <c r="P184" s="79" t="str">
        <f t="shared" si="108"/>
        <v>#DIV/0!</v>
      </c>
      <c r="Q184" s="79" t="str">
        <f t="shared" si="108"/>
        <v>#DIV/0!</v>
      </c>
      <c r="R184" s="79" t="str">
        <f t="shared" si="108"/>
        <v>#DIV/0!</v>
      </c>
    </row>
    <row r="185" ht="12.75" customHeight="1">
      <c r="A185" s="25" t="s">
        <v>158</v>
      </c>
      <c r="B185" s="79">
        <f t="shared" ref="B185:R185" si="109">B170/B171</f>
        <v>0.9092627599</v>
      </c>
      <c r="C185" s="79">
        <f t="shared" si="109"/>
        <v>0.9019687851</v>
      </c>
      <c r="D185" s="79">
        <f t="shared" si="109"/>
        <v>0.927592306</v>
      </c>
      <c r="E185" s="79">
        <f t="shared" si="109"/>
        <v>0.9384875847</v>
      </c>
      <c r="F185" s="79">
        <f t="shared" si="109"/>
        <v>0.9884449667</v>
      </c>
      <c r="G185" s="79">
        <f t="shared" si="109"/>
        <v>0.9138010087</v>
      </c>
      <c r="H185" s="79">
        <f t="shared" si="109"/>
        <v>0</v>
      </c>
      <c r="I185" s="79">
        <f t="shared" si="109"/>
        <v>0</v>
      </c>
      <c r="J185" s="79">
        <f t="shared" si="109"/>
        <v>0</v>
      </c>
      <c r="K185" s="79">
        <f t="shared" si="109"/>
        <v>0</v>
      </c>
      <c r="L185" s="79">
        <f t="shared" si="109"/>
        <v>0.5166131423</v>
      </c>
      <c r="M185" s="79">
        <f t="shared" si="109"/>
        <v>0.1233379184</v>
      </c>
      <c r="N185" s="79">
        <f t="shared" si="109"/>
        <v>0</v>
      </c>
      <c r="O185" s="79">
        <f t="shared" si="109"/>
        <v>0.4773118897</v>
      </c>
      <c r="P185" s="79" t="str">
        <f t="shared" si="109"/>
        <v>#DIV/0!</v>
      </c>
      <c r="Q185" s="79" t="str">
        <f t="shared" si="109"/>
        <v>#DIV/0!</v>
      </c>
      <c r="R185" s="79" t="str">
        <f t="shared" si="109"/>
        <v>#DIV/0!</v>
      </c>
    </row>
    <row r="186" ht="12.75" customHeight="1">
      <c r="A186" s="99" t="s">
        <v>605</v>
      </c>
      <c r="B186" s="250">
        <f t="shared" ref="B186:R186" si="110">SUM(B174:B185)</f>
        <v>1</v>
      </c>
      <c r="C186" s="250">
        <f t="shared" si="110"/>
        <v>1</v>
      </c>
      <c r="D186" s="250">
        <f t="shared" si="110"/>
        <v>1</v>
      </c>
      <c r="E186" s="250">
        <f t="shared" si="110"/>
        <v>1</v>
      </c>
      <c r="F186" s="250">
        <f t="shared" si="110"/>
        <v>1</v>
      </c>
      <c r="G186" s="250">
        <f t="shared" si="110"/>
        <v>1</v>
      </c>
      <c r="H186" s="250">
        <f t="shared" si="110"/>
        <v>1</v>
      </c>
      <c r="I186" s="250">
        <f t="shared" si="110"/>
        <v>1</v>
      </c>
      <c r="J186" s="250">
        <f t="shared" si="110"/>
        <v>1</v>
      </c>
      <c r="K186" s="250">
        <f t="shared" si="110"/>
        <v>1</v>
      </c>
      <c r="L186" s="250">
        <f t="shared" si="110"/>
        <v>1</v>
      </c>
      <c r="M186" s="250">
        <f t="shared" si="110"/>
        <v>1</v>
      </c>
      <c r="N186" s="250">
        <f t="shared" si="110"/>
        <v>1</v>
      </c>
      <c r="O186" s="250">
        <f t="shared" si="110"/>
        <v>1</v>
      </c>
      <c r="P186" s="250" t="str">
        <f t="shared" si="110"/>
        <v>#DIV/0!</v>
      </c>
      <c r="Q186" s="250" t="str">
        <f t="shared" si="110"/>
        <v>#DIV/0!</v>
      </c>
      <c r="R186" s="250" t="str">
        <f t="shared" si="110"/>
        <v>#DIV/0!</v>
      </c>
    </row>
    <row r="187" ht="12.75" customHeight="1">
      <c r="J187" s="25"/>
    </row>
    <row r="188" ht="12.75" customHeight="1">
      <c r="J188" s="25"/>
    </row>
    <row r="189" ht="15.75" customHeight="1">
      <c r="A189" s="251" t="s">
        <v>606</v>
      </c>
      <c r="B189" s="86"/>
      <c r="J189" s="25"/>
    </row>
    <row r="190" ht="12.75" customHeight="1">
      <c r="A190" s="65" t="s">
        <v>252</v>
      </c>
      <c r="J190" s="25"/>
    </row>
    <row r="191" ht="12.75" customHeight="1">
      <c r="A191" s="113" t="s">
        <v>607</v>
      </c>
      <c r="B191" s="252">
        <v>0.001</v>
      </c>
      <c r="J191" s="25"/>
    </row>
    <row r="192" ht="12.75" customHeight="1">
      <c r="A192" s="113" t="s">
        <v>608</v>
      </c>
      <c r="B192" s="253">
        <f>3412.1/1000000</f>
        <v>0.0034121</v>
      </c>
      <c r="J192" s="25"/>
    </row>
    <row r="193" ht="12.75" customHeight="1">
      <c r="A193" s="113" t="s">
        <v>465</v>
      </c>
      <c r="B193" s="25">
        <v>0.001</v>
      </c>
      <c r="J193" s="25"/>
    </row>
    <row r="194" ht="15.0" customHeight="1">
      <c r="A194" s="113" t="s">
        <v>609</v>
      </c>
      <c r="B194" s="114">
        <v>1.0E-6</v>
      </c>
      <c r="J194" s="25"/>
    </row>
    <row r="195" ht="12.75" customHeight="1">
      <c r="A195" s="113" t="s">
        <v>610</v>
      </c>
      <c r="B195" s="254">
        <f>1/2204.6226</f>
        <v>0.0004535923745</v>
      </c>
      <c r="J195" s="25"/>
    </row>
    <row r="196" ht="15.0" customHeight="1">
      <c r="A196" s="143" t="s">
        <v>611</v>
      </c>
      <c r="B196" s="61">
        <v>21.0</v>
      </c>
      <c r="J196" s="25"/>
    </row>
    <row r="197" ht="15.0" customHeight="1">
      <c r="A197" s="143" t="s">
        <v>612</v>
      </c>
      <c r="B197" s="61">
        <v>310.0</v>
      </c>
      <c r="J197" s="25"/>
    </row>
    <row r="198" ht="12.75" customHeight="1">
      <c r="J198" s="25"/>
    </row>
    <row r="199" ht="12.75" customHeight="1">
      <c r="A199" s="65" t="s">
        <v>613</v>
      </c>
      <c r="J199" s="25"/>
    </row>
    <row r="200" ht="15.0" customHeight="1">
      <c r="A200" s="47" t="s">
        <v>614</v>
      </c>
      <c r="B200" s="149">
        <f>($B192*$B203*$B204*$B205*$B193)</f>
        <v>0.0001800095027</v>
      </c>
      <c r="J200" s="25"/>
    </row>
    <row r="201" ht="15.0" customHeight="1">
      <c r="A201" s="143" t="s">
        <v>615</v>
      </c>
      <c r="B201" s="146">
        <v>0.95</v>
      </c>
      <c r="J201" s="25"/>
    </row>
    <row r="202" ht="15.0" customHeight="1">
      <c r="A202" s="143" t="s">
        <v>616</v>
      </c>
      <c r="B202" s="145">
        <v>0.095</v>
      </c>
      <c r="J202" s="25"/>
    </row>
    <row r="203" ht="12.75" customHeight="1">
      <c r="A203" s="143" t="s">
        <v>262</v>
      </c>
      <c r="B203" s="61">
        <v>14.47</v>
      </c>
      <c r="J203" s="25"/>
    </row>
    <row r="204" ht="12.75" customHeight="1">
      <c r="A204" s="143" t="s">
        <v>263</v>
      </c>
      <c r="B204" s="61">
        <v>0.995</v>
      </c>
      <c r="J204" s="25"/>
    </row>
    <row r="205" ht="15.0" customHeight="1">
      <c r="A205" s="143" t="s">
        <v>617</v>
      </c>
      <c r="B205" s="145">
        <f>((12.011+32)/12.011)</f>
        <v>3.664224461</v>
      </c>
      <c r="J205" s="25"/>
    </row>
    <row r="206" ht="12.75" customHeight="1">
      <c r="J206" s="25"/>
    </row>
    <row r="207" ht="12.75" customHeight="1">
      <c r="A207" s="65" t="s">
        <v>618</v>
      </c>
      <c r="J207" s="25"/>
    </row>
    <row r="208" ht="15.0" customHeight="1">
      <c r="A208" s="47" t="s">
        <v>619</v>
      </c>
      <c r="B208" s="149">
        <f>($B192*$B211*$B212*$B213*$B193)</f>
        <v>0.0003155068919</v>
      </c>
      <c r="J208" s="25"/>
    </row>
    <row r="209" ht="15.0" customHeight="1">
      <c r="A209" s="143" t="s">
        <v>620</v>
      </c>
      <c r="B209" s="146">
        <v>1.0</v>
      </c>
      <c r="J209" s="25"/>
    </row>
    <row r="210" ht="15.0" customHeight="1">
      <c r="A210" s="143" t="s">
        <v>621</v>
      </c>
      <c r="B210" s="146">
        <v>1.4</v>
      </c>
      <c r="J210" s="25"/>
    </row>
    <row r="211" ht="12.75" customHeight="1">
      <c r="A211" s="143" t="s">
        <v>262</v>
      </c>
      <c r="B211" s="61">
        <v>25.49</v>
      </c>
      <c r="J211" s="25"/>
    </row>
    <row r="212" ht="12.75" customHeight="1">
      <c r="A212" s="143" t="s">
        <v>263</v>
      </c>
      <c r="B212" s="61">
        <v>0.99</v>
      </c>
      <c r="J212" s="25"/>
    </row>
    <row r="213" ht="15.0" customHeight="1">
      <c r="A213" s="143" t="s">
        <v>622</v>
      </c>
      <c r="B213" s="145">
        <f>((12.011+32)/12.011)</f>
        <v>3.664224461</v>
      </c>
      <c r="J213" s="25"/>
    </row>
    <row r="214" ht="12.75" customHeight="1">
      <c r="J214" s="25"/>
    </row>
    <row r="215" ht="12.75" customHeight="1">
      <c r="A215" s="65" t="s">
        <v>623</v>
      </c>
      <c r="J215" s="25"/>
    </row>
    <row r="216" ht="15.0" customHeight="1">
      <c r="A216" s="47" t="s">
        <v>624</v>
      </c>
      <c r="B216" s="149">
        <f>($B192*$B219*$B220*$B221*$B193)</f>
        <v>0.0002469345819</v>
      </c>
      <c r="J216" s="25"/>
    </row>
    <row r="217" ht="15.0" customHeight="1">
      <c r="A217" s="143" t="s">
        <v>625</v>
      </c>
      <c r="B217" s="146">
        <v>3.01</v>
      </c>
      <c r="J217" s="25"/>
    </row>
    <row r="218" ht="15.0" customHeight="1">
      <c r="A218" s="143" t="s">
        <v>626</v>
      </c>
      <c r="B218" s="145">
        <v>0.601</v>
      </c>
      <c r="J218" s="25"/>
    </row>
    <row r="219" ht="12.75" customHeight="1">
      <c r="A219" s="143" t="s">
        <v>262</v>
      </c>
      <c r="B219" s="61">
        <v>19.95</v>
      </c>
      <c r="J219" s="25"/>
    </row>
    <row r="220" ht="12.75" customHeight="1">
      <c r="A220" s="143" t="s">
        <v>263</v>
      </c>
      <c r="B220" s="61">
        <v>0.99</v>
      </c>
      <c r="J220" s="25"/>
    </row>
    <row r="221" ht="15.0" customHeight="1">
      <c r="A221" s="143" t="s">
        <v>627</v>
      </c>
      <c r="B221" s="145">
        <f>((12.011+32)/12.011)</f>
        <v>3.664224461</v>
      </c>
      <c r="J221" s="25"/>
    </row>
    <row r="222" ht="12.75" customHeight="1">
      <c r="J222" s="25"/>
    </row>
    <row r="223" ht="12.75" customHeight="1">
      <c r="A223" s="65" t="s">
        <v>628</v>
      </c>
      <c r="J223" s="25"/>
    </row>
    <row r="224" ht="15.0" customHeight="1">
      <c r="A224" s="47" t="s">
        <v>629</v>
      </c>
      <c r="B224" s="149">
        <f>($B192*$B227*$B228*$B229*$B193)</f>
        <v>0.0002659961988</v>
      </c>
      <c r="J224" s="25"/>
    </row>
    <row r="225" ht="15.0" customHeight="1">
      <c r="A225" s="143" t="s">
        <v>630</v>
      </c>
      <c r="B225" s="146">
        <v>3.01</v>
      </c>
      <c r="J225" s="25"/>
    </row>
    <row r="226" ht="15.0" customHeight="1">
      <c r="A226" s="143" t="s">
        <v>631</v>
      </c>
      <c r="B226" s="145">
        <v>0.601</v>
      </c>
      <c r="J226" s="25"/>
    </row>
    <row r="227" ht="12.75" customHeight="1">
      <c r="A227" s="143" t="s">
        <v>262</v>
      </c>
      <c r="B227" s="61">
        <v>21.49</v>
      </c>
      <c r="J227" s="25"/>
    </row>
    <row r="228" ht="12.75" customHeight="1">
      <c r="A228" s="143" t="s">
        <v>263</v>
      </c>
      <c r="B228" s="61">
        <v>0.99</v>
      </c>
      <c r="J228" s="25"/>
    </row>
    <row r="229" ht="15.0" customHeight="1">
      <c r="A229" s="143" t="s">
        <v>632</v>
      </c>
      <c r="B229" s="145">
        <f>((12.011+32)/12.011)</f>
        <v>3.664224461</v>
      </c>
      <c r="J229" s="25"/>
    </row>
    <row r="230" ht="12.75" customHeight="1">
      <c r="J230" s="25"/>
    </row>
    <row r="231" ht="12.75" customHeight="1">
      <c r="A231" s="255" t="s">
        <v>633</v>
      </c>
      <c r="J231" s="25"/>
    </row>
    <row r="232" ht="15.0" customHeight="1">
      <c r="A232" s="47" t="s">
        <v>634</v>
      </c>
      <c r="B232" s="144">
        <f>(B191*B233*B195)</f>
        <v>0.0004069222551</v>
      </c>
      <c r="J232" s="25"/>
    </row>
    <row r="233" ht="15.0" customHeight="1">
      <c r="A233" s="143" t="s">
        <v>635</v>
      </c>
      <c r="B233" s="61">
        <v>897.11</v>
      </c>
      <c r="J233" s="25"/>
    </row>
    <row r="234" ht="15.0" customHeight="1">
      <c r="A234" s="143" t="s">
        <v>636</v>
      </c>
      <c r="B234" s="224">
        <v>0.0766</v>
      </c>
      <c r="J234" s="25"/>
    </row>
    <row r="235" ht="15.0" customHeight="1">
      <c r="A235" s="143" t="s">
        <v>637</v>
      </c>
      <c r="B235" s="224">
        <v>0.0159</v>
      </c>
      <c r="J235" s="25"/>
    </row>
    <row r="236" ht="12.75" customHeight="1">
      <c r="J236" s="25"/>
    </row>
    <row r="237" ht="12.75" customHeight="1">
      <c r="J237" s="25"/>
    </row>
    <row r="238" ht="12.75" customHeight="1">
      <c r="J238" s="25"/>
    </row>
    <row r="239" ht="12.75" customHeight="1">
      <c r="J239" s="25"/>
    </row>
    <row r="240" ht="12.75" customHeight="1">
      <c r="J240" s="25"/>
    </row>
    <row r="241" ht="12.75" customHeight="1">
      <c r="J241" s="25"/>
    </row>
    <row r="242" ht="12.75" customHeight="1">
      <c r="J242" s="25"/>
    </row>
    <row r="243" ht="12.75" customHeight="1">
      <c r="J243" s="25"/>
    </row>
    <row r="244" ht="12.75" customHeight="1">
      <c r="J244" s="25"/>
    </row>
    <row r="245" ht="12.75" customHeight="1">
      <c r="J245" s="25"/>
    </row>
    <row r="246" ht="12.75" customHeight="1">
      <c r="J246" s="25"/>
    </row>
    <row r="247" ht="12.75" customHeight="1">
      <c r="J247" s="25"/>
    </row>
    <row r="248" ht="12.75" customHeight="1">
      <c r="J248" s="25"/>
    </row>
    <row r="249" ht="12.75" customHeight="1">
      <c r="J249" s="25"/>
    </row>
    <row r="250" ht="12.75" customHeight="1">
      <c r="J250" s="25"/>
    </row>
    <row r="251" ht="12.75" customHeight="1">
      <c r="J251" s="25"/>
    </row>
    <row r="252" ht="12.75" customHeight="1">
      <c r="J252" s="25"/>
    </row>
    <row r="253" ht="12.75" customHeight="1">
      <c r="J253" s="25"/>
    </row>
    <row r="254" ht="12.75" customHeight="1">
      <c r="J254" s="25"/>
    </row>
    <row r="255" ht="12.75" customHeight="1">
      <c r="J255" s="25"/>
    </row>
    <row r="256" ht="12.75" customHeight="1">
      <c r="J256" s="25"/>
    </row>
    <row r="257" ht="12.75" customHeight="1">
      <c r="J257" s="25"/>
    </row>
    <row r="258" ht="12.75" customHeight="1">
      <c r="J258" s="25"/>
    </row>
    <row r="259" ht="12.75" customHeight="1">
      <c r="J259" s="25"/>
    </row>
    <row r="260" ht="12.75" customHeight="1">
      <c r="J260" s="25"/>
    </row>
    <row r="261" ht="12.75" customHeight="1">
      <c r="J261" s="25"/>
    </row>
    <row r="262" ht="12.75" customHeight="1">
      <c r="J262" s="25"/>
    </row>
    <row r="263" ht="12.75" customHeight="1">
      <c r="J263" s="25"/>
    </row>
    <row r="264" ht="12.75" customHeight="1">
      <c r="J264" s="25"/>
    </row>
    <row r="265" ht="12.75" customHeight="1">
      <c r="J265" s="25"/>
    </row>
    <row r="266" ht="12.75" customHeight="1">
      <c r="J266" s="25"/>
    </row>
    <row r="267" ht="12.75" customHeight="1">
      <c r="J267" s="25"/>
    </row>
    <row r="268" ht="12.75" customHeight="1">
      <c r="J268" s="25"/>
    </row>
    <row r="269" ht="12.75" customHeight="1">
      <c r="J269" s="25"/>
    </row>
    <row r="270" ht="12.75" customHeight="1">
      <c r="J270" s="25"/>
    </row>
    <row r="271" ht="12.75" customHeight="1">
      <c r="J271" s="25"/>
    </row>
    <row r="272" ht="12.75" customHeight="1">
      <c r="J272" s="25"/>
    </row>
    <row r="273" ht="12.75" customHeight="1">
      <c r="J273" s="25"/>
    </row>
    <row r="274" ht="12.75" customHeight="1">
      <c r="J274" s="25"/>
    </row>
    <row r="275" ht="12.75" customHeight="1">
      <c r="J275" s="25"/>
    </row>
    <row r="276" ht="12.75" customHeight="1">
      <c r="J276" s="25"/>
    </row>
    <row r="277" ht="12.75" customHeight="1">
      <c r="J277" s="25"/>
    </row>
    <row r="278" ht="12.75" customHeight="1">
      <c r="J278" s="25"/>
    </row>
    <row r="279" ht="12.75" customHeight="1">
      <c r="J279" s="25"/>
    </row>
    <row r="280" ht="12.75" customHeight="1">
      <c r="J280" s="25"/>
    </row>
    <row r="281" ht="12.75" customHeight="1">
      <c r="J281" s="25"/>
    </row>
    <row r="282" ht="12.75" customHeight="1">
      <c r="J282" s="25"/>
    </row>
    <row r="283" ht="12.75" customHeight="1">
      <c r="J283" s="25"/>
    </row>
    <row r="284" ht="12.75" customHeight="1">
      <c r="J284" s="25"/>
    </row>
    <row r="285" ht="12.75" customHeight="1">
      <c r="J285" s="25"/>
    </row>
    <row r="286" ht="12.75" customHeight="1">
      <c r="J286" s="25"/>
    </row>
    <row r="287" ht="12.75" customHeight="1">
      <c r="J287" s="25"/>
    </row>
    <row r="288" ht="12.75" customHeight="1">
      <c r="J288" s="25"/>
    </row>
    <row r="289" ht="12.75" customHeight="1">
      <c r="J289" s="25"/>
    </row>
    <row r="290" ht="12.75" customHeight="1">
      <c r="J290" s="25"/>
    </row>
    <row r="291" ht="12.75" customHeight="1">
      <c r="J291" s="25"/>
    </row>
    <row r="292" ht="12.75" customHeight="1">
      <c r="J292" s="25"/>
    </row>
    <row r="293" ht="12.75" customHeight="1">
      <c r="J293" s="25"/>
    </row>
    <row r="294" ht="12.75" customHeight="1">
      <c r="J294" s="25"/>
    </row>
    <row r="295" ht="12.75" customHeight="1">
      <c r="J295" s="25"/>
    </row>
    <row r="296" ht="12.75" customHeight="1">
      <c r="J296" s="25"/>
    </row>
    <row r="297" ht="12.75" customHeight="1">
      <c r="J297" s="25"/>
    </row>
    <row r="298" ht="12.75" customHeight="1">
      <c r="J298" s="25"/>
    </row>
    <row r="299" ht="12.75" customHeight="1">
      <c r="J299" s="25"/>
    </row>
    <row r="300" ht="12.75" customHeight="1">
      <c r="J300" s="25"/>
    </row>
    <row r="301" ht="12.75" customHeight="1">
      <c r="J301" s="25"/>
    </row>
    <row r="302" ht="12.75" customHeight="1">
      <c r="J302" s="25"/>
    </row>
    <row r="303" ht="12.75" customHeight="1">
      <c r="J303" s="25"/>
    </row>
    <row r="304" ht="12.75" customHeight="1">
      <c r="J304" s="25"/>
    </row>
    <row r="305" ht="12.75" customHeight="1">
      <c r="J305" s="25"/>
    </row>
    <row r="306" ht="12.75" customHeight="1">
      <c r="J306" s="25"/>
    </row>
    <row r="307" ht="12.75" customHeight="1">
      <c r="J307" s="25"/>
    </row>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2:G5"/>
    <mergeCell ref="A231:B231"/>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5"/>
    <col customWidth="1" min="2" max="8" width="8.88"/>
    <col customWidth="1" min="9" max="26" width="10.0"/>
  </cols>
  <sheetData>
    <row r="1" ht="18.0" customHeight="1">
      <c r="A1" s="256" t="s">
        <v>519</v>
      </c>
      <c r="B1" s="90"/>
      <c r="C1" s="90"/>
      <c r="D1" s="90"/>
      <c r="E1" s="90"/>
      <c r="F1" s="90"/>
      <c r="G1" s="91"/>
    </row>
    <row r="2" ht="12.75" customHeight="1">
      <c r="A2" s="110" t="s">
        <v>638</v>
      </c>
    </row>
    <row r="3" ht="12.75" customHeight="1"/>
    <row r="4" ht="12.75" customHeight="1"/>
    <row r="5" ht="12.75" customHeight="1"/>
    <row r="6" ht="12.75" customHeight="1"/>
    <row r="7" ht="15.75" customHeight="1">
      <c r="A7" s="92" t="s">
        <v>251</v>
      </c>
    </row>
    <row r="8" ht="12.75" customHeight="1">
      <c r="A8" s="56" t="s">
        <v>262</v>
      </c>
      <c r="B8" s="156" t="s">
        <v>639</v>
      </c>
    </row>
    <row r="9" ht="12.75" customHeight="1"/>
    <row r="10" ht="12.75" customHeight="1">
      <c r="A10" s="56" t="s">
        <v>263</v>
      </c>
      <c r="B10" s="156" t="s">
        <v>639</v>
      </c>
    </row>
    <row r="11" ht="12.75" customHeight="1"/>
    <row r="12" ht="15.0" customHeight="1">
      <c r="A12" s="56" t="s">
        <v>640</v>
      </c>
      <c r="B12" s="156" t="s">
        <v>641</v>
      </c>
    </row>
    <row r="13" ht="12.75" customHeight="1"/>
    <row r="14" ht="15.0" customHeight="1">
      <c r="A14" s="56" t="s">
        <v>642</v>
      </c>
      <c r="B14" s="156" t="s">
        <v>643</v>
      </c>
    </row>
    <row r="15" ht="12.75" customHeight="1"/>
    <row r="16" ht="15.0" customHeight="1"/>
    <row r="17" ht="15.0" customHeight="1">
      <c r="A17" s="56" t="s">
        <v>644</v>
      </c>
      <c r="B17" s="156" t="s">
        <v>645</v>
      </c>
    </row>
    <row r="18" ht="12.75" customHeight="1"/>
    <row r="19" ht="12.75" customHeight="1"/>
    <row r="20" ht="15.75" customHeight="1"/>
    <row r="21" ht="15.0" customHeight="1">
      <c r="A21" s="56" t="s">
        <v>646</v>
      </c>
      <c r="B21" s="156" t="s">
        <v>647</v>
      </c>
    </row>
    <row r="22" ht="12.75" customHeight="1"/>
    <row r="23" ht="12.75" customHeight="1"/>
    <row r="24" ht="15.0" customHeight="1">
      <c r="A24" s="56" t="s">
        <v>648</v>
      </c>
      <c r="B24" s="156" t="s">
        <v>649</v>
      </c>
    </row>
    <row r="25" ht="12.75" customHeight="1"/>
    <row r="26" ht="12.75" customHeight="1"/>
    <row r="27" ht="15.75" customHeight="1"/>
    <row r="28" ht="12.75" customHeight="1"/>
    <row r="29" ht="12.75" customHeight="1">
      <c r="A29" s="25" t="s">
        <v>607</v>
      </c>
      <c r="B29" s="83" t="s">
        <v>335</v>
      </c>
    </row>
    <row r="30" ht="12.75" customHeight="1">
      <c r="A30" s="56" t="s">
        <v>608</v>
      </c>
      <c r="B30" s="83" t="s">
        <v>335</v>
      </c>
    </row>
    <row r="31" ht="12.75" customHeight="1">
      <c r="A31" s="56" t="s">
        <v>650</v>
      </c>
      <c r="B31" s="83" t="s">
        <v>335</v>
      </c>
    </row>
    <row r="32" ht="12.75" customHeight="1">
      <c r="A32" s="56" t="s">
        <v>651</v>
      </c>
      <c r="B32" s="83" t="s">
        <v>335</v>
      </c>
    </row>
    <row r="33" ht="12.75" customHeight="1">
      <c r="A33" s="56" t="s">
        <v>255</v>
      </c>
      <c r="B33" s="83" t="s">
        <v>335</v>
      </c>
    </row>
    <row r="34" ht="12.75" customHeight="1"/>
    <row r="35" ht="15.75" customHeight="1">
      <c r="A35" s="64" t="s">
        <v>521</v>
      </c>
    </row>
    <row r="36" ht="12.75" customHeight="1">
      <c r="A36" s="55" t="s">
        <v>652</v>
      </c>
      <c r="B36" s="157" t="s">
        <v>653</v>
      </c>
      <c r="C36" s="158"/>
      <c r="D36" s="158"/>
      <c r="E36" s="158"/>
      <c r="F36" s="158"/>
      <c r="G36" s="158"/>
      <c r="H36" s="159"/>
    </row>
    <row r="37" ht="12.75" customHeight="1">
      <c r="A37" s="55"/>
      <c r="B37" s="160"/>
      <c r="C37" s="7"/>
      <c r="D37" s="7"/>
      <c r="E37" s="7"/>
      <c r="F37" s="7"/>
      <c r="G37" s="7"/>
      <c r="H37" s="8"/>
    </row>
    <row r="38" ht="12.75" customHeight="1">
      <c r="A38" s="55" t="s">
        <v>654</v>
      </c>
      <c r="B38" s="157" t="s">
        <v>655</v>
      </c>
      <c r="C38" s="158"/>
      <c r="D38" s="158"/>
      <c r="E38" s="158"/>
      <c r="F38" s="158"/>
      <c r="G38" s="158"/>
      <c r="H38" s="159"/>
    </row>
    <row r="39" ht="12.75" customHeight="1">
      <c r="A39" s="55"/>
      <c r="B39" s="229"/>
      <c r="H39" s="5"/>
    </row>
    <row r="40" ht="12.75" customHeight="1">
      <c r="A40" s="55"/>
      <c r="B40" s="160"/>
      <c r="C40" s="7"/>
      <c r="D40" s="7"/>
      <c r="E40" s="7"/>
      <c r="F40" s="7"/>
      <c r="G40" s="7"/>
      <c r="H40" s="8"/>
    </row>
    <row r="41" ht="12.75" customHeight="1">
      <c r="A41" s="55" t="s">
        <v>656</v>
      </c>
      <c r="B41" s="157" t="s">
        <v>657</v>
      </c>
      <c r="C41" s="158"/>
      <c r="D41" s="158"/>
      <c r="E41" s="158"/>
      <c r="F41" s="158"/>
      <c r="G41" s="158"/>
      <c r="H41" s="159"/>
    </row>
    <row r="42" ht="12.75" customHeight="1">
      <c r="A42" s="55"/>
      <c r="B42" s="160"/>
      <c r="C42" s="7"/>
      <c r="D42" s="7"/>
      <c r="E42" s="7"/>
      <c r="F42" s="7"/>
      <c r="G42" s="7"/>
      <c r="H42" s="8"/>
    </row>
    <row r="43" ht="12.75" customHeight="1">
      <c r="A43" s="55" t="s">
        <v>658</v>
      </c>
      <c r="B43" s="157" t="s">
        <v>337</v>
      </c>
      <c r="C43" s="158"/>
      <c r="D43" s="158"/>
      <c r="E43" s="158"/>
      <c r="F43" s="158"/>
      <c r="G43" s="158"/>
      <c r="H43" s="159"/>
    </row>
    <row r="44" ht="12.75" customHeight="1">
      <c r="A44" s="55"/>
      <c r="B44" s="160"/>
      <c r="C44" s="7"/>
      <c r="D44" s="7"/>
      <c r="E44" s="7"/>
      <c r="F44" s="7"/>
      <c r="G44" s="7"/>
      <c r="H44" s="8"/>
    </row>
    <row r="45" ht="12.75" customHeight="1">
      <c r="A45" s="55" t="s">
        <v>659</v>
      </c>
      <c r="B45" s="257" t="s">
        <v>660</v>
      </c>
      <c r="C45" s="90"/>
      <c r="D45" s="90"/>
      <c r="E45" s="90"/>
      <c r="F45" s="90"/>
      <c r="G45" s="90"/>
      <c r="H45" s="91"/>
    </row>
    <row r="46" ht="12.75" customHeight="1">
      <c r="A46" s="55" t="s">
        <v>661</v>
      </c>
      <c r="B46" s="257" t="s">
        <v>660</v>
      </c>
      <c r="C46" s="90"/>
      <c r="D46" s="90"/>
      <c r="E46" s="90"/>
      <c r="F46" s="90"/>
      <c r="G46" s="90"/>
      <c r="H46" s="91"/>
    </row>
    <row r="47" ht="12.75" customHeight="1">
      <c r="A47" s="25"/>
      <c r="B47" s="25"/>
      <c r="C47" s="25"/>
      <c r="D47" s="25"/>
      <c r="E47" s="25"/>
      <c r="F47" s="25"/>
      <c r="G47" s="25"/>
      <c r="H47" s="25"/>
    </row>
    <row r="48" ht="12.75" customHeight="1">
      <c r="A48" s="47" t="s">
        <v>662</v>
      </c>
      <c r="B48" s="25"/>
      <c r="C48" s="25"/>
      <c r="D48" s="25"/>
      <c r="E48" s="25"/>
      <c r="F48" s="25"/>
      <c r="G48" s="25"/>
      <c r="H48" s="25"/>
    </row>
    <row r="49" ht="12.75" customHeight="1">
      <c r="A49" s="258"/>
      <c r="B49" s="259" t="s">
        <v>663</v>
      </c>
      <c r="C49" s="57"/>
      <c r="D49" s="57"/>
      <c r="E49" s="57"/>
      <c r="F49" s="57"/>
      <c r="G49" s="57"/>
      <c r="H49" s="25"/>
    </row>
    <row r="50" ht="12.75" customHeight="1">
      <c r="A50" s="258"/>
      <c r="B50" s="259" t="s">
        <v>664</v>
      </c>
      <c r="C50" s="57"/>
      <c r="D50" s="57"/>
      <c r="E50" s="57"/>
      <c r="F50" s="57"/>
      <c r="G50" s="57"/>
      <c r="H50" s="25"/>
    </row>
    <row r="51" ht="12.75" customHeight="1">
      <c r="A51" s="57"/>
      <c r="B51" s="259" t="s">
        <v>665</v>
      </c>
      <c r="C51" s="57"/>
      <c r="D51" s="57"/>
      <c r="E51" s="57"/>
      <c r="F51" s="57"/>
      <c r="G51" s="57"/>
    </row>
    <row r="52" ht="12.75" customHeight="1">
      <c r="A52" s="57" t="s">
        <v>534</v>
      </c>
      <c r="B52" s="227" t="s">
        <v>666</v>
      </c>
      <c r="C52" s="158"/>
      <c r="D52" s="158"/>
      <c r="E52" s="158"/>
      <c r="F52" s="158"/>
      <c r="G52" s="159"/>
    </row>
    <row r="53" ht="12.75" customHeight="1">
      <c r="A53" s="57"/>
      <c r="B53" s="160"/>
      <c r="C53" s="7"/>
      <c r="D53" s="7"/>
      <c r="E53" s="7"/>
      <c r="F53" s="7"/>
      <c r="G53" s="8"/>
    </row>
    <row r="54" ht="12.75" customHeight="1">
      <c r="A54" s="57" t="s">
        <v>535</v>
      </c>
      <c r="B54" s="227" t="s">
        <v>666</v>
      </c>
      <c r="C54" s="158"/>
      <c r="D54" s="158"/>
      <c r="E54" s="158"/>
      <c r="F54" s="158"/>
      <c r="G54" s="159"/>
    </row>
    <row r="55" ht="12.75" customHeight="1">
      <c r="A55" s="57"/>
      <c r="B55" s="160"/>
      <c r="C55" s="7"/>
      <c r="D55" s="7"/>
      <c r="E55" s="7"/>
      <c r="F55" s="7"/>
      <c r="G55" s="8"/>
    </row>
    <row r="56" ht="12.75" customHeight="1">
      <c r="A56" s="57" t="s">
        <v>537</v>
      </c>
      <c r="B56" s="227" t="s">
        <v>666</v>
      </c>
      <c r="C56" s="158"/>
      <c r="D56" s="158"/>
      <c r="E56" s="158"/>
      <c r="F56" s="158"/>
      <c r="G56" s="159"/>
    </row>
    <row r="57" ht="12.75" customHeight="1">
      <c r="A57" s="57"/>
      <c r="B57" s="160"/>
      <c r="C57" s="7"/>
      <c r="D57" s="7"/>
      <c r="E57" s="7"/>
      <c r="F57" s="7"/>
      <c r="G57" s="8"/>
    </row>
    <row r="58" ht="12.75" customHeight="1">
      <c r="A58" s="57" t="s">
        <v>538</v>
      </c>
      <c r="B58" s="227" t="s">
        <v>666</v>
      </c>
      <c r="C58" s="158"/>
      <c r="D58" s="158"/>
      <c r="E58" s="158"/>
      <c r="F58" s="158"/>
      <c r="G58" s="159"/>
    </row>
    <row r="59" ht="12.75" customHeight="1">
      <c r="A59" s="57"/>
      <c r="B59" s="160"/>
      <c r="C59" s="7"/>
      <c r="D59" s="7"/>
      <c r="E59" s="7"/>
      <c r="F59" s="7"/>
      <c r="G59" s="8"/>
    </row>
    <row r="60" ht="12.75" customHeight="1">
      <c r="A60" s="57" t="s">
        <v>539</v>
      </c>
      <c r="B60" s="227" t="s">
        <v>666</v>
      </c>
      <c r="C60" s="158"/>
      <c r="D60" s="158"/>
      <c r="E60" s="158"/>
      <c r="F60" s="158"/>
      <c r="G60" s="159"/>
    </row>
    <row r="61" ht="12.75" customHeight="1">
      <c r="A61" s="57"/>
      <c r="B61" s="160"/>
      <c r="C61" s="7"/>
      <c r="D61" s="7"/>
      <c r="E61" s="7"/>
      <c r="F61" s="7"/>
      <c r="G61" s="8"/>
    </row>
    <row r="62" ht="12.75" customHeight="1">
      <c r="A62" s="57" t="s">
        <v>540</v>
      </c>
      <c r="B62" s="227" t="s">
        <v>666</v>
      </c>
      <c r="C62" s="158"/>
      <c r="D62" s="158"/>
      <c r="E62" s="158"/>
      <c r="F62" s="158"/>
      <c r="G62" s="159"/>
    </row>
    <row r="63" ht="12.75" customHeight="1">
      <c r="A63" s="57"/>
      <c r="B63" s="160"/>
      <c r="C63" s="7"/>
      <c r="D63" s="7"/>
      <c r="E63" s="7"/>
      <c r="F63" s="7"/>
      <c r="G63" s="8"/>
    </row>
    <row r="64" ht="12.75" customHeight="1">
      <c r="A64" s="57" t="s">
        <v>541</v>
      </c>
      <c r="B64" s="227" t="s">
        <v>666</v>
      </c>
      <c r="C64" s="158"/>
      <c r="D64" s="158"/>
      <c r="E64" s="158"/>
      <c r="F64" s="158"/>
      <c r="G64" s="159"/>
    </row>
    <row r="65" ht="12.75" customHeight="1">
      <c r="A65" s="57"/>
      <c r="B65" s="160"/>
      <c r="C65" s="7"/>
      <c r="D65" s="7"/>
      <c r="E65" s="7"/>
      <c r="F65" s="7"/>
      <c r="G65" s="8"/>
    </row>
    <row r="66" ht="12.75" customHeight="1">
      <c r="A66" s="57" t="s">
        <v>667</v>
      </c>
      <c r="B66" s="227" t="s">
        <v>666</v>
      </c>
      <c r="C66" s="158"/>
      <c r="D66" s="158"/>
      <c r="E66" s="158"/>
      <c r="F66" s="158"/>
      <c r="G66" s="159"/>
    </row>
    <row r="67" ht="12.75" customHeight="1">
      <c r="A67" s="57"/>
      <c r="B67" s="160"/>
      <c r="C67" s="7"/>
      <c r="D67" s="7"/>
      <c r="E67" s="7"/>
      <c r="F67" s="7"/>
      <c r="G67" s="8"/>
    </row>
    <row r="68" ht="12.75" customHeight="1">
      <c r="A68" s="57" t="s">
        <v>544</v>
      </c>
      <c r="B68" s="227" t="s">
        <v>666</v>
      </c>
      <c r="C68" s="158"/>
      <c r="D68" s="158"/>
      <c r="E68" s="158"/>
      <c r="F68" s="158"/>
      <c r="G68" s="159"/>
    </row>
    <row r="69" ht="12.75" customHeight="1">
      <c r="A69" s="57"/>
      <c r="B69" s="160"/>
      <c r="C69" s="7"/>
      <c r="D69" s="7"/>
      <c r="E69" s="7"/>
      <c r="F69" s="7"/>
      <c r="G69" s="8"/>
    </row>
    <row r="70" ht="12.75" customHeight="1">
      <c r="B70" s="156"/>
      <c r="C70" s="156"/>
      <c r="D70" s="156"/>
      <c r="E70" s="156"/>
      <c r="F70" s="156"/>
      <c r="G70" s="156"/>
    </row>
    <row r="71" ht="12.75" customHeight="1">
      <c r="A71" s="47" t="s">
        <v>668</v>
      </c>
      <c r="B71" s="156"/>
      <c r="C71" s="156"/>
      <c r="D71" s="156"/>
      <c r="E71" s="156"/>
      <c r="F71" s="156"/>
      <c r="G71" s="156"/>
    </row>
    <row r="72" ht="12.75" customHeight="1">
      <c r="A72" s="57"/>
      <c r="B72" s="260" t="s">
        <v>669</v>
      </c>
      <c r="C72" s="158"/>
      <c r="D72" s="158"/>
      <c r="E72" s="158"/>
      <c r="F72" s="158"/>
      <c r="G72" s="159"/>
    </row>
    <row r="73" ht="12.75" customHeight="1">
      <c r="A73" s="57"/>
      <c r="B73" s="229"/>
      <c r="G73" s="5"/>
    </row>
    <row r="74" ht="12.75" customHeight="1">
      <c r="A74" s="57"/>
      <c r="B74" s="229"/>
      <c r="G74" s="5"/>
    </row>
    <row r="75" ht="12.75" customHeight="1">
      <c r="A75" s="57"/>
      <c r="B75" s="229"/>
      <c r="G75" s="5"/>
    </row>
    <row r="76" ht="12.75" customHeight="1">
      <c r="A76" s="57"/>
      <c r="B76" s="229"/>
      <c r="G76" s="5"/>
    </row>
    <row r="77" ht="34.5" customHeight="1">
      <c r="A77" s="57"/>
      <c r="B77" s="160"/>
      <c r="C77" s="7"/>
      <c r="D77" s="7"/>
      <c r="E77" s="7"/>
      <c r="F77" s="7"/>
      <c r="G77" s="8"/>
    </row>
    <row r="78" ht="12.75" customHeight="1">
      <c r="A78" s="57" t="s">
        <v>534</v>
      </c>
      <c r="B78" s="227" t="s">
        <v>670</v>
      </c>
      <c r="C78" s="158"/>
      <c r="D78" s="158"/>
      <c r="E78" s="158"/>
      <c r="F78" s="158"/>
      <c r="G78" s="159"/>
    </row>
    <row r="79" ht="13.5" customHeight="1">
      <c r="A79" s="57"/>
      <c r="B79" s="160"/>
      <c r="C79" s="7"/>
      <c r="D79" s="7"/>
      <c r="E79" s="7"/>
      <c r="F79" s="7"/>
      <c r="G79" s="8"/>
    </row>
    <row r="80" ht="12.75" customHeight="1">
      <c r="A80" s="57" t="s">
        <v>535</v>
      </c>
      <c r="B80" s="227" t="s">
        <v>670</v>
      </c>
      <c r="C80" s="158"/>
      <c r="D80" s="158"/>
      <c r="E80" s="158"/>
      <c r="F80" s="158"/>
      <c r="G80" s="159"/>
    </row>
    <row r="81" ht="12.75" customHeight="1">
      <c r="A81" s="57"/>
      <c r="B81" s="160"/>
      <c r="C81" s="7"/>
      <c r="D81" s="7"/>
      <c r="E81" s="7"/>
      <c r="F81" s="7"/>
      <c r="G81" s="8"/>
    </row>
    <row r="82" ht="12.75" customHeight="1">
      <c r="A82" s="57" t="s">
        <v>537</v>
      </c>
      <c r="B82" s="227" t="s">
        <v>670</v>
      </c>
      <c r="C82" s="158"/>
      <c r="D82" s="158"/>
      <c r="E82" s="158"/>
      <c r="F82" s="158"/>
      <c r="G82" s="159"/>
    </row>
    <row r="83" ht="12.75" customHeight="1">
      <c r="A83" s="57"/>
      <c r="B83" s="160"/>
      <c r="C83" s="7"/>
      <c r="D83" s="7"/>
      <c r="E83" s="7"/>
      <c r="F83" s="7"/>
      <c r="G83" s="8"/>
    </row>
    <row r="84" ht="12.75" customHeight="1">
      <c r="A84" s="57" t="s">
        <v>538</v>
      </c>
      <c r="B84" s="227" t="s">
        <v>670</v>
      </c>
      <c r="C84" s="158"/>
      <c r="D84" s="158"/>
      <c r="E84" s="158"/>
      <c r="F84" s="158"/>
      <c r="G84" s="159"/>
    </row>
    <row r="85" ht="12.75" customHeight="1">
      <c r="A85" s="57"/>
      <c r="B85" s="160"/>
      <c r="C85" s="7"/>
      <c r="D85" s="7"/>
      <c r="E85" s="7"/>
      <c r="F85" s="7"/>
      <c r="G85" s="8"/>
    </row>
    <row r="86" ht="12.75" customHeight="1">
      <c r="A86" s="57" t="s">
        <v>539</v>
      </c>
      <c r="B86" s="227" t="s">
        <v>670</v>
      </c>
      <c r="C86" s="158"/>
      <c r="D86" s="158"/>
      <c r="E86" s="158"/>
      <c r="F86" s="158"/>
      <c r="G86" s="159"/>
    </row>
    <row r="87" ht="12.75" customHeight="1">
      <c r="A87" s="57"/>
      <c r="B87" s="160"/>
      <c r="C87" s="7"/>
      <c r="D87" s="7"/>
      <c r="E87" s="7"/>
      <c r="F87" s="7"/>
      <c r="G87" s="8"/>
    </row>
    <row r="88" ht="12.75" customHeight="1">
      <c r="A88" s="57" t="s">
        <v>540</v>
      </c>
      <c r="B88" s="227" t="s">
        <v>670</v>
      </c>
      <c r="C88" s="158"/>
      <c r="D88" s="158"/>
      <c r="E88" s="158"/>
      <c r="F88" s="158"/>
      <c r="G88" s="159"/>
    </row>
    <row r="89" ht="12.75" customHeight="1">
      <c r="A89" s="57"/>
      <c r="B89" s="160"/>
      <c r="C89" s="7"/>
      <c r="D89" s="7"/>
      <c r="E89" s="7"/>
      <c r="F89" s="7"/>
      <c r="G89" s="8"/>
    </row>
    <row r="90" ht="12.75" customHeight="1">
      <c r="A90" s="57" t="s">
        <v>541</v>
      </c>
      <c r="B90" s="227" t="s">
        <v>670</v>
      </c>
      <c r="C90" s="158"/>
      <c r="D90" s="158"/>
      <c r="E90" s="158"/>
      <c r="F90" s="158"/>
      <c r="G90" s="159"/>
    </row>
    <row r="91" ht="12.75" customHeight="1">
      <c r="A91" s="57"/>
      <c r="B91" s="160"/>
      <c r="C91" s="7"/>
      <c r="D91" s="7"/>
      <c r="E91" s="7"/>
      <c r="F91" s="7"/>
      <c r="G91" s="8"/>
    </row>
    <row r="92" ht="12.75" customHeight="1">
      <c r="A92" s="57" t="s">
        <v>667</v>
      </c>
      <c r="B92" s="227" t="s">
        <v>670</v>
      </c>
      <c r="C92" s="158"/>
      <c r="D92" s="158"/>
      <c r="E92" s="158"/>
      <c r="F92" s="158"/>
      <c r="G92" s="159"/>
    </row>
    <row r="93" ht="12.75" customHeight="1">
      <c r="A93" s="57"/>
      <c r="B93" s="160"/>
      <c r="C93" s="7"/>
      <c r="D93" s="7"/>
      <c r="E93" s="7"/>
      <c r="F93" s="7"/>
      <c r="G93" s="8"/>
    </row>
    <row r="94" ht="12.75" customHeight="1">
      <c r="B94" s="156"/>
      <c r="C94" s="156"/>
      <c r="D94" s="156"/>
      <c r="E94" s="156"/>
      <c r="F94" s="156"/>
      <c r="G94" s="156"/>
    </row>
    <row r="95" ht="15.75" customHeight="1">
      <c r="A95" s="92" t="s">
        <v>135</v>
      </c>
      <c r="B95" s="12"/>
      <c r="C95" s="12"/>
      <c r="D95" s="12"/>
      <c r="E95" s="12"/>
      <c r="F95" s="12"/>
      <c r="G95" s="12"/>
    </row>
    <row r="96" ht="15.0" customHeight="1">
      <c r="A96" s="56" t="s">
        <v>671</v>
      </c>
      <c r="B96" s="56" t="s">
        <v>338</v>
      </c>
    </row>
    <row r="97" ht="12.75" customHeight="1"/>
    <row r="98" ht="15.75" customHeight="1">
      <c r="A98" s="92" t="s">
        <v>155</v>
      </c>
    </row>
    <row r="99" ht="15.0" customHeight="1">
      <c r="A99" s="56" t="s">
        <v>672</v>
      </c>
      <c r="B99" s="83" t="s">
        <v>338</v>
      </c>
    </row>
    <row r="100" ht="12.75" customHeight="1"/>
    <row r="101" ht="15.75" customHeight="1">
      <c r="A101" s="92" t="s">
        <v>156</v>
      </c>
    </row>
    <row r="102" ht="15.0" customHeight="1">
      <c r="A102" s="56" t="s">
        <v>673</v>
      </c>
      <c r="B102" s="56" t="s">
        <v>338</v>
      </c>
    </row>
    <row r="103" ht="12.75" customHeight="1"/>
    <row r="104" ht="15.75" customHeight="1">
      <c r="A104" s="92" t="s">
        <v>157</v>
      </c>
    </row>
    <row r="105" ht="15.0" customHeight="1">
      <c r="A105" s="56" t="s">
        <v>674</v>
      </c>
      <c r="B105" s="56" t="s">
        <v>338</v>
      </c>
    </row>
    <row r="106" ht="12.75" customHeight="1"/>
    <row r="107" ht="15.75" customHeight="1">
      <c r="A107" s="92" t="s">
        <v>593</v>
      </c>
    </row>
    <row r="108" ht="15.0" customHeight="1">
      <c r="A108" s="56" t="s">
        <v>675</v>
      </c>
      <c r="B108" s="156" t="s">
        <v>676</v>
      </c>
    </row>
    <row r="109" ht="12.75" customHeight="1"/>
    <row r="110" ht="12.75" customHeight="1"/>
    <row r="111" ht="15.0" customHeight="1">
      <c r="A111" s="56" t="s">
        <v>677</v>
      </c>
      <c r="B111" s="56" t="s">
        <v>338</v>
      </c>
    </row>
    <row r="112" ht="12.75" customHeight="1"/>
    <row r="113" ht="15.75" customHeight="1">
      <c r="A113" s="64" t="s">
        <v>347</v>
      </c>
    </row>
    <row r="114" ht="12.75" customHeight="1">
      <c r="A114" s="261" t="s">
        <v>678</v>
      </c>
    </row>
    <row r="115" ht="12.75" customHeight="1">
      <c r="A115" s="156" t="s">
        <v>518</v>
      </c>
    </row>
    <row r="116" ht="12.75" customHeight="1"/>
    <row r="117" ht="12.75" customHeight="1">
      <c r="A117" s="156" t="s">
        <v>679</v>
      </c>
    </row>
    <row r="118" ht="12.75" customHeight="1"/>
    <row r="119" ht="12.75" customHeight="1"/>
    <row r="120" ht="12.75" customHeight="1">
      <c r="A120" s="47" t="s">
        <v>680</v>
      </c>
    </row>
    <row r="121" ht="12.75" customHeight="1">
      <c r="A121" s="156" t="s">
        <v>681</v>
      </c>
    </row>
    <row r="122" ht="12.75" customHeight="1"/>
    <row r="123" ht="12.75" customHeight="1"/>
    <row r="124" ht="12.75" customHeight="1">
      <c r="A124" s="156" t="s">
        <v>682</v>
      </c>
    </row>
    <row r="125" ht="12.75" customHeight="1"/>
    <row r="126" ht="12.75" customHeight="1">
      <c r="A126" s="12"/>
      <c r="B126" s="12"/>
      <c r="C126" s="12"/>
      <c r="D126" s="12"/>
      <c r="E126" s="12"/>
      <c r="F126" s="12"/>
      <c r="G126" s="12"/>
    </row>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7">
    <mergeCell ref="A1:G1"/>
    <mergeCell ref="A2:G5"/>
    <mergeCell ref="B8:H9"/>
    <mergeCell ref="B10:H11"/>
    <mergeCell ref="B12:H13"/>
    <mergeCell ref="B14:H16"/>
    <mergeCell ref="B17:H20"/>
    <mergeCell ref="B21:H23"/>
    <mergeCell ref="B24:H27"/>
    <mergeCell ref="B29:C29"/>
    <mergeCell ref="B30:C30"/>
    <mergeCell ref="B31:C31"/>
    <mergeCell ref="B32:C32"/>
    <mergeCell ref="B33:C33"/>
    <mergeCell ref="A35:E35"/>
    <mergeCell ref="B36:H37"/>
    <mergeCell ref="B38:H40"/>
    <mergeCell ref="B41:H42"/>
    <mergeCell ref="B43:H44"/>
    <mergeCell ref="B45:H45"/>
    <mergeCell ref="B46:H46"/>
    <mergeCell ref="B52:G53"/>
    <mergeCell ref="B54:G55"/>
    <mergeCell ref="B56:G57"/>
    <mergeCell ref="B58:G59"/>
    <mergeCell ref="B60:G61"/>
    <mergeCell ref="B62:G63"/>
    <mergeCell ref="B64:G65"/>
    <mergeCell ref="B66:G67"/>
    <mergeCell ref="B68:G69"/>
    <mergeCell ref="B72:G77"/>
    <mergeCell ref="B78:G79"/>
    <mergeCell ref="B80:G81"/>
    <mergeCell ref="B82:G83"/>
    <mergeCell ref="B84:G85"/>
    <mergeCell ref="A114:B114"/>
    <mergeCell ref="A115:H116"/>
    <mergeCell ref="A117:H119"/>
    <mergeCell ref="A121:H123"/>
    <mergeCell ref="A124:H125"/>
    <mergeCell ref="B86:G87"/>
    <mergeCell ref="B88:G89"/>
    <mergeCell ref="B90:G91"/>
    <mergeCell ref="B92:G93"/>
    <mergeCell ref="B99:D99"/>
    <mergeCell ref="B108:H110"/>
    <mergeCell ref="A113:B113"/>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69696"/>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42.13"/>
    <col customWidth="1" min="2" max="2" width="10.0"/>
    <col customWidth="1" min="3" max="5" width="11.5"/>
    <col customWidth="1" min="6" max="6" width="9.13"/>
    <col customWidth="1" min="7" max="15" width="11.5"/>
    <col customWidth="1" min="16" max="17" width="10.88"/>
    <col customWidth="1" min="18" max="26" width="10.0"/>
  </cols>
  <sheetData>
    <row r="1" ht="18.0" customHeight="1">
      <c r="A1" s="262" t="s">
        <v>14</v>
      </c>
      <c r="B1" s="90"/>
      <c r="C1" s="90"/>
      <c r="D1" s="90"/>
      <c r="E1" s="90"/>
      <c r="F1" s="91"/>
    </row>
    <row r="2" ht="12.75" customHeight="1">
      <c r="A2" s="263" t="s">
        <v>683</v>
      </c>
    </row>
    <row r="3" ht="12.75" customHeight="1">
      <c r="A3" s="111" t="s">
        <v>684</v>
      </c>
      <c r="B3" s="25"/>
      <c r="C3" s="25"/>
      <c r="D3" s="25"/>
      <c r="E3" s="25"/>
      <c r="F3" s="25"/>
    </row>
    <row r="4" ht="12.75" customHeight="1">
      <c r="A4" s="111"/>
      <c r="B4" s="25"/>
      <c r="C4" s="25"/>
      <c r="D4" s="25"/>
      <c r="E4" s="25"/>
      <c r="F4" s="25"/>
    </row>
    <row r="5" ht="12.75" customHeight="1">
      <c r="B5" s="67" t="s">
        <v>77</v>
      </c>
      <c r="C5" s="67" t="s">
        <v>78</v>
      </c>
      <c r="D5" s="67" t="s">
        <v>79</v>
      </c>
      <c r="E5" s="67" t="s">
        <v>80</v>
      </c>
      <c r="F5" s="67" t="s">
        <v>81</v>
      </c>
      <c r="G5" s="67" t="s">
        <v>82</v>
      </c>
      <c r="H5" s="67" t="s">
        <v>83</v>
      </c>
      <c r="I5" s="67" t="s">
        <v>84</v>
      </c>
      <c r="J5" s="67" t="s">
        <v>66</v>
      </c>
      <c r="K5" s="67" t="s">
        <v>185</v>
      </c>
      <c r="L5" s="67" t="s">
        <v>186</v>
      </c>
      <c r="M5" s="67" t="s">
        <v>187</v>
      </c>
      <c r="N5" s="67" t="s">
        <v>685</v>
      </c>
      <c r="O5" s="96" t="s">
        <v>189</v>
      </c>
      <c r="P5" s="96" t="s">
        <v>190</v>
      </c>
      <c r="Q5" s="96" t="s">
        <v>190</v>
      </c>
    </row>
    <row r="6" ht="12.75" customHeight="1">
      <c r="A6" s="72" t="s">
        <v>686</v>
      </c>
    </row>
    <row r="7" ht="12.75" customHeight="1">
      <c r="A7" s="55" t="s">
        <v>687</v>
      </c>
      <c r="B7" s="97">
        <v>0.0</v>
      </c>
      <c r="C7" s="97">
        <v>3209.090909090909</v>
      </c>
      <c r="D7" s="97">
        <v>13742.727272727272</v>
      </c>
      <c r="E7" s="97">
        <v>18775.454545454544</v>
      </c>
      <c r="F7" s="97">
        <v>15740.90909090909</v>
      </c>
      <c r="G7" s="97">
        <v>20769.090909090908</v>
      </c>
      <c r="H7" s="97">
        <v>25349.05</v>
      </c>
      <c r="I7" s="97">
        <v>24310.0</v>
      </c>
      <c r="J7" s="25">
        <v>19412.0</v>
      </c>
      <c r="K7" s="97">
        <v>21513.49</v>
      </c>
      <c r="L7" s="97">
        <v>20347.0</v>
      </c>
      <c r="M7" s="25">
        <v>21104.0</v>
      </c>
      <c r="N7" s="56">
        <v>18169.0</v>
      </c>
      <c r="O7" s="56">
        <v>18169.0</v>
      </c>
      <c r="P7" s="56">
        <v>18169.0</v>
      </c>
    </row>
    <row r="8" ht="12.75" customHeight="1">
      <c r="B8" s="97"/>
      <c r="C8" s="97"/>
      <c r="D8" s="97"/>
      <c r="E8" s="97"/>
      <c r="F8" s="97"/>
      <c r="G8" s="97"/>
      <c r="H8" s="97"/>
      <c r="I8" s="97"/>
      <c r="J8" s="25"/>
      <c r="K8" s="97"/>
      <c r="L8" s="97"/>
      <c r="M8" s="25"/>
    </row>
    <row r="9" ht="12.75" customHeight="1">
      <c r="A9" s="72" t="s">
        <v>688</v>
      </c>
      <c r="B9" s="97"/>
      <c r="C9" s="97"/>
      <c r="D9" s="97"/>
      <c r="E9" s="97"/>
      <c r="F9" s="97"/>
      <c r="G9" s="97"/>
      <c r="H9" s="97"/>
      <c r="I9" s="97"/>
      <c r="J9" s="25"/>
      <c r="K9" s="97"/>
      <c r="L9" s="97"/>
      <c r="M9" s="25"/>
    </row>
    <row r="10" ht="12.75" customHeight="1">
      <c r="A10" s="55" t="s">
        <v>689</v>
      </c>
      <c r="B10" s="97">
        <v>1012.7</v>
      </c>
      <c r="C10" s="97">
        <v>938.8</v>
      </c>
      <c r="D10" s="97">
        <v>952.9</v>
      </c>
      <c r="E10" s="97">
        <v>877.1</v>
      </c>
      <c r="F10" s="97">
        <v>1011.0</v>
      </c>
      <c r="G10" s="97">
        <v>998.0</v>
      </c>
      <c r="H10" s="97">
        <v>1005.0</v>
      </c>
      <c r="I10" s="97">
        <v>1000.0</v>
      </c>
      <c r="J10" s="97">
        <v>1000.0</v>
      </c>
      <c r="K10" s="97">
        <v>1000.0</v>
      </c>
      <c r="L10" s="97">
        <v>1000.0</v>
      </c>
      <c r="M10" s="97">
        <v>484.0</v>
      </c>
      <c r="N10" s="97">
        <v>931.0</v>
      </c>
      <c r="O10" s="97">
        <v>931.0</v>
      </c>
      <c r="P10" s="97">
        <v>931.0</v>
      </c>
      <c r="Q10" s="97"/>
    </row>
    <row r="11" ht="12.0" customHeight="1">
      <c r="A11" s="55" t="s">
        <v>690</v>
      </c>
      <c r="B11" s="97">
        <v>1953.0</v>
      </c>
      <c r="C11" s="97">
        <v>10634.0</v>
      </c>
      <c r="D11" s="97">
        <v>10053.0</v>
      </c>
      <c r="E11" s="97">
        <v>9750.0</v>
      </c>
      <c r="F11" s="97">
        <v>9663.0</v>
      </c>
      <c r="G11" s="97">
        <v>9903.0</v>
      </c>
      <c r="H11" s="264">
        <v>10574.0</v>
      </c>
      <c r="I11" s="264">
        <v>8986.0</v>
      </c>
      <c r="J11" s="97">
        <v>11030.0</v>
      </c>
      <c r="K11" s="97">
        <v>8451.0</v>
      </c>
      <c r="L11" s="97">
        <v>10119.0</v>
      </c>
      <c r="M11" s="265">
        <v>9706.0</v>
      </c>
      <c r="N11" s="97">
        <v>10087.0</v>
      </c>
      <c r="O11" s="97">
        <v>10087.0</v>
      </c>
      <c r="P11" s="97">
        <v>10087.0</v>
      </c>
      <c r="Q11" s="97"/>
    </row>
    <row r="12" ht="12.0" customHeight="1">
      <c r="A12" s="55" t="s">
        <v>691</v>
      </c>
      <c r="B12" s="97"/>
      <c r="C12" s="97"/>
      <c r="D12" s="97"/>
      <c r="E12" s="97"/>
      <c r="F12" s="97">
        <v>92150.0</v>
      </c>
      <c r="G12" s="97">
        <v>234329.0</v>
      </c>
      <c r="H12" s="97">
        <v>231976.0</v>
      </c>
      <c r="I12" s="97"/>
      <c r="J12" s="97">
        <v>241900.0</v>
      </c>
      <c r="K12" s="97">
        <v>223474.0</v>
      </c>
      <c r="L12" s="97">
        <v>230502.0</v>
      </c>
      <c r="M12" s="97">
        <v>216319.0</v>
      </c>
      <c r="N12" s="97">
        <v>231096.0</v>
      </c>
      <c r="O12" s="97">
        <v>231096.0</v>
      </c>
      <c r="P12" s="97">
        <v>231096.0</v>
      </c>
      <c r="Q12" s="97"/>
    </row>
    <row r="13" ht="12.0" customHeight="1">
      <c r="A13" s="55" t="s">
        <v>692</v>
      </c>
      <c r="B13" s="97"/>
      <c r="C13" s="97"/>
      <c r="D13" s="97"/>
      <c r="E13" s="97"/>
      <c r="F13" s="97"/>
      <c r="G13" s="97"/>
      <c r="H13" s="97"/>
      <c r="I13" s="97"/>
      <c r="J13" s="97">
        <v>9259.0</v>
      </c>
      <c r="K13" s="97"/>
      <c r="L13" s="97">
        <v>8469.0</v>
      </c>
      <c r="M13" s="25">
        <v>8140.0</v>
      </c>
      <c r="N13" s="97">
        <v>8739.0</v>
      </c>
      <c r="O13" s="97">
        <v>8739.0</v>
      </c>
      <c r="P13" s="97">
        <v>8739.0</v>
      </c>
      <c r="Q13" s="97"/>
    </row>
    <row r="14" ht="12.0" customHeight="1">
      <c r="A14" s="55" t="s">
        <v>693</v>
      </c>
      <c r="B14" s="97"/>
      <c r="C14" s="97"/>
      <c r="D14" s="97"/>
      <c r="E14" s="97"/>
      <c r="F14" s="97"/>
      <c r="G14" s="97"/>
      <c r="H14" s="97">
        <v>2227.0</v>
      </c>
      <c r="I14" s="97"/>
      <c r="J14" s="97">
        <v>10370.0</v>
      </c>
      <c r="K14" s="97"/>
      <c r="L14" s="97">
        <v>9134.0</v>
      </c>
      <c r="M14" s="266">
        <v>9240.0</v>
      </c>
      <c r="N14" s="97">
        <v>30800.0</v>
      </c>
      <c r="O14" s="97">
        <v>30800.0</v>
      </c>
      <c r="P14" s="97">
        <v>30800.0</v>
      </c>
      <c r="Q14" s="97"/>
    </row>
    <row r="15" ht="12.0" customHeight="1">
      <c r="A15" s="267" t="s">
        <v>694</v>
      </c>
      <c r="B15" s="268"/>
      <c r="C15" s="268"/>
      <c r="D15" s="268"/>
      <c r="E15" s="268"/>
      <c r="F15" s="268"/>
      <c r="G15" s="268"/>
      <c r="H15" s="268"/>
      <c r="I15" s="268"/>
      <c r="J15" s="268">
        <v>8237.0</v>
      </c>
      <c r="K15" s="268"/>
      <c r="L15" s="268">
        <v>7729.0</v>
      </c>
      <c r="M15" s="101">
        <v>7582.0</v>
      </c>
      <c r="N15" s="268">
        <v>8096.0</v>
      </c>
      <c r="O15" s="268">
        <v>8096.0</v>
      </c>
      <c r="P15" s="268">
        <v>8096.0</v>
      </c>
      <c r="Q15" s="268"/>
    </row>
    <row r="16" ht="12.0" customHeight="1">
      <c r="A16" s="269" t="s">
        <v>695</v>
      </c>
      <c r="B16" s="270">
        <f t="shared" ref="B16:Q16" si="1">SUM(B10:B15)</f>
        <v>2965.7</v>
      </c>
      <c r="C16" s="270">
        <f t="shared" si="1"/>
        <v>11572.8</v>
      </c>
      <c r="D16" s="270">
        <f t="shared" si="1"/>
        <v>11005.9</v>
      </c>
      <c r="E16" s="270">
        <f t="shared" si="1"/>
        <v>10627.1</v>
      </c>
      <c r="F16" s="270">
        <f t="shared" si="1"/>
        <v>102824</v>
      </c>
      <c r="G16" s="270">
        <f t="shared" si="1"/>
        <v>245230</v>
      </c>
      <c r="H16" s="270">
        <f t="shared" si="1"/>
        <v>245782</v>
      </c>
      <c r="I16" s="270">
        <f t="shared" si="1"/>
        <v>9986</v>
      </c>
      <c r="J16" s="270">
        <f t="shared" si="1"/>
        <v>281796</v>
      </c>
      <c r="K16" s="270">
        <f t="shared" si="1"/>
        <v>232925</v>
      </c>
      <c r="L16" s="270">
        <f t="shared" si="1"/>
        <v>266953</v>
      </c>
      <c r="M16" s="270">
        <f t="shared" si="1"/>
        <v>251471</v>
      </c>
      <c r="N16" s="270">
        <f t="shared" si="1"/>
        <v>289749</v>
      </c>
      <c r="O16" s="270">
        <f t="shared" si="1"/>
        <v>289749</v>
      </c>
      <c r="P16" s="270">
        <f t="shared" si="1"/>
        <v>289749</v>
      </c>
      <c r="Q16" s="270">
        <f t="shared" si="1"/>
        <v>0</v>
      </c>
    </row>
    <row r="17" ht="12.0" customHeight="1"/>
    <row r="18" ht="12.0" customHeight="1">
      <c r="A18" s="72" t="s">
        <v>696</v>
      </c>
      <c r="B18" s="97"/>
      <c r="C18" s="97"/>
      <c r="D18" s="97"/>
      <c r="E18" s="97"/>
      <c r="F18" s="97"/>
      <c r="G18" s="97"/>
      <c r="H18" s="97"/>
      <c r="I18" s="97"/>
      <c r="J18" s="97"/>
      <c r="K18" s="97"/>
      <c r="L18" s="97"/>
      <c r="M18" s="25"/>
      <c r="N18" s="97"/>
      <c r="O18" s="97"/>
      <c r="P18" s="97"/>
      <c r="Q18" s="97"/>
    </row>
    <row r="19" ht="12.0" customHeight="1">
      <c r="A19" s="55" t="s">
        <v>697</v>
      </c>
      <c r="B19" s="97"/>
      <c r="C19" s="97"/>
      <c r="D19" s="97"/>
      <c r="E19" s="97"/>
      <c r="F19" s="97"/>
      <c r="G19" s="97"/>
      <c r="H19" s="97">
        <v>360000.0</v>
      </c>
      <c r="I19" s="97"/>
      <c r="J19" s="97">
        <v>780158.0</v>
      </c>
      <c r="K19" s="97">
        <v>752092.0</v>
      </c>
      <c r="L19" s="97">
        <v>740550.0</v>
      </c>
      <c r="M19" s="218">
        <v>694200.0</v>
      </c>
      <c r="N19" s="97">
        <v>718650.0</v>
      </c>
      <c r="O19" s="97">
        <v>718650.0</v>
      </c>
      <c r="P19" s="97">
        <v>718650.0</v>
      </c>
      <c r="Q19" s="97"/>
    </row>
    <row r="20" ht="12.0" customHeight="1">
      <c r="A20" s="267" t="s">
        <v>698</v>
      </c>
      <c r="B20" s="268"/>
      <c r="C20" s="268"/>
      <c r="D20" s="268"/>
      <c r="E20" s="268"/>
      <c r="F20" s="268"/>
      <c r="G20" s="268"/>
      <c r="H20" s="268"/>
      <c r="I20" s="268"/>
      <c r="J20" s="101"/>
      <c r="K20" s="268">
        <v>410480.0</v>
      </c>
      <c r="L20" s="268">
        <v>778960.0</v>
      </c>
      <c r="M20" s="271">
        <v>757360.0</v>
      </c>
      <c r="N20" s="268">
        <v>825280.0</v>
      </c>
      <c r="O20" s="268">
        <v>825280.0</v>
      </c>
      <c r="P20" s="268">
        <v>825280.0</v>
      </c>
      <c r="Q20" s="268"/>
    </row>
    <row r="21" ht="12.0" customHeight="1">
      <c r="A21" s="269" t="s">
        <v>699</v>
      </c>
      <c r="B21" s="270">
        <f t="shared" ref="B21:Q21" si="2">SUM(B19:B20)</f>
        <v>0</v>
      </c>
      <c r="C21" s="270">
        <f t="shared" si="2"/>
        <v>0</v>
      </c>
      <c r="D21" s="270">
        <f t="shared" si="2"/>
        <v>0</v>
      </c>
      <c r="E21" s="270">
        <f t="shared" si="2"/>
        <v>0</v>
      </c>
      <c r="F21" s="270">
        <f t="shared" si="2"/>
        <v>0</v>
      </c>
      <c r="G21" s="270">
        <f t="shared" si="2"/>
        <v>0</v>
      </c>
      <c r="H21" s="270">
        <f t="shared" si="2"/>
        <v>360000</v>
      </c>
      <c r="I21" s="270">
        <f t="shared" si="2"/>
        <v>0</v>
      </c>
      <c r="J21" s="270">
        <f t="shared" si="2"/>
        <v>780158</v>
      </c>
      <c r="K21" s="270">
        <f t="shared" si="2"/>
        <v>1162572</v>
      </c>
      <c r="L21" s="270">
        <f t="shared" si="2"/>
        <v>1519510</v>
      </c>
      <c r="M21" s="270">
        <f t="shared" si="2"/>
        <v>1451560</v>
      </c>
      <c r="N21" s="270">
        <f t="shared" si="2"/>
        <v>1543930</v>
      </c>
      <c r="O21" s="270">
        <f t="shared" si="2"/>
        <v>1543930</v>
      </c>
      <c r="P21" s="270">
        <f t="shared" si="2"/>
        <v>1543930</v>
      </c>
      <c r="Q21" s="270">
        <f t="shared" si="2"/>
        <v>0</v>
      </c>
    </row>
    <row r="22" ht="12.0" customHeight="1">
      <c r="A22" s="113"/>
      <c r="B22" s="270"/>
      <c r="C22" s="270"/>
      <c r="D22" s="270"/>
      <c r="E22" s="270"/>
      <c r="F22" s="270"/>
      <c r="G22" s="270"/>
      <c r="H22" s="270"/>
      <c r="I22" s="270"/>
      <c r="J22" s="270"/>
      <c r="K22" s="270"/>
      <c r="L22" s="270"/>
      <c r="M22" s="270"/>
      <c r="N22" s="270"/>
      <c r="O22" s="270"/>
      <c r="P22" s="270"/>
      <c r="Q22" s="270"/>
    </row>
    <row r="23" ht="12.75" customHeight="1">
      <c r="A23" s="47" t="s">
        <v>700</v>
      </c>
      <c r="B23" s="235">
        <f t="shared" ref="B23:Q23" si="3">B21+B16</f>
        <v>2965.7</v>
      </c>
      <c r="C23" s="235">
        <f t="shared" si="3"/>
        <v>11572.8</v>
      </c>
      <c r="D23" s="235">
        <f t="shared" si="3"/>
        <v>11005.9</v>
      </c>
      <c r="E23" s="235">
        <f t="shared" si="3"/>
        <v>10627.1</v>
      </c>
      <c r="F23" s="235">
        <f t="shared" si="3"/>
        <v>102824</v>
      </c>
      <c r="G23" s="235">
        <f t="shared" si="3"/>
        <v>245230</v>
      </c>
      <c r="H23" s="235">
        <f t="shared" si="3"/>
        <v>605782</v>
      </c>
      <c r="I23" s="235">
        <f t="shared" si="3"/>
        <v>9986</v>
      </c>
      <c r="J23" s="235">
        <f t="shared" si="3"/>
        <v>1061954</v>
      </c>
      <c r="K23" s="235">
        <f t="shared" si="3"/>
        <v>1395497</v>
      </c>
      <c r="L23" s="235">
        <f t="shared" si="3"/>
        <v>1786463</v>
      </c>
      <c r="M23" s="235">
        <f t="shared" si="3"/>
        <v>1703031</v>
      </c>
      <c r="N23" s="235">
        <f t="shared" si="3"/>
        <v>1833679</v>
      </c>
      <c r="O23" s="235">
        <f t="shared" si="3"/>
        <v>1833679</v>
      </c>
      <c r="P23" s="235">
        <f t="shared" si="3"/>
        <v>1833679</v>
      </c>
      <c r="Q23" s="235">
        <f t="shared" si="3"/>
        <v>0</v>
      </c>
    </row>
    <row r="24" ht="12.75" customHeight="1">
      <c r="A24" s="25"/>
      <c r="B24" s="97"/>
      <c r="C24" s="97"/>
      <c r="D24" s="97"/>
      <c r="E24" s="97"/>
      <c r="F24" s="97"/>
      <c r="G24" s="97"/>
      <c r="H24" s="97"/>
      <c r="I24" s="97"/>
      <c r="K24" s="97"/>
      <c r="L24" s="97"/>
    </row>
    <row r="25" ht="12.75" customHeight="1">
      <c r="A25" s="72" t="s">
        <v>701</v>
      </c>
      <c r="B25" s="97"/>
      <c r="C25" s="97"/>
      <c r="D25" s="97"/>
      <c r="E25" s="97"/>
      <c r="F25" s="97"/>
      <c r="G25" s="97"/>
      <c r="H25" s="97"/>
      <c r="I25" s="97"/>
      <c r="K25" s="97"/>
      <c r="L25" s="97"/>
    </row>
    <row r="26" ht="12.75" customHeight="1">
      <c r="A26" s="267" t="s">
        <v>702</v>
      </c>
      <c r="B26" s="268">
        <v>4317.0</v>
      </c>
      <c r="C26" s="268">
        <v>5168.0</v>
      </c>
      <c r="D26" s="272">
        <v>3965.0</v>
      </c>
      <c r="E26" s="272">
        <v>4910.0</v>
      </c>
      <c r="F26" s="272">
        <v>2768.0</v>
      </c>
      <c r="G26" s="272">
        <v>2328.0</v>
      </c>
      <c r="H26" s="272">
        <v>4172.0</v>
      </c>
      <c r="I26" s="273">
        <v>4902.0</v>
      </c>
      <c r="J26" s="273">
        <v>4126.0</v>
      </c>
      <c r="K26" s="274">
        <v>4341.0</v>
      </c>
      <c r="L26" s="274">
        <v>3863.0</v>
      </c>
      <c r="M26" s="268">
        <v>4135.0</v>
      </c>
      <c r="N26" s="101">
        <v>3575.0</v>
      </c>
      <c r="O26" s="101">
        <v>3575.0</v>
      </c>
      <c r="P26" s="101">
        <v>3575.0</v>
      </c>
      <c r="Q26" s="101"/>
    </row>
    <row r="27" ht="12.75" customHeight="1">
      <c r="A27" s="47" t="s">
        <v>703</v>
      </c>
      <c r="B27" s="97">
        <f t="shared" ref="B27:H27" si="4">SUM(B26)</f>
        <v>4317</v>
      </c>
      <c r="C27" s="97">
        <f t="shared" si="4"/>
        <v>5168</v>
      </c>
      <c r="D27" s="97">
        <f t="shared" si="4"/>
        <v>3965</v>
      </c>
      <c r="E27" s="97">
        <f t="shared" si="4"/>
        <v>4910</v>
      </c>
      <c r="F27" s="97">
        <f t="shared" si="4"/>
        <v>2768</v>
      </c>
      <c r="G27" s="97">
        <f t="shared" si="4"/>
        <v>2328</v>
      </c>
      <c r="H27" s="97">
        <f t="shared" si="4"/>
        <v>4172</v>
      </c>
      <c r="I27" s="97"/>
      <c r="K27" s="97">
        <f t="shared" ref="K27:L27" si="5">SUM(K26)</f>
        <v>4341</v>
      </c>
      <c r="L27" s="97">
        <f t="shared" si="5"/>
        <v>3863</v>
      </c>
    </row>
    <row r="28" ht="12.75" customHeight="1">
      <c r="B28" s="97"/>
      <c r="C28" s="97"/>
      <c r="D28" s="275"/>
      <c r="E28" s="275"/>
      <c r="F28" s="275"/>
      <c r="G28" s="275"/>
      <c r="H28" s="275"/>
      <c r="I28" s="97"/>
      <c r="K28" s="97"/>
      <c r="L28" s="97"/>
    </row>
    <row r="29" ht="12.75" customHeight="1">
      <c r="A29" s="72" t="s">
        <v>704</v>
      </c>
      <c r="B29" s="97"/>
      <c r="C29" s="97"/>
      <c r="D29" s="97"/>
      <c r="E29" s="97"/>
      <c r="F29" s="97"/>
      <c r="G29" s="97"/>
      <c r="H29" s="97"/>
      <c r="I29" s="97"/>
      <c r="K29" s="97"/>
      <c r="L29" s="97"/>
    </row>
    <row r="30" ht="12.75" customHeight="1">
      <c r="A30" s="55" t="s">
        <v>705</v>
      </c>
      <c r="B30" s="97"/>
      <c r="C30" s="97"/>
      <c r="D30" s="97" t="s">
        <v>706</v>
      </c>
      <c r="E30" s="97" t="s">
        <v>706</v>
      </c>
      <c r="F30" s="97" t="s">
        <v>706</v>
      </c>
      <c r="G30" s="97" t="s">
        <v>706</v>
      </c>
      <c r="H30" s="97" t="s">
        <v>706</v>
      </c>
      <c r="I30" s="97"/>
      <c r="J30" s="25"/>
      <c r="K30" s="97" t="s">
        <v>706</v>
      </c>
      <c r="L30" s="97" t="s">
        <v>706</v>
      </c>
    </row>
    <row r="31" ht="12.75" customHeight="1">
      <c r="A31" s="55" t="s">
        <v>707</v>
      </c>
      <c r="B31" s="97"/>
      <c r="C31" s="97"/>
      <c r="D31" s="97" t="s">
        <v>706</v>
      </c>
      <c r="E31" s="97" t="s">
        <v>706</v>
      </c>
      <c r="F31" s="97" t="s">
        <v>706</v>
      </c>
      <c r="G31" s="97" t="s">
        <v>706</v>
      </c>
      <c r="H31" s="97" t="s">
        <v>706</v>
      </c>
      <c r="I31" s="97"/>
      <c r="J31" s="25"/>
      <c r="K31" s="97" t="s">
        <v>706</v>
      </c>
      <c r="L31" s="97" t="s">
        <v>706</v>
      </c>
    </row>
    <row r="32" ht="12.75" customHeight="1">
      <c r="A32" s="56" t="s">
        <v>708</v>
      </c>
      <c r="B32" s="97"/>
      <c r="C32" s="97"/>
      <c r="D32" s="97"/>
      <c r="E32" s="97"/>
      <c r="F32" s="97"/>
      <c r="G32" s="97"/>
      <c r="H32" s="97"/>
      <c r="I32" s="97"/>
      <c r="K32" s="97"/>
      <c r="L32" s="97"/>
    </row>
    <row r="33" ht="12.75" customHeight="1">
      <c r="B33" s="97"/>
      <c r="C33" s="97"/>
      <c r="D33" s="97"/>
      <c r="E33" s="97"/>
      <c r="F33" s="97"/>
      <c r="G33" s="97"/>
      <c r="H33" s="97"/>
      <c r="K33" s="265"/>
      <c r="L33" s="97"/>
    </row>
    <row r="34" ht="12.75" customHeight="1">
      <c r="A34" s="72" t="s">
        <v>709</v>
      </c>
      <c r="B34" s="97"/>
      <c r="C34" s="97"/>
      <c r="D34" s="97"/>
      <c r="E34" s="97"/>
      <c r="F34" s="97"/>
      <c r="G34" s="97"/>
      <c r="H34" s="97"/>
      <c r="I34" s="97"/>
      <c r="K34" s="97"/>
      <c r="L34" s="97"/>
    </row>
    <row r="35" ht="12.75" customHeight="1">
      <c r="A35" s="55" t="s">
        <v>710</v>
      </c>
      <c r="B35" s="97">
        <f>'Scope1A Stationary'!D33</f>
        <v>138141.8</v>
      </c>
      <c r="C35" s="97">
        <f>'Scope1A Stationary'!E33</f>
        <v>149398.2</v>
      </c>
      <c r="D35" s="97">
        <v>129233.5</v>
      </c>
      <c r="E35" s="97">
        <v>142187.9</v>
      </c>
      <c r="F35" s="97">
        <v>124268.9</v>
      </c>
      <c r="G35" s="97">
        <v>142688.7</v>
      </c>
      <c r="H35" s="97">
        <v>142688.7</v>
      </c>
      <c r="I35" s="97" t="s">
        <v>711</v>
      </c>
      <c r="J35" s="25"/>
      <c r="K35" s="97"/>
      <c r="L35" s="97"/>
      <c r="M35" s="25"/>
    </row>
    <row r="36" ht="12.75" customHeight="1">
      <c r="A36" s="47" t="s">
        <v>208</v>
      </c>
      <c r="B36" s="97" t="str">
        <f t="shared" ref="B36:C36" si="6">(#REF!*0.05)+(B35*0.2)</f>
        <v>#REF!</v>
      </c>
      <c r="C36" s="97" t="str">
        <f t="shared" si="6"/>
        <v>#REF!</v>
      </c>
      <c r="D36" s="97"/>
      <c r="E36" s="97"/>
      <c r="F36" s="97"/>
      <c r="G36" s="97"/>
      <c r="H36" s="97"/>
      <c r="I36" s="97"/>
      <c r="K36" s="97"/>
      <c r="L36" s="97"/>
    </row>
    <row r="37" ht="12.75" customHeight="1">
      <c r="B37" s="97"/>
      <c r="C37" s="97"/>
      <c r="D37" s="97"/>
      <c r="E37" s="97"/>
      <c r="F37" s="97"/>
      <c r="G37" s="97"/>
      <c r="H37" s="97"/>
      <c r="I37" s="97"/>
      <c r="K37" s="97"/>
      <c r="L37" s="97"/>
    </row>
    <row r="38" ht="12.75" customHeight="1">
      <c r="A38" s="72" t="s">
        <v>712</v>
      </c>
      <c r="B38" s="97"/>
      <c r="C38" s="97"/>
      <c r="D38" s="97"/>
      <c r="E38" s="97"/>
      <c r="F38" s="97"/>
      <c r="G38" s="97"/>
      <c r="H38" s="97"/>
      <c r="I38" s="97"/>
      <c r="K38" s="97"/>
      <c r="L38" s="97"/>
    </row>
    <row r="39" ht="12.75" customHeight="1">
      <c r="A39" s="55" t="s">
        <v>713</v>
      </c>
      <c r="B39" s="97"/>
      <c r="C39" s="97">
        <v>49240.0</v>
      </c>
      <c r="D39" s="97">
        <v>47200.0</v>
      </c>
      <c r="E39" s="97">
        <v>34960.0</v>
      </c>
      <c r="F39" s="97">
        <f t="shared" ref="F39:F40" si="7">AVERAGE(C39:E39)</f>
        <v>43800</v>
      </c>
      <c r="G39" s="97">
        <v>18372.0</v>
      </c>
      <c r="H39" s="97">
        <v>18372.0</v>
      </c>
      <c r="I39" s="97"/>
      <c r="J39" s="25"/>
      <c r="K39" s="97"/>
      <c r="L39" s="97"/>
      <c r="M39" s="25">
        <v>33960.0</v>
      </c>
    </row>
    <row r="40" ht="12.75" customHeight="1">
      <c r="A40" s="267" t="s">
        <v>714</v>
      </c>
      <c r="B40" s="268"/>
      <c r="C40" s="268">
        <v>13891.0</v>
      </c>
      <c r="D40" s="268">
        <v>31154.0</v>
      </c>
      <c r="E40" s="268">
        <v>31531.0</v>
      </c>
      <c r="F40" s="268">
        <f t="shared" si="7"/>
        <v>25525.33333</v>
      </c>
      <c r="G40" s="268">
        <v>13463.0</v>
      </c>
      <c r="H40" s="268">
        <v>13463.0</v>
      </c>
      <c r="I40" s="276"/>
      <c r="J40" s="237"/>
      <c r="K40" s="268"/>
      <c r="L40" s="268"/>
      <c r="M40" s="25">
        <v>13325.0</v>
      </c>
    </row>
    <row r="41" ht="12.75" customHeight="1">
      <c r="A41" s="47" t="s">
        <v>715</v>
      </c>
      <c r="B41" s="97"/>
      <c r="C41" s="97">
        <f t="shared" ref="C41:F41" si="8">C39+C40/2</f>
        <v>56185.5</v>
      </c>
      <c r="D41" s="97">
        <f t="shared" si="8"/>
        <v>62777</v>
      </c>
      <c r="E41" s="97">
        <f t="shared" si="8"/>
        <v>50725.5</v>
      </c>
      <c r="F41" s="97">
        <f t="shared" si="8"/>
        <v>56562.66667</v>
      </c>
      <c r="G41" s="97">
        <f>G39+G40</f>
        <v>31835</v>
      </c>
      <c r="H41" s="97">
        <f>SUM(H39:H40)</f>
        <v>31835</v>
      </c>
      <c r="I41" s="97"/>
      <c r="J41" s="97"/>
      <c r="L41" s="56" t="s">
        <v>716</v>
      </c>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F1"/>
    <mergeCell ref="A2:F2"/>
  </mergeCells>
  <printOptions/>
  <pageMargins bottom="0.75" footer="0.0" header="0.0" left="0.7" right="0.7" top="0.75"/>
  <pageSetup orientation="landscape"/>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88"/>
    <col customWidth="1" min="2" max="5" width="11.5"/>
    <col customWidth="1" min="6" max="6" width="15.63"/>
    <col customWidth="1" min="7" max="26" width="10.0"/>
  </cols>
  <sheetData>
    <row r="1" ht="18.0" customHeight="1">
      <c r="A1" s="262" t="s">
        <v>14</v>
      </c>
      <c r="B1" s="90"/>
      <c r="C1" s="90"/>
      <c r="D1" s="90"/>
      <c r="E1" s="90"/>
      <c r="F1" s="91"/>
    </row>
    <row r="2" ht="12.75" customHeight="1">
      <c r="A2" s="263" t="s">
        <v>717</v>
      </c>
    </row>
    <row r="3" ht="12.75" customHeight="1">
      <c r="A3" s="111" t="s">
        <v>718</v>
      </c>
      <c r="B3" s="25"/>
      <c r="C3" s="25"/>
      <c r="D3" s="25"/>
      <c r="E3" s="25"/>
      <c r="F3" s="25"/>
    </row>
    <row r="4" ht="12.75" customHeight="1">
      <c r="A4" s="111"/>
      <c r="B4" s="25"/>
      <c r="C4" s="25"/>
      <c r="D4" s="25"/>
      <c r="E4" s="25"/>
      <c r="F4" s="25"/>
    </row>
    <row r="5" ht="12.75" customHeight="1">
      <c r="B5" s="47"/>
      <c r="C5" s="47"/>
    </row>
    <row r="6" ht="12.75" customHeight="1">
      <c r="A6" s="72" t="s">
        <v>686</v>
      </c>
    </row>
    <row r="7" ht="12.75" customHeight="1">
      <c r="A7" s="55" t="s">
        <v>687</v>
      </c>
      <c r="B7" s="277" t="s">
        <v>719</v>
      </c>
      <c r="C7" s="90"/>
      <c r="D7" s="90"/>
      <c r="E7" s="90"/>
      <c r="F7" s="91"/>
    </row>
    <row r="8" ht="12.75" customHeight="1">
      <c r="A8" s="278"/>
      <c r="B8" s="55" t="s">
        <v>720</v>
      </c>
      <c r="C8" s="55"/>
      <c r="D8" s="55"/>
      <c r="E8" s="55"/>
      <c r="F8" s="55"/>
    </row>
    <row r="9" ht="12.75" customHeight="1">
      <c r="A9" s="55"/>
      <c r="B9" s="55" t="s">
        <v>721</v>
      </c>
      <c r="C9" s="55"/>
      <c r="D9" s="55"/>
      <c r="E9" s="55"/>
      <c r="F9" s="55"/>
    </row>
    <row r="10" ht="12.75" customHeight="1">
      <c r="A10" s="25"/>
      <c r="B10" s="25"/>
      <c r="C10" s="25"/>
      <c r="D10" s="25"/>
      <c r="E10" s="25"/>
      <c r="F10" s="25"/>
    </row>
    <row r="11" ht="12.75" customHeight="1">
      <c r="A11" s="72" t="s">
        <v>688</v>
      </c>
    </row>
    <row r="12" ht="12.75" customHeight="1">
      <c r="A12" s="55" t="s">
        <v>689</v>
      </c>
      <c r="B12" s="55" t="s">
        <v>722</v>
      </c>
      <c r="C12" s="55"/>
      <c r="D12" s="55"/>
      <c r="E12" s="55"/>
      <c r="F12" s="55"/>
    </row>
    <row r="13" ht="12.75" customHeight="1">
      <c r="A13" s="55" t="s">
        <v>723</v>
      </c>
      <c r="B13" s="55" t="s">
        <v>724</v>
      </c>
      <c r="C13" s="55"/>
      <c r="D13" s="55"/>
      <c r="E13" s="55"/>
      <c r="F13" s="55"/>
    </row>
    <row r="14" ht="12.75" customHeight="1">
      <c r="A14" s="55" t="s">
        <v>725</v>
      </c>
      <c r="B14" s="55" t="s">
        <v>726</v>
      </c>
      <c r="C14" s="55"/>
      <c r="D14" s="55"/>
      <c r="E14" s="55"/>
      <c r="F14" s="55"/>
    </row>
    <row r="15" ht="12.75" customHeight="1"/>
    <row r="16" ht="12.75" customHeight="1">
      <c r="A16" s="72" t="s">
        <v>704</v>
      </c>
    </row>
    <row r="17" ht="12.75" customHeight="1">
      <c r="A17" s="55" t="s">
        <v>705</v>
      </c>
      <c r="B17" s="55" t="s">
        <v>722</v>
      </c>
      <c r="C17" s="55"/>
      <c r="D17" s="55"/>
      <c r="E17" s="55"/>
      <c r="F17" s="55"/>
    </row>
    <row r="18" ht="12.75" customHeight="1">
      <c r="A18" s="55" t="s">
        <v>707</v>
      </c>
      <c r="B18" s="55" t="s">
        <v>722</v>
      </c>
      <c r="C18" s="55"/>
      <c r="D18" s="55"/>
      <c r="E18" s="55"/>
      <c r="F18" s="55"/>
    </row>
    <row r="19" ht="12.75" customHeight="1"/>
    <row r="20" ht="12.75" customHeight="1"/>
    <row r="21" ht="12.75" customHeight="1">
      <c r="A21" s="72" t="s">
        <v>709</v>
      </c>
    </row>
    <row r="22" ht="12.75" customHeight="1">
      <c r="A22" s="55" t="s">
        <v>727</v>
      </c>
      <c r="B22" s="277" t="s">
        <v>719</v>
      </c>
      <c r="C22" s="90"/>
      <c r="D22" s="90"/>
      <c r="E22" s="90"/>
      <c r="F22" s="91"/>
    </row>
    <row r="23" ht="12.75" customHeight="1">
      <c r="A23" s="55"/>
      <c r="B23" s="55" t="s">
        <v>728</v>
      </c>
      <c r="C23" s="55"/>
      <c r="D23" s="55"/>
      <c r="E23" s="55"/>
      <c r="F23" s="55"/>
    </row>
    <row r="24" ht="12.75" customHeight="1">
      <c r="A24" s="55"/>
      <c r="B24" s="55" t="s">
        <v>721</v>
      </c>
      <c r="C24" s="55"/>
      <c r="D24" s="55"/>
      <c r="E24" s="55"/>
      <c r="F24" s="55"/>
    </row>
    <row r="25" ht="12.75" customHeight="1">
      <c r="A25" s="55" t="s">
        <v>729</v>
      </c>
      <c r="B25" s="277" t="s">
        <v>724</v>
      </c>
      <c r="C25" s="90"/>
      <c r="D25" s="90"/>
      <c r="E25" s="90"/>
      <c r="F25" s="91"/>
    </row>
    <row r="26" ht="12.75" customHeight="1">
      <c r="A26" s="25"/>
      <c r="B26" s="25"/>
      <c r="C26" s="25"/>
      <c r="D26" s="25"/>
      <c r="E26" s="25"/>
      <c r="F26" s="25"/>
    </row>
    <row r="27" ht="12.75" customHeight="1">
      <c r="A27" s="72" t="s">
        <v>712</v>
      </c>
      <c r="B27" s="25"/>
      <c r="C27" s="25"/>
      <c r="D27" s="25"/>
      <c r="E27" s="25"/>
      <c r="F27" s="25"/>
    </row>
    <row r="28" ht="12.75" customHeight="1">
      <c r="A28" s="55" t="s">
        <v>713</v>
      </c>
      <c r="B28" s="277" t="s">
        <v>719</v>
      </c>
      <c r="C28" s="90"/>
      <c r="D28" s="90"/>
      <c r="E28" s="90"/>
      <c r="F28" s="91"/>
    </row>
    <row r="29" ht="12.75" customHeight="1">
      <c r="A29" s="55"/>
      <c r="B29" s="55" t="s">
        <v>720</v>
      </c>
      <c r="C29" s="55"/>
      <c r="D29" s="55"/>
      <c r="E29" s="55"/>
      <c r="F29" s="55"/>
    </row>
    <row r="30" ht="12.75" customHeight="1">
      <c r="A30" s="55"/>
      <c r="B30" s="55" t="s">
        <v>721</v>
      </c>
      <c r="C30" s="55"/>
      <c r="D30" s="55"/>
      <c r="E30" s="55"/>
      <c r="F30" s="55"/>
    </row>
    <row r="31" ht="12.75" customHeight="1">
      <c r="A31" s="55" t="s">
        <v>714</v>
      </c>
      <c r="B31" s="55" t="s">
        <v>724</v>
      </c>
      <c r="C31" s="55"/>
      <c r="D31" s="55"/>
      <c r="E31" s="55"/>
      <c r="F31" s="55"/>
    </row>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1:F1"/>
    <mergeCell ref="A2:F2"/>
    <mergeCell ref="B7:F7"/>
    <mergeCell ref="B22:F22"/>
    <mergeCell ref="B25:F25"/>
    <mergeCell ref="B28:F28"/>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63"/>
    <col customWidth="1" min="2" max="2" width="10.63"/>
    <col customWidth="1" min="3" max="3" width="11.0"/>
    <col customWidth="1" min="4" max="4" width="10.5"/>
    <col customWidth="1" min="5" max="5" width="11.0"/>
    <col customWidth="1" min="6" max="6" width="10.38"/>
    <col customWidth="1" min="7" max="7" width="11.0"/>
    <col customWidth="1" min="8" max="8" width="11.38"/>
    <col customWidth="1" min="9" max="9" width="11.5"/>
    <col customWidth="1" min="10" max="10" width="10.5"/>
    <col customWidth="1" min="11" max="11" width="8.0"/>
    <col customWidth="1" min="12" max="12" width="9.5"/>
    <col customWidth="1" min="13" max="13" width="26.0"/>
    <col customWidth="1" min="14" max="15" width="8.88"/>
    <col customWidth="1" min="16" max="16" width="21.38"/>
    <col customWidth="1" min="17" max="26" width="10.0"/>
  </cols>
  <sheetData>
    <row r="1" ht="27.75" customHeight="1">
      <c r="A1" s="230" t="s">
        <v>519</v>
      </c>
      <c r="B1" s="231"/>
      <c r="C1" s="231"/>
      <c r="D1" s="231"/>
      <c r="E1" s="231"/>
      <c r="F1" s="231"/>
      <c r="G1" s="231"/>
      <c r="H1" s="231"/>
      <c r="I1" s="231"/>
      <c r="J1" s="232"/>
    </row>
    <row r="2" ht="12.75" customHeight="1">
      <c r="A2" s="233" t="s">
        <v>520</v>
      </c>
      <c r="I2" s="47"/>
      <c r="J2" s="86"/>
      <c r="K2" s="86"/>
      <c r="L2" s="86"/>
    </row>
    <row r="3" ht="12.75" customHeight="1">
      <c r="H3" s="115"/>
      <c r="I3" s="234"/>
      <c r="J3" s="97"/>
      <c r="K3" s="97"/>
      <c r="L3" s="97"/>
    </row>
    <row r="4" ht="12.75" customHeight="1">
      <c r="J4" s="97"/>
      <c r="K4" s="97"/>
      <c r="L4" s="97"/>
    </row>
    <row r="5" ht="12.75" customHeight="1">
      <c r="J5" s="97"/>
      <c r="K5" s="97"/>
      <c r="L5" s="97"/>
      <c r="P5" s="56" t="s">
        <v>730</v>
      </c>
    </row>
    <row r="6" ht="12.75" customHeight="1">
      <c r="H6" s="97"/>
      <c r="I6" s="47"/>
      <c r="J6" s="235"/>
      <c r="K6" s="235"/>
      <c r="L6" s="235"/>
    </row>
    <row r="7" ht="15.75" customHeight="1">
      <c r="A7" s="92" t="s">
        <v>521</v>
      </c>
      <c r="B7" s="25"/>
      <c r="C7" s="25"/>
      <c r="D7" s="25"/>
      <c r="E7" s="25"/>
      <c r="F7" s="25"/>
    </row>
    <row r="8" ht="12.75" customHeight="1">
      <c r="A8" s="47"/>
      <c r="B8" s="65" t="s">
        <v>55</v>
      </c>
    </row>
    <row r="9" ht="13.5" customHeight="1">
      <c r="A9" s="65" t="s">
        <v>522</v>
      </c>
      <c r="B9" s="86" t="s">
        <v>76</v>
      </c>
      <c r="C9" s="86" t="s">
        <v>77</v>
      </c>
      <c r="D9" s="86" t="s">
        <v>78</v>
      </c>
      <c r="E9" s="86" t="s">
        <v>79</v>
      </c>
      <c r="F9" s="86" t="s">
        <v>80</v>
      </c>
      <c r="G9" s="86" t="s">
        <v>81</v>
      </c>
      <c r="H9" s="86" t="s">
        <v>82</v>
      </c>
      <c r="I9" s="86" t="s">
        <v>83</v>
      </c>
      <c r="J9" s="86" t="s">
        <v>84</v>
      </c>
      <c r="P9" s="56" t="s">
        <v>731</v>
      </c>
    </row>
    <row r="10" ht="13.5" customHeight="1">
      <c r="A10" s="55" t="s">
        <v>732</v>
      </c>
      <c r="B10" s="115">
        <v>2.2115225E7</v>
      </c>
      <c r="C10" s="115">
        <v>2.2429291E7</v>
      </c>
      <c r="D10" s="115">
        <v>2.189200876E7</v>
      </c>
      <c r="E10" s="115">
        <v>2.2594374E7</v>
      </c>
      <c r="F10" s="115">
        <v>2.2385615E7</v>
      </c>
      <c r="G10" s="115">
        <v>2.161333E7</v>
      </c>
      <c r="H10" s="116">
        <v>2.1910033E7</v>
      </c>
      <c r="I10" s="116">
        <v>2.1424503E7</v>
      </c>
      <c r="J10" s="279">
        <v>2.2552894E7</v>
      </c>
      <c r="K10" s="25" t="s">
        <v>733</v>
      </c>
      <c r="L10" s="25" t="s">
        <v>734</v>
      </c>
      <c r="M10" s="25">
        <f>J19*0.003412</f>
        <v>75784.13331</v>
      </c>
      <c r="N10" s="25"/>
      <c r="O10" s="25"/>
      <c r="P10" s="25"/>
      <c r="Q10" s="25"/>
      <c r="R10" s="25"/>
      <c r="S10" s="25"/>
      <c r="T10" s="25"/>
      <c r="U10" s="25"/>
      <c r="V10" s="25"/>
      <c r="W10" s="25"/>
      <c r="X10" s="25"/>
      <c r="Y10" s="25"/>
      <c r="Z10" s="25"/>
    </row>
    <row r="11" ht="12.75" customHeight="1">
      <c r="A11" s="55" t="s">
        <v>735</v>
      </c>
      <c r="B11" s="115">
        <v>523794.0</v>
      </c>
      <c r="C11" s="115">
        <v>429990.0</v>
      </c>
      <c r="D11" s="115">
        <v>443344.0</v>
      </c>
      <c r="E11" s="115">
        <v>353345.0</v>
      </c>
      <c r="F11" s="115">
        <v>314891.0</v>
      </c>
      <c r="G11" s="115">
        <v>310000.0</v>
      </c>
      <c r="H11" s="115">
        <v>310000.0</v>
      </c>
      <c r="I11" s="115">
        <v>310000.0</v>
      </c>
      <c r="J11" s="115">
        <v>310000.0</v>
      </c>
      <c r="K11" s="25" t="s">
        <v>736</v>
      </c>
      <c r="L11" s="25" t="s">
        <v>734</v>
      </c>
      <c r="M11" s="25">
        <f>B19*0.003412</f>
        <v>73527.75041</v>
      </c>
      <c r="N11" s="25">
        <f>M10-M11</f>
        <v>2256.382896</v>
      </c>
      <c r="O11" s="25"/>
      <c r="P11" s="25"/>
      <c r="Q11" s="25"/>
      <c r="R11" s="25"/>
      <c r="S11" s="25"/>
      <c r="T11" s="25"/>
      <c r="U11" s="25"/>
      <c r="V11" s="25"/>
      <c r="W11" s="25"/>
      <c r="X11" s="25"/>
      <c r="Y11" s="25"/>
      <c r="Z11" s="25"/>
    </row>
    <row r="12" ht="15.0" customHeight="1">
      <c r="A12" s="55" t="s">
        <v>737</v>
      </c>
      <c r="B12" s="115">
        <v>41680.0</v>
      </c>
      <c r="C12" s="115">
        <v>50869.0</v>
      </c>
      <c r="D12" s="122">
        <f>30252+8689</f>
        <v>38941</v>
      </c>
      <c r="E12" s="116">
        <f>47200+31154</f>
        <v>78354</v>
      </c>
      <c r="F12" s="116">
        <f>34960+31531</f>
        <v>66491</v>
      </c>
      <c r="G12" s="116">
        <v>66000.0</v>
      </c>
      <c r="H12" s="116">
        <v>31835.0</v>
      </c>
      <c r="I12" s="116">
        <v>31835.0</v>
      </c>
      <c r="J12" s="116">
        <v>31835.0</v>
      </c>
      <c r="K12" s="25" t="s">
        <v>733</v>
      </c>
      <c r="L12" s="25" t="s">
        <v>738</v>
      </c>
      <c r="M12" s="25">
        <f>J17*0.003412</f>
        <v>15834.19232</v>
      </c>
      <c r="N12" s="25"/>
      <c r="O12" s="25"/>
      <c r="P12" s="25">
        <f>((21586198/1000)*722)/2200</f>
        <v>7084.197707</v>
      </c>
      <c r="Q12" s="25"/>
      <c r="R12" s="25"/>
      <c r="S12" s="25"/>
      <c r="T12" s="25"/>
      <c r="U12" s="25"/>
      <c r="V12" s="25"/>
      <c r="W12" s="25"/>
      <c r="X12" s="25"/>
      <c r="Y12" s="25"/>
      <c r="Z12" s="25"/>
    </row>
    <row r="13" ht="12.75" customHeight="1">
      <c r="A13" s="55" t="s">
        <v>739</v>
      </c>
      <c r="B13" s="115">
        <v>4242211.0</v>
      </c>
      <c r="C13" s="115">
        <v>4450804.0</v>
      </c>
      <c r="D13" s="115">
        <v>4139840.0</v>
      </c>
      <c r="E13" s="115">
        <v>3813050.0</v>
      </c>
      <c r="F13" s="115">
        <v>4115865.0</v>
      </c>
      <c r="G13" s="116">
        <v>3654240.0</v>
      </c>
      <c r="H13" s="116">
        <v>3320096.0</v>
      </c>
      <c r="I13" s="118">
        <v>3756420.0</v>
      </c>
      <c r="J13" s="118">
        <v>3604293.0</v>
      </c>
      <c r="K13" s="25"/>
      <c r="L13" s="25"/>
      <c r="M13" s="25"/>
      <c r="N13" s="25"/>
      <c r="O13" s="25"/>
      <c r="P13" s="25"/>
      <c r="Q13" s="25"/>
      <c r="R13" s="25"/>
      <c r="S13" s="25"/>
      <c r="T13" s="25"/>
      <c r="U13" s="25"/>
      <c r="V13" s="25"/>
      <c r="W13" s="25"/>
      <c r="X13" s="25"/>
      <c r="Y13" s="25"/>
      <c r="Z13" s="25"/>
    </row>
    <row r="14" ht="12.75" customHeight="1">
      <c r="A14" s="55" t="s">
        <v>740</v>
      </c>
      <c r="B14" s="115">
        <v>4825.0</v>
      </c>
      <c r="C14" s="115">
        <v>4317.0</v>
      </c>
      <c r="D14" s="55">
        <f>5168</f>
        <v>5168</v>
      </c>
      <c r="E14" s="240">
        <v>3965.0</v>
      </c>
      <c r="F14" s="240">
        <v>4910.0</v>
      </c>
      <c r="G14" s="55">
        <v>2768.0</v>
      </c>
      <c r="H14" s="116">
        <v>2328.0</v>
      </c>
      <c r="I14" s="116">
        <v>4172.0</v>
      </c>
      <c r="J14" s="116">
        <v>4902.0</v>
      </c>
      <c r="K14" s="25"/>
      <c r="L14" s="25"/>
      <c r="M14" s="25"/>
      <c r="N14" s="25"/>
      <c r="O14" s="25"/>
      <c r="P14" s="25"/>
      <c r="Q14" s="25"/>
      <c r="R14" s="25"/>
      <c r="S14" s="25"/>
      <c r="T14" s="25"/>
      <c r="U14" s="25"/>
      <c r="V14" s="25"/>
      <c r="W14" s="25"/>
      <c r="X14" s="25"/>
      <c r="Y14" s="25"/>
      <c r="Z14" s="25"/>
    </row>
    <row r="15" ht="12.75" customHeight="1">
      <c r="A15" s="55" t="s">
        <v>741</v>
      </c>
      <c r="B15" s="115">
        <v>1000.6</v>
      </c>
      <c r="C15" s="115">
        <f>1012.7+1953</f>
        <v>2965.7</v>
      </c>
      <c r="D15" s="116">
        <f>938.8+10634</f>
        <v>11572.8</v>
      </c>
      <c r="E15" s="241">
        <v>11005.9</v>
      </c>
      <c r="F15" s="241">
        <v>10627.1</v>
      </c>
      <c r="G15" s="116">
        <v>143023.3</v>
      </c>
      <c r="H15" s="116">
        <f>940+10089+7882+240451</f>
        <v>259362</v>
      </c>
      <c r="I15" s="280">
        <v>606777.0</v>
      </c>
      <c r="J15" s="280">
        <v>1031541.32018</v>
      </c>
      <c r="K15" s="25" t="s">
        <v>742</v>
      </c>
      <c r="L15" s="211">
        <f>J15/J16</f>
        <v>0.03837061096</v>
      </c>
      <c r="M15" s="25"/>
      <c r="N15" s="25"/>
      <c r="O15" s="25"/>
      <c r="P15" s="25"/>
      <c r="Q15" s="25"/>
      <c r="R15" s="25"/>
      <c r="S15" s="25"/>
      <c r="T15" s="25"/>
      <c r="U15" s="25"/>
      <c r="V15" s="25"/>
      <c r="W15" s="25"/>
      <c r="X15" s="25"/>
      <c r="Y15" s="25"/>
      <c r="Z15" s="25"/>
    </row>
    <row r="16" ht="12.75" customHeight="1">
      <c r="A16" s="25" t="s">
        <v>529</v>
      </c>
      <c r="B16" s="97">
        <f t="shared" ref="B16:J16" si="1">((B10-B11)+B13+B14+B15)</f>
        <v>25839467.6</v>
      </c>
      <c r="C16" s="97">
        <f t="shared" si="1"/>
        <v>26457387.7</v>
      </c>
      <c r="D16" s="97">
        <f t="shared" si="1"/>
        <v>25605245.56</v>
      </c>
      <c r="E16" s="97">
        <f t="shared" si="1"/>
        <v>26069049.9</v>
      </c>
      <c r="F16" s="97">
        <f t="shared" si="1"/>
        <v>26202126.1</v>
      </c>
      <c r="G16" s="97">
        <f t="shared" si="1"/>
        <v>25103361.3</v>
      </c>
      <c r="H16" s="97">
        <f t="shared" si="1"/>
        <v>25181819</v>
      </c>
      <c r="I16" s="97">
        <f t="shared" si="1"/>
        <v>25481872</v>
      </c>
      <c r="J16" s="97">
        <f t="shared" si="1"/>
        <v>26883630.32</v>
      </c>
      <c r="K16" s="25" t="s">
        <v>743</v>
      </c>
      <c r="L16" s="106">
        <f>(J13*0.8)/J16</f>
        <v>0.1072561394</v>
      </c>
      <c r="M16" s="25"/>
      <c r="N16" s="25"/>
      <c r="O16" s="25"/>
      <c r="P16" s="25"/>
      <c r="Q16" s="25"/>
      <c r="R16" s="25"/>
      <c r="S16" s="25"/>
      <c r="T16" s="25"/>
      <c r="U16" s="25"/>
      <c r="V16" s="25"/>
      <c r="W16" s="25"/>
      <c r="X16" s="25"/>
      <c r="Y16" s="25"/>
      <c r="Z16" s="25"/>
    </row>
    <row r="17" ht="12.75" customHeight="1">
      <c r="A17" s="25" t="s">
        <v>530</v>
      </c>
      <c r="B17" s="97">
        <f t="shared" ref="B17:J17" si="2">SUM(B13:B15)</f>
        <v>4248036.6</v>
      </c>
      <c r="C17" s="97">
        <f t="shared" si="2"/>
        <v>4458086.7</v>
      </c>
      <c r="D17" s="97">
        <f t="shared" si="2"/>
        <v>4156580.8</v>
      </c>
      <c r="E17" s="97">
        <f t="shared" si="2"/>
        <v>3828020.9</v>
      </c>
      <c r="F17" s="97">
        <f t="shared" si="2"/>
        <v>4131402.1</v>
      </c>
      <c r="G17" s="97">
        <f t="shared" si="2"/>
        <v>3800031.3</v>
      </c>
      <c r="H17" s="97">
        <f t="shared" si="2"/>
        <v>3581786</v>
      </c>
      <c r="I17" s="97">
        <f t="shared" si="2"/>
        <v>4367369</v>
      </c>
      <c r="J17" s="97">
        <f t="shared" si="2"/>
        <v>4640736.32</v>
      </c>
      <c r="K17" s="56" t="s">
        <v>744</v>
      </c>
      <c r="L17" s="97">
        <f>42+(44*0.09)</f>
        <v>45.96</v>
      </c>
    </row>
    <row r="18" ht="12.75" customHeight="1">
      <c r="A18" s="56" t="s">
        <v>531</v>
      </c>
      <c r="B18" s="97">
        <f t="shared" ref="B18:J18" si="3">B12</f>
        <v>41680</v>
      </c>
      <c r="C18" s="97">
        <f t="shared" si="3"/>
        <v>50869</v>
      </c>
      <c r="D18" s="97">
        <f t="shared" si="3"/>
        <v>38941</v>
      </c>
      <c r="E18" s="97">
        <f t="shared" si="3"/>
        <v>78354</v>
      </c>
      <c r="F18" s="97">
        <f t="shared" si="3"/>
        <v>66491</v>
      </c>
      <c r="G18" s="97">
        <f t="shared" si="3"/>
        <v>66000</v>
      </c>
      <c r="H18" s="97">
        <f t="shared" si="3"/>
        <v>31835</v>
      </c>
      <c r="I18" s="97">
        <f t="shared" si="3"/>
        <v>31835</v>
      </c>
      <c r="J18" s="97">
        <f t="shared" si="3"/>
        <v>31835</v>
      </c>
      <c r="K18" s="56" t="s">
        <v>745</v>
      </c>
      <c r="L18" s="97">
        <f>44*0.3</f>
        <v>13.2</v>
      </c>
    </row>
    <row r="19" ht="12.75" customHeight="1">
      <c r="A19" s="56" t="s">
        <v>532</v>
      </c>
      <c r="B19" s="97">
        <f t="shared" ref="B19:J19" si="4">B16-(B17+B18)</f>
        <v>21549751</v>
      </c>
      <c r="C19" s="97">
        <f t="shared" si="4"/>
        <v>21948432</v>
      </c>
      <c r="D19" s="97">
        <f t="shared" si="4"/>
        <v>21409723.76</v>
      </c>
      <c r="E19" s="97">
        <f t="shared" si="4"/>
        <v>22162675</v>
      </c>
      <c r="F19" s="97">
        <f t="shared" si="4"/>
        <v>22004233</v>
      </c>
      <c r="G19" s="97">
        <f t="shared" si="4"/>
        <v>21237330</v>
      </c>
      <c r="H19" s="97">
        <f t="shared" si="4"/>
        <v>21568198</v>
      </c>
      <c r="I19" s="97">
        <f t="shared" si="4"/>
        <v>21082668</v>
      </c>
      <c r="J19" s="97">
        <f t="shared" si="4"/>
        <v>22211059</v>
      </c>
      <c r="K19" s="56" t="s">
        <v>746</v>
      </c>
      <c r="L19" s="97">
        <f>13+(44*0.3)</f>
        <v>26.2</v>
      </c>
    </row>
    <row r="20" ht="12.75" customHeight="1"/>
    <row r="21" ht="12.75" customHeight="1">
      <c r="A21" s="72" t="s">
        <v>533</v>
      </c>
    </row>
    <row r="22" ht="12.75" customHeight="1">
      <c r="A22" s="57" t="s">
        <v>534</v>
      </c>
      <c r="B22" s="105">
        <v>1.54</v>
      </c>
      <c r="C22" s="105">
        <v>1.8</v>
      </c>
      <c r="D22" s="105">
        <v>1.6</v>
      </c>
      <c r="E22" s="105">
        <v>3.5</v>
      </c>
      <c r="F22" s="105">
        <v>3.9</v>
      </c>
      <c r="G22" s="105">
        <v>3.4</v>
      </c>
      <c r="H22" s="57">
        <v>2.83</v>
      </c>
      <c r="I22" s="57">
        <v>2.83</v>
      </c>
      <c r="J22" s="57">
        <v>0.0</v>
      </c>
      <c r="K22" s="25"/>
      <c r="L22" s="25"/>
      <c r="M22" s="25"/>
      <c r="N22" s="25"/>
      <c r="O22" s="25"/>
      <c r="P22" s="25"/>
      <c r="Q22" s="25"/>
      <c r="R22" s="25"/>
      <c r="S22" s="25"/>
      <c r="T22" s="25"/>
      <c r="U22" s="25"/>
      <c r="V22" s="25"/>
      <c r="W22" s="25"/>
      <c r="X22" s="25"/>
      <c r="Y22" s="25"/>
      <c r="Z22" s="25"/>
    </row>
    <row r="23" ht="12.75" customHeight="1">
      <c r="A23" s="57" t="s">
        <v>535</v>
      </c>
      <c r="B23" s="105">
        <v>35.94</v>
      </c>
      <c r="C23" s="105">
        <v>37.57</v>
      </c>
      <c r="D23" s="57">
        <v>37.14</v>
      </c>
      <c r="E23" s="57">
        <v>39.7</v>
      </c>
      <c r="F23" s="57">
        <v>40.3</v>
      </c>
      <c r="G23" s="57">
        <v>39.5</v>
      </c>
      <c r="H23" s="57">
        <v>45.33</v>
      </c>
      <c r="I23" s="57">
        <v>45.33</v>
      </c>
      <c r="J23" s="57">
        <v>32.0</v>
      </c>
      <c r="K23" s="25"/>
      <c r="L23" s="25"/>
      <c r="M23" s="25"/>
      <c r="N23" s="25"/>
      <c r="O23" s="25"/>
      <c r="P23" s="25"/>
      <c r="Q23" s="25"/>
      <c r="R23" s="25"/>
      <c r="S23" s="25"/>
      <c r="T23" s="25"/>
      <c r="U23" s="25"/>
      <c r="V23" s="25"/>
      <c r="W23" s="25"/>
      <c r="X23" s="25"/>
      <c r="Y23" s="25"/>
      <c r="Z23" s="25"/>
    </row>
    <row r="24" ht="12.75" customHeight="1">
      <c r="A24" s="57" t="s">
        <v>536</v>
      </c>
      <c r="B24" s="105"/>
      <c r="C24" s="105"/>
      <c r="D24" s="57"/>
      <c r="E24" s="105">
        <v>0.3</v>
      </c>
      <c r="F24" s="105">
        <v>0.1</v>
      </c>
      <c r="G24" s="25">
        <v>0.4</v>
      </c>
      <c r="H24" s="57">
        <v>0.38</v>
      </c>
      <c r="I24" s="57">
        <v>0.38</v>
      </c>
      <c r="J24" s="57">
        <v>0.0</v>
      </c>
      <c r="K24" s="25"/>
      <c r="L24" s="25"/>
      <c r="M24" s="25"/>
      <c r="N24" s="25"/>
      <c r="O24" s="25"/>
      <c r="P24" s="25"/>
      <c r="Q24" s="25"/>
      <c r="R24" s="25"/>
      <c r="S24" s="25"/>
      <c r="T24" s="25"/>
      <c r="U24" s="25"/>
      <c r="V24" s="25"/>
      <c r="W24" s="25"/>
      <c r="X24" s="25"/>
      <c r="Y24" s="25"/>
      <c r="Z24" s="25"/>
    </row>
    <row r="25" ht="12.75" customHeight="1">
      <c r="A25" s="57" t="s">
        <v>537</v>
      </c>
      <c r="B25" s="105">
        <v>54.16</v>
      </c>
      <c r="C25" s="105">
        <v>48.01</v>
      </c>
      <c r="D25" s="57">
        <v>49.68</v>
      </c>
      <c r="E25" s="57">
        <v>54.5</v>
      </c>
      <c r="F25" s="57">
        <v>50.1</v>
      </c>
      <c r="G25" s="57">
        <v>51.9</v>
      </c>
      <c r="H25" s="57">
        <v>6.52</v>
      </c>
      <c r="I25" s="57">
        <v>6.52</v>
      </c>
      <c r="J25" s="57">
        <v>14.0</v>
      </c>
      <c r="K25" s="25"/>
      <c r="L25" s="25"/>
      <c r="M25" s="25"/>
      <c r="N25" s="25"/>
      <c r="O25" s="25"/>
      <c r="P25" s="25"/>
      <c r="Q25" s="25"/>
      <c r="R25" s="25"/>
      <c r="S25" s="25"/>
      <c r="T25" s="25"/>
      <c r="U25" s="25"/>
      <c r="V25" s="25"/>
      <c r="W25" s="25"/>
      <c r="X25" s="25"/>
      <c r="Y25" s="25"/>
      <c r="Z25" s="25"/>
    </row>
    <row r="26" ht="12.75" customHeight="1">
      <c r="A26" s="57" t="s">
        <v>538</v>
      </c>
      <c r="B26" s="105">
        <v>0.0</v>
      </c>
      <c r="C26" s="105">
        <v>0.0</v>
      </c>
      <c r="D26" s="105">
        <v>0.0</v>
      </c>
      <c r="E26" s="105">
        <v>0.0</v>
      </c>
      <c r="F26" s="105">
        <v>0.0</v>
      </c>
      <c r="G26" s="105">
        <v>0.0</v>
      </c>
      <c r="H26" s="57">
        <v>0.36</v>
      </c>
      <c r="I26" s="57">
        <v>0.36</v>
      </c>
      <c r="J26" s="57">
        <v>0.3</v>
      </c>
      <c r="K26" s="25"/>
      <c r="L26" s="25"/>
      <c r="M26" s="25"/>
      <c r="N26" s="25"/>
      <c r="O26" s="25"/>
      <c r="P26" s="25"/>
      <c r="Q26" s="25"/>
      <c r="R26" s="25"/>
      <c r="S26" s="25"/>
      <c r="T26" s="25"/>
      <c r="U26" s="25"/>
      <c r="V26" s="25"/>
      <c r="W26" s="25"/>
      <c r="X26" s="25"/>
      <c r="Y26" s="25"/>
      <c r="Z26" s="25"/>
    </row>
    <row r="27" ht="12.75" customHeight="1">
      <c r="A27" s="57" t="s">
        <v>539</v>
      </c>
      <c r="B27" s="105">
        <v>0.0</v>
      </c>
      <c r="C27" s="105">
        <v>0.0</v>
      </c>
      <c r="D27" s="105">
        <v>0.0</v>
      </c>
      <c r="E27" s="105">
        <v>0.0</v>
      </c>
      <c r="F27" s="105">
        <v>0.0</v>
      </c>
      <c r="G27" s="105">
        <v>0.0</v>
      </c>
      <c r="H27" s="57">
        <v>0.0</v>
      </c>
      <c r="I27" s="57">
        <v>0.0</v>
      </c>
      <c r="J27" s="57">
        <v>0.0</v>
      </c>
      <c r="K27" s="25"/>
      <c r="L27" s="25"/>
      <c r="M27" s="25"/>
      <c r="N27" s="25"/>
      <c r="O27" s="25"/>
      <c r="P27" s="25"/>
      <c r="Q27" s="25"/>
      <c r="R27" s="25"/>
      <c r="S27" s="25"/>
      <c r="T27" s="25"/>
      <c r="U27" s="25"/>
      <c r="V27" s="25"/>
      <c r="W27" s="25"/>
      <c r="X27" s="25"/>
      <c r="Y27" s="25"/>
      <c r="Z27" s="25"/>
    </row>
    <row r="28" ht="12.75" customHeight="1">
      <c r="A28" s="57" t="s">
        <v>540</v>
      </c>
      <c r="B28" s="105">
        <v>0.02</v>
      </c>
      <c r="C28" s="105">
        <v>0.02</v>
      </c>
      <c r="D28" s="57">
        <v>0.02</v>
      </c>
      <c r="E28" s="57">
        <v>0.2</v>
      </c>
      <c r="F28" s="57">
        <v>0.0</v>
      </c>
      <c r="G28" s="58">
        <v>0.03</v>
      </c>
      <c r="H28" s="57" t="s">
        <v>747</v>
      </c>
      <c r="I28" s="57">
        <v>1.0</v>
      </c>
      <c r="J28" s="57">
        <v>1.0</v>
      </c>
      <c r="K28" s="58"/>
      <c r="L28" s="25"/>
      <c r="M28" s="25"/>
      <c r="N28" s="25"/>
      <c r="O28" s="25"/>
      <c r="P28" s="25"/>
      <c r="Q28" s="25"/>
      <c r="R28" s="25"/>
      <c r="S28" s="25"/>
      <c r="T28" s="25"/>
      <c r="U28" s="25"/>
      <c r="V28" s="25"/>
      <c r="W28" s="25"/>
      <c r="X28" s="25"/>
      <c r="Y28" s="25"/>
      <c r="Z28" s="25"/>
    </row>
    <row r="29" ht="12.75" customHeight="1">
      <c r="A29" s="57" t="s">
        <v>541</v>
      </c>
      <c r="B29" s="105">
        <v>0.03</v>
      </c>
      <c r="C29" s="105">
        <v>0.17</v>
      </c>
      <c r="D29" s="242">
        <v>0.07</v>
      </c>
      <c r="E29" s="57">
        <v>0.0</v>
      </c>
      <c r="F29" s="57">
        <v>0.1</v>
      </c>
      <c r="G29" s="25">
        <v>0.07</v>
      </c>
      <c r="H29" s="57">
        <v>0.09</v>
      </c>
      <c r="I29" s="57">
        <v>0.09</v>
      </c>
      <c r="J29" s="57">
        <v>0.0</v>
      </c>
      <c r="K29" s="25"/>
      <c r="L29" s="25"/>
      <c r="M29" s="25"/>
      <c r="N29" s="25"/>
      <c r="O29" s="25"/>
      <c r="P29" s="25"/>
      <c r="Q29" s="25"/>
      <c r="R29" s="25"/>
      <c r="S29" s="25"/>
      <c r="T29" s="25"/>
      <c r="U29" s="25"/>
      <c r="V29" s="25"/>
      <c r="W29" s="25"/>
      <c r="X29" s="25"/>
      <c r="Y29" s="25"/>
      <c r="Z29" s="25"/>
    </row>
    <row r="30" ht="12.75" customHeight="1">
      <c r="A30" s="57" t="s">
        <v>542</v>
      </c>
      <c r="B30" s="105">
        <v>6.35</v>
      </c>
      <c r="C30" s="105">
        <v>9.55</v>
      </c>
      <c r="D30" s="57">
        <v>9.23</v>
      </c>
      <c r="E30" s="57">
        <v>1.8</v>
      </c>
      <c r="F30" s="57">
        <v>5.5</v>
      </c>
      <c r="G30" s="57">
        <v>4.5</v>
      </c>
      <c r="H30" s="57">
        <v>1.0E-4</v>
      </c>
      <c r="I30" s="57">
        <v>1.0E-4</v>
      </c>
      <c r="J30" s="57">
        <v>0.0</v>
      </c>
      <c r="K30" s="25"/>
      <c r="L30" s="25"/>
      <c r="O30" s="25"/>
      <c r="P30" s="25"/>
      <c r="Q30" s="25"/>
      <c r="R30" s="25"/>
      <c r="S30" s="25"/>
      <c r="T30" s="25"/>
      <c r="U30" s="25"/>
      <c r="V30" s="25"/>
      <c r="W30" s="25"/>
      <c r="X30" s="25"/>
      <c r="Y30" s="25"/>
      <c r="Z30" s="25"/>
    </row>
    <row r="31" ht="12.75" customHeight="1">
      <c r="A31" s="57" t="s">
        <v>543</v>
      </c>
      <c r="B31" s="105"/>
      <c r="C31" s="105"/>
      <c r="D31" s="57"/>
      <c r="E31" s="57"/>
      <c r="F31" s="57"/>
      <c r="G31" s="57">
        <v>0.3</v>
      </c>
      <c r="H31" s="57">
        <v>0.29</v>
      </c>
      <c r="I31" s="57">
        <v>0.29</v>
      </c>
      <c r="J31" s="57">
        <v>1.0</v>
      </c>
      <c r="K31" s="25"/>
      <c r="L31" s="25"/>
      <c r="O31" s="25"/>
      <c r="P31" s="25"/>
      <c r="Q31" s="25"/>
      <c r="R31" s="25"/>
      <c r="S31" s="25"/>
      <c r="T31" s="25"/>
      <c r="U31" s="25"/>
      <c r="V31" s="25"/>
      <c r="W31" s="25"/>
      <c r="X31" s="25"/>
      <c r="Y31" s="25"/>
      <c r="Z31" s="25"/>
    </row>
    <row r="32" ht="12.75" customHeight="1">
      <c r="A32" s="57" t="s">
        <v>544</v>
      </c>
      <c r="B32" s="105">
        <v>1.96</v>
      </c>
      <c r="C32" s="105">
        <v>2.89</v>
      </c>
      <c r="D32" s="105">
        <v>2.26</v>
      </c>
      <c r="E32" s="105">
        <v>0.0</v>
      </c>
      <c r="F32" s="105"/>
      <c r="G32" s="105">
        <v>1.71</v>
      </c>
      <c r="H32" s="57">
        <v>44.12</v>
      </c>
      <c r="I32" s="57">
        <v>44.12</v>
      </c>
      <c r="J32" s="57">
        <v>53.0</v>
      </c>
    </row>
    <row r="33" ht="12.75" customHeight="1">
      <c r="A33" s="245" t="s">
        <v>545</v>
      </c>
      <c r="B33" s="112">
        <f t="shared" ref="B33:F33" si="5">SUM(B22:B32)</f>
        <v>100</v>
      </c>
      <c r="C33" s="112">
        <f t="shared" si="5"/>
        <v>100.01</v>
      </c>
      <c r="D33" s="112">
        <f t="shared" si="5"/>
        <v>100</v>
      </c>
      <c r="E33" s="112">
        <f t="shared" si="5"/>
        <v>100</v>
      </c>
      <c r="F33" s="112">
        <f t="shared" si="5"/>
        <v>100</v>
      </c>
      <c r="G33" s="58">
        <f>SUM(G22:G31)</f>
        <v>100.1</v>
      </c>
      <c r="H33" s="112">
        <f t="shared" ref="H33:J33" si="6">SUM(H22:H32)</f>
        <v>99.9201</v>
      </c>
      <c r="I33" s="112">
        <f t="shared" si="6"/>
        <v>100.9201</v>
      </c>
      <c r="J33" s="112">
        <f t="shared" si="6"/>
        <v>101.3</v>
      </c>
    </row>
    <row r="34" ht="12.75" customHeight="1">
      <c r="B34" s="25"/>
      <c r="E34" s="25"/>
      <c r="F34" s="25"/>
    </row>
    <row r="35" ht="12.75" customHeight="1">
      <c r="A35" s="72" t="s">
        <v>548</v>
      </c>
      <c r="B35" s="25"/>
      <c r="E35" s="25"/>
      <c r="F35" s="25"/>
      <c r="H35" s="25"/>
      <c r="I35" s="25"/>
      <c r="J35" s="25"/>
      <c r="K35" s="25"/>
      <c r="L35" s="25"/>
      <c r="O35" s="25"/>
      <c r="P35" s="25"/>
      <c r="Q35" s="25"/>
      <c r="R35" s="25"/>
      <c r="S35" s="25"/>
      <c r="T35" s="25"/>
      <c r="U35" s="25"/>
      <c r="V35" s="25"/>
      <c r="W35" s="25"/>
      <c r="X35" s="25"/>
      <c r="Y35" s="25"/>
      <c r="Z35" s="25"/>
    </row>
    <row r="36" ht="12.75" customHeight="1">
      <c r="A36" s="57" t="s">
        <v>534</v>
      </c>
      <c r="B36" s="105">
        <v>3.4</v>
      </c>
      <c r="C36" s="105">
        <v>3.4</v>
      </c>
      <c r="D36" s="105">
        <v>3.3</v>
      </c>
      <c r="E36" s="105">
        <v>3.2</v>
      </c>
      <c r="F36" s="105">
        <v>2.94</v>
      </c>
      <c r="G36" s="105">
        <v>4.9</v>
      </c>
      <c r="H36" s="57">
        <v>5.51</v>
      </c>
      <c r="I36" s="57">
        <v>5.51</v>
      </c>
      <c r="J36" s="57">
        <v>0.0</v>
      </c>
      <c r="K36" s="25"/>
      <c r="L36" s="25"/>
      <c r="O36" s="25"/>
      <c r="P36" s="25"/>
      <c r="Q36" s="25"/>
      <c r="R36" s="25"/>
      <c r="S36" s="25"/>
      <c r="T36" s="25"/>
      <c r="U36" s="25"/>
      <c r="V36" s="25"/>
      <c r="W36" s="25"/>
      <c r="X36" s="25"/>
      <c r="Y36" s="25"/>
      <c r="Z36" s="25"/>
    </row>
    <row r="37" ht="12.75" customHeight="1">
      <c r="A37" s="57" t="s">
        <v>549</v>
      </c>
      <c r="B37" s="105">
        <v>5.6</v>
      </c>
      <c r="C37" s="105">
        <v>4.8</v>
      </c>
      <c r="D37" s="105">
        <f>2.4+4.1</f>
        <v>6.5</v>
      </c>
      <c r="E37" s="105">
        <v>7.6</v>
      </c>
      <c r="F37" s="105">
        <v>6.2</v>
      </c>
      <c r="G37" s="105">
        <v>7.8</v>
      </c>
      <c r="H37" s="57">
        <v>7.12</v>
      </c>
      <c r="I37" s="57">
        <v>7.12</v>
      </c>
      <c r="J37" s="57">
        <v>8.0</v>
      </c>
      <c r="K37" s="25"/>
      <c r="L37" s="25"/>
      <c r="O37" s="25"/>
      <c r="P37" s="25"/>
      <c r="Q37" s="25"/>
      <c r="R37" s="25"/>
      <c r="S37" s="25"/>
      <c r="T37" s="25"/>
      <c r="U37" s="25"/>
      <c r="V37" s="25"/>
      <c r="W37" s="25"/>
      <c r="X37" s="25"/>
      <c r="Y37" s="25"/>
      <c r="Z37" s="25"/>
    </row>
    <row r="38" ht="12.75" customHeight="1">
      <c r="A38" s="57" t="s">
        <v>537</v>
      </c>
      <c r="B38" s="105">
        <v>28.0</v>
      </c>
      <c r="C38" s="105">
        <v>27.5</v>
      </c>
      <c r="D38" s="105">
        <v>27.0</v>
      </c>
      <c r="E38" s="105">
        <v>28.6</v>
      </c>
      <c r="F38" s="105">
        <v>29.0</v>
      </c>
      <c r="G38" s="105">
        <v>28.4</v>
      </c>
      <c r="H38" s="57">
        <v>30.45</v>
      </c>
      <c r="I38" s="57">
        <v>30.45</v>
      </c>
      <c r="J38" s="57">
        <v>34.0</v>
      </c>
      <c r="K38" s="25"/>
      <c r="L38" s="25"/>
      <c r="O38" s="25"/>
      <c r="P38" s="25"/>
      <c r="Q38" s="25"/>
      <c r="R38" s="25"/>
      <c r="S38" s="25"/>
      <c r="T38" s="25"/>
      <c r="U38" s="25"/>
      <c r="V38" s="25"/>
      <c r="W38" s="25"/>
      <c r="X38" s="25"/>
      <c r="Y38" s="25"/>
      <c r="Z38" s="25"/>
    </row>
    <row r="39" ht="12.75" customHeight="1">
      <c r="A39" s="57" t="s">
        <v>538</v>
      </c>
      <c r="B39" s="105">
        <v>29.8</v>
      </c>
      <c r="C39" s="105">
        <v>29.3</v>
      </c>
      <c r="D39" s="105">
        <v>29.1</v>
      </c>
      <c r="E39" s="105">
        <v>30.3</v>
      </c>
      <c r="F39" s="105">
        <v>32.0</v>
      </c>
      <c r="G39" s="105">
        <v>38.5</v>
      </c>
      <c r="H39" s="57">
        <v>39.79</v>
      </c>
      <c r="I39" s="57">
        <v>39.79</v>
      </c>
      <c r="J39" s="57">
        <v>44.0</v>
      </c>
      <c r="K39" s="25"/>
      <c r="L39" s="25"/>
      <c r="O39" s="25"/>
      <c r="P39" s="25"/>
      <c r="Q39" s="25"/>
      <c r="R39" s="25"/>
      <c r="S39" s="25"/>
      <c r="T39" s="25"/>
      <c r="U39" s="25"/>
      <c r="V39" s="25"/>
      <c r="W39" s="25"/>
      <c r="X39" s="25"/>
      <c r="Y39" s="25"/>
      <c r="Z39" s="25"/>
    </row>
    <row r="40" ht="12.75" customHeight="1">
      <c r="A40" s="57" t="s">
        <v>539</v>
      </c>
      <c r="B40" s="105">
        <v>11.5</v>
      </c>
      <c r="C40" s="105">
        <v>11.9</v>
      </c>
      <c r="D40" s="105">
        <v>11.0</v>
      </c>
      <c r="E40" s="105">
        <v>11.5</v>
      </c>
      <c r="F40" s="105">
        <v>11.0</v>
      </c>
      <c r="G40" s="105">
        <v>5.9</v>
      </c>
      <c r="H40" s="105">
        <v>5.0</v>
      </c>
      <c r="I40" s="105">
        <v>5.0</v>
      </c>
      <c r="J40" s="105">
        <v>5.0</v>
      </c>
      <c r="K40" s="25"/>
      <c r="L40" s="25" t="s">
        <v>748</v>
      </c>
      <c r="O40" s="25"/>
      <c r="P40" s="25"/>
      <c r="Q40" s="25"/>
      <c r="R40" s="25"/>
      <c r="S40" s="25"/>
      <c r="T40" s="25"/>
      <c r="U40" s="25"/>
      <c r="V40" s="25"/>
      <c r="W40" s="25"/>
      <c r="X40" s="25"/>
      <c r="Y40" s="25"/>
      <c r="Z40" s="25"/>
    </row>
    <row r="41" ht="12.75" customHeight="1">
      <c r="A41" s="57" t="s">
        <v>749</v>
      </c>
      <c r="B41" s="105">
        <v>1.4</v>
      </c>
      <c r="C41" s="105">
        <v>2.0</v>
      </c>
      <c r="D41" s="105">
        <v>1.4</v>
      </c>
      <c r="E41" s="105">
        <v>0.7</v>
      </c>
      <c r="F41" s="105">
        <v>0.4</v>
      </c>
      <c r="G41" s="57"/>
      <c r="H41" s="57">
        <v>0.28</v>
      </c>
      <c r="I41" s="57">
        <v>0.28</v>
      </c>
      <c r="J41" s="57"/>
      <c r="K41" s="25"/>
      <c r="L41" s="25"/>
      <c r="O41" s="25"/>
      <c r="P41" s="25"/>
      <c r="Q41" s="25"/>
      <c r="R41" s="25"/>
      <c r="S41" s="25"/>
      <c r="T41" s="25"/>
      <c r="U41" s="25"/>
      <c r="V41" s="25"/>
      <c r="W41" s="25"/>
      <c r="X41" s="25"/>
      <c r="Y41" s="25"/>
      <c r="Z41" s="25"/>
    </row>
    <row r="42" ht="12.75" customHeight="1">
      <c r="A42" s="57" t="s">
        <v>541</v>
      </c>
      <c r="B42" s="105">
        <v>13.5</v>
      </c>
      <c r="C42" s="105">
        <v>14.5</v>
      </c>
      <c r="D42" s="105">
        <f>9.7+3.1</f>
        <v>12.8</v>
      </c>
      <c r="E42" s="105">
        <v>9.8</v>
      </c>
      <c r="F42" s="105">
        <v>12.0</v>
      </c>
      <c r="G42" s="105"/>
      <c r="H42" s="57">
        <v>0.0</v>
      </c>
      <c r="I42" s="57">
        <v>0.0</v>
      </c>
      <c r="J42" s="57">
        <v>0.0</v>
      </c>
      <c r="K42" s="25"/>
      <c r="L42" s="25"/>
      <c r="O42" s="25"/>
      <c r="P42" s="25"/>
      <c r="Q42" s="25"/>
      <c r="R42" s="25"/>
      <c r="S42" s="25"/>
      <c r="T42" s="25"/>
      <c r="U42" s="25"/>
      <c r="V42" s="25"/>
      <c r="W42" s="25"/>
      <c r="X42" s="25"/>
      <c r="Y42" s="25"/>
      <c r="Z42" s="25"/>
    </row>
    <row r="43" ht="12.75" customHeight="1">
      <c r="A43" s="57" t="s">
        <v>550</v>
      </c>
      <c r="B43" s="105"/>
      <c r="C43" s="105"/>
      <c r="D43" s="105"/>
      <c r="E43" s="105"/>
      <c r="F43" s="105"/>
      <c r="G43" s="105">
        <v>13.2</v>
      </c>
      <c r="H43" s="57">
        <v>10.0</v>
      </c>
      <c r="I43" s="57">
        <v>10.0</v>
      </c>
      <c r="J43" s="57">
        <v>1.0</v>
      </c>
    </row>
    <row r="44" ht="12.75" customHeight="1">
      <c r="A44" s="57" t="s">
        <v>543</v>
      </c>
      <c r="B44" s="105"/>
      <c r="C44" s="105"/>
      <c r="D44" s="105"/>
      <c r="E44" s="105"/>
      <c r="F44" s="105"/>
      <c r="G44" s="105">
        <v>0.6</v>
      </c>
      <c r="H44" s="57">
        <v>1.86</v>
      </c>
      <c r="I44" s="57">
        <v>1.86</v>
      </c>
      <c r="J44" s="57">
        <v>9.0</v>
      </c>
    </row>
    <row r="45" ht="12.75" customHeight="1">
      <c r="A45" s="57" t="s">
        <v>552</v>
      </c>
      <c r="B45" s="105">
        <v>3.7</v>
      </c>
      <c r="C45" s="105">
        <v>3.8</v>
      </c>
      <c r="D45" s="105">
        <f>3.8+1.2+0+2.1+0+0.3</f>
        <v>7.4</v>
      </c>
      <c r="E45" s="105">
        <v>8.3</v>
      </c>
      <c r="F45" s="105">
        <v>6.46</v>
      </c>
      <c r="G45" s="105"/>
      <c r="H45" s="57">
        <v>0.0</v>
      </c>
      <c r="I45" s="57">
        <v>0.0</v>
      </c>
      <c r="J45" s="57">
        <v>0.0</v>
      </c>
    </row>
    <row r="46" ht="12.75" customHeight="1">
      <c r="A46" s="245" t="s">
        <v>545</v>
      </c>
      <c r="B46" s="112">
        <f t="shared" ref="B46:J46" si="7">SUM(B36:B45)</f>
        <v>96.9</v>
      </c>
      <c r="C46" s="112">
        <f t="shared" si="7"/>
        <v>97.2</v>
      </c>
      <c r="D46" s="112">
        <f t="shared" si="7"/>
        <v>98.5</v>
      </c>
      <c r="E46" s="112">
        <f t="shared" si="7"/>
        <v>100</v>
      </c>
      <c r="F46" s="112">
        <f t="shared" si="7"/>
        <v>100</v>
      </c>
      <c r="G46" s="58">
        <f t="shared" si="7"/>
        <v>99.3</v>
      </c>
      <c r="H46" s="112">
        <f t="shared" si="7"/>
        <v>100.01</v>
      </c>
      <c r="I46" s="112">
        <f t="shared" si="7"/>
        <v>100.01</v>
      </c>
      <c r="J46" s="112">
        <f t="shared" si="7"/>
        <v>101</v>
      </c>
      <c r="K46" s="25"/>
      <c r="L46" s="25"/>
      <c r="O46" s="25"/>
      <c r="P46" s="25"/>
      <c r="Q46" s="25"/>
      <c r="R46" s="25"/>
      <c r="S46" s="25"/>
      <c r="T46" s="25"/>
      <c r="U46" s="25"/>
      <c r="V46" s="25"/>
      <c r="W46" s="25"/>
      <c r="X46" s="25"/>
      <c r="Y46" s="25"/>
      <c r="Z46" s="25"/>
    </row>
    <row r="47" ht="12.75" customHeight="1">
      <c r="E47" s="25"/>
      <c r="F47" s="25"/>
      <c r="H47" s="25"/>
      <c r="I47" s="25"/>
      <c r="J47" s="25"/>
      <c r="K47" s="25"/>
      <c r="L47" s="25"/>
      <c r="O47" s="25"/>
      <c r="P47" s="25"/>
      <c r="Q47" s="25"/>
      <c r="R47" s="25"/>
      <c r="S47" s="25"/>
      <c r="T47" s="25"/>
      <c r="U47" s="25"/>
      <c r="V47" s="25"/>
      <c r="W47" s="25"/>
      <c r="X47" s="25"/>
      <c r="Y47" s="25"/>
      <c r="Z47" s="25"/>
    </row>
    <row r="48" ht="12.75" customHeight="1">
      <c r="A48" s="72" t="s">
        <v>555</v>
      </c>
      <c r="E48" s="25"/>
      <c r="F48" s="25"/>
      <c r="H48" s="25"/>
      <c r="I48" s="25"/>
      <c r="J48" s="25"/>
      <c r="K48" s="25"/>
      <c r="L48" s="25"/>
      <c r="O48" s="25"/>
      <c r="P48" s="25"/>
      <c r="Q48" s="25"/>
      <c r="R48" s="25"/>
      <c r="S48" s="25"/>
      <c r="T48" s="25"/>
      <c r="U48" s="25"/>
      <c r="V48" s="25"/>
      <c r="W48" s="25"/>
      <c r="X48" s="25"/>
      <c r="Y48" s="25"/>
      <c r="Z48" s="25"/>
    </row>
    <row r="49" ht="12.75" customHeight="1">
      <c r="A49" s="25" t="s">
        <v>534</v>
      </c>
      <c r="B49" s="112">
        <f t="shared" ref="B49:C49" si="8">B22+(B32*B36/100)</f>
        <v>1.60664</v>
      </c>
      <c r="C49" s="112">
        <f t="shared" si="8"/>
        <v>1.89826</v>
      </c>
      <c r="D49" s="112">
        <f>D22+(D32*'Scope2 Electricity'!D38/100)</f>
        <v>1.67458</v>
      </c>
      <c r="E49" s="112">
        <f>E22+(E32*'Scope2 Electricity'!E38/100)</f>
        <v>3.5</v>
      </c>
      <c r="F49" s="112">
        <f>F22+(F32*'Scope2 Electricity'!F38/100)</f>
        <v>3.9</v>
      </c>
      <c r="G49" s="112">
        <f>G22+(G32*'Scope2 Electricity'!G38/100)</f>
        <v>3.48379</v>
      </c>
      <c r="H49" s="112">
        <f>H22+(H32*'Scope2 Electricity'!H38/100)</f>
        <v>5.261012</v>
      </c>
      <c r="I49" s="112">
        <f>I22+(I32*'Scope2 Electricity'!I38/100)</f>
        <v>5.261012</v>
      </c>
      <c r="J49" s="112">
        <f>J22+(J32*'Scope2 Electricity'!J38/100)</f>
        <v>0</v>
      </c>
      <c r="K49" s="25"/>
      <c r="L49" s="25"/>
      <c r="O49" s="25"/>
      <c r="P49" s="25"/>
      <c r="Q49" s="25"/>
      <c r="R49" s="25"/>
      <c r="S49" s="25"/>
      <c r="T49" s="25"/>
      <c r="U49" s="25"/>
      <c r="V49" s="25"/>
      <c r="W49" s="25"/>
      <c r="X49" s="25"/>
      <c r="Y49" s="25"/>
      <c r="Z49" s="25"/>
    </row>
    <row r="50" ht="12.75" customHeight="1">
      <c r="A50" s="25" t="s">
        <v>535</v>
      </c>
      <c r="B50" s="112">
        <f t="shared" ref="B50:J50" si="9">B23+(B32*B37/100)</f>
        <v>36.04976</v>
      </c>
      <c r="C50" s="112">
        <f t="shared" si="9"/>
        <v>37.70872</v>
      </c>
      <c r="D50" s="112">
        <f t="shared" si="9"/>
        <v>37.2869</v>
      </c>
      <c r="E50" s="112">
        <f t="shared" si="9"/>
        <v>39.7</v>
      </c>
      <c r="F50" s="112">
        <f t="shared" si="9"/>
        <v>40.3</v>
      </c>
      <c r="G50" s="112">
        <f t="shared" si="9"/>
        <v>39.63338</v>
      </c>
      <c r="H50" s="112">
        <f t="shared" si="9"/>
        <v>48.471344</v>
      </c>
      <c r="I50" s="112">
        <f t="shared" si="9"/>
        <v>48.471344</v>
      </c>
      <c r="J50" s="112">
        <f t="shared" si="9"/>
        <v>36.24</v>
      </c>
      <c r="K50" s="25"/>
      <c r="L50" s="25"/>
      <c r="O50" s="25"/>
      <c r="P50" s="25"/>
      <c r="Q50" s="25"/>
      <c r="R50" s="25"/>
      <c r="S50" s="25"/>
      <c r="T50" s="25"/>
      <c r="U50" s="25"/>
      <c r="V50" s="25"/>
      <c r="W50" s="25"/>
      <c r="X50" s="25"/>
      <c r="Y50" s="25"/>
      <c r="Z50" s="25"/>
    </row>
    <row r="51" ht="12.75" customHeight="1">
      <c r="A51" s="25" t="s">
        <v>537</v>
      </c>
      <c r="B51" s="112">
        <f t="shared" ref="B51:J51" si="10">B25+(B32*B38/100)</f>
        <v>54.7088</v>
      </c>
      <c r="C51" s="112">
        <f t="shared" si="10"/>
        <v>48.80475</v>
      </c>
      <c r="D51" s="112">
        <f t="shared" si="10"/>
        <v>50.2902</v>
      </c>
      <c r="E51" s="112">
        <f t="shared" si="10"/>
        <v>54.5</v>
      </c>
      <c r="F51" s="112">
        <f t="shared" si="10"/>
        <v>50.1</v>
      </c>
      <c r="G51" s="112">
        <f t="shared" si="10"/>
        <v>52.38564</v>
      </c>
      <c r="H51" s="112">
        <f t="shared" si="10"/>
        <v>19.95454</v>
      </c>
      <c r="I51" s="112">
        <f t="shared" si="10"/>
        <v>19.95454</v>
      </c>
      <c r="J51" s="112">
        <f t="shared" si="10"/>
        <v>32.02</v>
      </c>
      <c r="K51" s="25"/>
      <c r="L51" s="25"/>
      <c r="O51" s="25"/>
      <c r="P51" s="25"/>
      <c r="Q51" s="25"/>
      <c r="R51" s="25"/>
      <c r="S51" s="25"/>
      <c r="T51" s="25"/>
      <c r="U51" s="25"/>
      <c r="V51" s="25"/>
      <c r="W51" s="25"/>
      <c r="X51" s="25"/>
      <c r="Y51" s="25"/>
      <c r="Z51" s="25"/>
    </row>
    <row r="52" ht="12.75" customHeight="1">
      <c r="A52" s="25" t="s">
        <v>538</v>
      </c>
      <c r="B52" s="112">
        <f t="shared" ref="B52:J52" si="11">B26+(B32*B39/100)</f>
        <v>0.58408</v>
      </c>
      <c r="C52" s="112">
        <f t="shared" si="11"/>
        <v>0.84677</v>
      </c>
      <c r="D52" s="112">
        <f t="shared" si="11"/>
        <v>0.65766</v>
      </c>
      <c r="E52" s="112">
        <f t="shared" si="11"/>
        <v>0</v>
      </c>
      <c r="F52" s="112">
        <f t="shared" si="11"/>
        <v>0</v>
      </c>
      <c r="G52" s="112">
        <f t="shared" si="11"/>
        <v>0.65835</v>
      </c>
      <c r="H52" s="112">
        <f t="shared" si="11"/>
        <v>17.915348</v>
      </c>
      <c r="I52" s="112">
        <f t="shared" si="11"/>
        <v>17.915348</v>
      </c>
      <c r="J52" s="112">
        <f t="shared" si="11"/>
        <v>23.62</v>
      </c>
      <c r="K52" s="25"/>
      <c r="L52" s="25"/>
      <c r="O52" s="25"/>
      <c r="P52" s="25"/>
      <c r="Q52" s="25"/>
      <c r="R52" s="25"/>
      <c r="S52" s="25"/>
      <c r="T52" s="25"/>
      <c r="U52" s="25"/>
      <c r="V52" s="25"/>
      <c r="W52" s="25"/>
      <c r="X52" s="25"/>
      <c r="Y52" s="25"/>
      <c r="Z52" s="25"/>
    </row>
    <row r="53" ht="12.75" customHeight="1">
      <c r="A53" s="25" t="s">
        <v>539</v>
      </c>
      <c r="B53" s="112">
        <f t="shared" ref="B53:J53" si="12">B27+(B32*B40/100)</f>
        <v>0.2254</v>
      </c>
      <c r="C53" s="112">
        <f t="shared" si="12"/>
        <v>0.34391</v>
      </c>
      <c r="D53" s="112">
        <f t="shared" si="12"/>
        <v>0.2486</v>
      </c>
      <c r="E53" s="112">
        <f t="shared" si="12"/>
        <v>0</v>
      </c>
      <c r="F53" s="112">
        <f t="shared" si="12"/>
        <v>0</v>
      </c>
      <c r="G53" s="112">
        <f t="shared" si="12"/>
        <v>0.10089</v>
      </c>
      <c r="H53" s="112">
        <f t="shared" si="12"/>
        <v>2.206</v>
      </c>
      <c r="I53" s="112">
        <f t="shared" si="12"/>
        <v>2.206</v>
      </c>
      <c r="J53" s="112">
        <f t="shared" si="12"/>
        <v>2.65</v>
      </c>
      <c r="K53" s="25"/>
      <c r="L53" s="25"/>
      <c r="O53" s="25"/>
      <c r="P53" s="25"/>
      <c r="Q53" s="25"/>
      <c r="R53" s="25"/>
      <c r="S53" s="25"/>
      <c r="T53" s="25"/>
      <c r="U53" s="25"/>
      <c r="V53" s="25"/>
      <c r="W53" s="25"/>
      <c r="X53" s="25"/>
      <c r="Y53" s="25"/>
      <c r="Z53" s="25"/>
    </row>
    <row r="54" ht="12.75" customHeight="1">
      <c r="A54" s="25" t="s">
        <v>540</v>
      </c>
      <c r="B54" s="112">
        <f t="shared" ref="B54:J54" si="13">B28+(B32*B41/100)</f>
        <v>0.04744</v>
      </c>
      <c r="C54" s="112">
        <f t="shared" si="13"/>
        <v>0.0778</v>
      </c>
      <c r="D54" s="112">
        <f t="shared" si="13"/>
        <v>0.05164</v>
      </c>
      <c r="E54" s="112">
        <f t="shared" si="13"/>
        <v>0.2</v>
      </c>
      <c r="F54" s="112">
        <f t="shared" si="13"/>
        <v>0</v>
      </c>
      <c r="G54" s="112">
        <f t="shared" si="13"/>
        <v>0.03</v>
      </c>
      <c r="H54" s="112" t="str">
        <f t="shared" si="13"/>
        <v>#VALUE!</v>
      </c>
      <c r="I54" s="112">
        <f t="shared" si="13"/>
        <v>1.123536</v>
      </c>
      <c r="J54" s="112">
        <f t="shared" si="13"/>
        <v>1</v>
      </c>
    </row>
    <row r="55" ht="12.75" customHeight="1">
      <c r="A55" s="25" t="s">
        <v>541</v>
      </c>
      <c r="B55" s="112">
        <f t="shared" ref="B55:J55" si="14">B29+(B32*B42/100)</f>
        <v>0.2946</v>
      </c>
      <c r="C55" s="112">
        <f t="shared" si="14"/>
        <v>0.58905</v>
      </c>
      <c r="D55" s="112">
        <f t="shared" si="14"/>
        <v>0.35928</v>
      </c>
      <c r="E55" s="112">
        <f t="shared" si="14"/>
        <v>0</v>
      </c>
      <c r="F55" s="112">
        <f t="shared" si="14"/>
        <v>0.1</v>
      </c>
      <c r="G55" s="112">
        <f t="shared" si="14"/>
        <v>0.07</v>
      </c>
      <c r="H55" s="112">
        <f t="shared" si="14"/>
        <v>0.09</v>
      </c>
      <c r="I55" s="112">
        <f t="shared" si="14"/>
        <v>0.09</v>
      </c>
      <c r="J55" s="112">
        <f t="shared" si="14"/>
        <v>0</v>
      </c>
      <c r="N55" s="56">
        <v>100.00026303099382</v>
      </c>
    </row>
    <row r="56" ht="12.75" customHeight="1">
      <c r="A56" s="25" t="s">
        <v>552</v>
      </c>
      <c r="B56" s="112">
        <f t="shared" ref="B56:J56" si="15">B30+(B32*B45/100)</f>
        <v>6.42252</v>
      </c>
      <c r="C56" s="112">
        <f t="shared" si="15"/>
        <v>9.65982</v>
      </c>
      <c r="D56" s="112">
        <f t="shared" si="15"/>
        <v>9.39724</v>
      </c>
      <c r="E56" s="112">
        <f t="shared" si="15"/>
        <v>1.8</v>
      </c>
      <c r="F56" s="112">
        <f t="shared" si="15"/>
        <v>5.5</v>
      </c>
      <c r="G56" s="112">
        <f t="shared" si="15"/>
        <v>4.5</v>
      </c>
      <c r="H56" s="112">
        <f t="shared" si="15"/>
        <v>0.0001</v>
      </c>
      <c r="I56" s="112">
        <f t="shared" si="15"/>
        <v>0.0001</v>
      </c>
      <c r="J56" s="112">
        <f t="shared" si="15"/>
        <v>0</v>
      </c>
    </row>
    <row r="57" ht="12.75" customHeight="1">
      <c r="A57" s="245" t="s">
        <v>545</v>
      </c>
      <c r="B57" s="246">
        <f t="shared" ref="B57:J57" si="16">SUM(B49:B56)</f>
        <v>99.93924</v>
      </c>
      <c r="C57" s="246">
        <f t="shared" si="16"/>
        <v>99.92908</v>
      </c>
      <c r="D57" s="246">
        <f t="shared" si="16"/>
        <v>99.9661</v>
      </c>
      <c r="E57" s="246">
        <f t="shared" si="16"/>
        <v>99.7</v>
      </c>
      <c r="F57" s="246">
        <f t="shared" si="16"/>
        <v>99.9</v>
      </c>
      <c r="G57" s="246">
        <f t="shared" si="16"/>
        <v>100.86205</v>
      </c>
      <c r="H57" s="246" t="str">
        <f t="shared" si="16"/>
        <v>#VALUE!</v>
      </c>
      <c r="I57" s="246">
        <f t="shared" si="16"/>
        <v>95.02188</v>
      </c>
      <c r="J57" s="246">
        <f t="shared" si="16"/>
        <v>95.53</v>
      </c>
    </row>
    <row r="58" ht="12.75" customHeight="1">
      <c r="E58" s="25"/>
      <c r="F58" s="25"/>
    </row>
    <row r="59" ht="12.75" customHeight="1">
      <c r="A59" s="72" t="s">
        <v>556</v>
      </c>
      <c r="E59" s="25"/>
      <c r="F59" s="25"/>
    </row>
    <row r="60" ht="12.75" customHeight="1">
      <c r="A60" s="25" t="s">
        <v>148</v>
      </c>
      <c r="B60" s="97">
        <f t="shared" ref="B60:J60" si="17">B13</f>
        <v>4242211</v>
      </c>
      <c r="C60" s="97">
        <f t="shared" si="17"/>
        <v>4450804</v>
      </c>
      <c r="D60" s="97">
        <f t="shared" si="17"/>
        <v>4139840</v>
      </c>
      <c r="E60" s="97">
        <f t="shared" si="17"/>
        <v>3813050</v>
      </c>
      <c r="F60" s="97">
        <f t="shared" si="17"/>
        <v>4115865</v>
      </c>
      <c r="G60" s="97">
        <f t="shared" si="17"/>
        <v>3654240</v>
      </c>
      <c r="H60" s="97">
        <f t="shared" si="17"/>
        <v>3320096</v>
      </c>
      <c r="I60" s="97">
        <f t="shared" si="17"/>
        <v>3756420</v>
      </c>
      <c r="J60" s="97">
        <f t="shared" si="17"/>
        <v>3604293</v>
      </c>
    </row>
    <row r="61" ht="12.75" customHeight="1">
      <c r="A61" s="25" t="s">
        <v>149</v>
      </c>
      <c r="B61" s="97">
        <v>5032.0</v>
      </c>
      <c r="C61" s="97">
        <v>4317.0</v>
      </c>
      <c r="D61" s="25">
        <v>5168.0</v>
      </c>
      <c r="E61" s="25">
        <v>5168.0</v>
      </c>
      <c r="F61" s="25">
        <v>5168.0</v>
      </c>
      <c r="G61" s="25"/>
      <c r="H61" s="25"/>
      <c r="I61" s="25"/>
      <c r="J61" s="25"/>
    </row>
    <row r="62" ht="12.75" customHeight="1">
      <c r="A62" s="25" t="s">
        <v>150</v>
      </c>
      <c r="B62" s="97">
        <v>957.3</v>
      </c>
      <c r="C62" s="97">
        <v>2966.0</v>
      </c>
      <c r="D62" s="106">
        <v>11572.8</v>
      </c>
      <c r="E62" s="106">
        <v>11572.8</v>
      </c>
      <c r="F62" s="106">
        <v>11572.8</v>
      </c>
      <c r="G62" s="106"/>
      <c r="H62" s="106"/>
      <c r="I62" s="106"/>
      <c r="J62" s="106"/>
    </row>
    <row r="63" ht="15.0" customHeight="1">
      <c r="A63" s="25" t="s">
        <v>750</v>
      </c>
      <c r="B63" s="97">
        <f t="shared" ref="B63:J63" si="18">B12</f>
        <v>41680</v>
      </c>
      <c r="C63" s="97">
        <f t="shared" si="18"/>
        <v>50869</v>
      </c>
      <c r="D63" s="97">
        <f t="shared" si="18"/>
        <v>38941</v>
      </c>
      <c r="E63" s="97">
        <f t="shared" si="18"/>
        <v>78354</v>
      </c>
      <c r="F63" s="97">
        <f t="shared" si="18"/>
        <v>66491</v>
      </c>
      <c r="G63" s="97">
        <f t="shared" si="18"/>
        <v>66000</v>
      </c>
      <c r="H63" s="97">
        <f t="shared" si="18"/>
        <v>31835</v>
      </c>
      <c r="I63" s="97">
        <f t="shared" si="18"/>
        <v>31835</v>
      </c>
      <c r="J63" s="97">
        <f t="shared" si="18"/>
        <v>31835</v>
      </c>
    </row>
    <row r="64" ht="12.75" customHeight="1">
      <c r="A64" s="56" t="s">
        <v>152</v>
      </c>
      <c r="B64" s="97">
        <f t="shared" ref="B64:J64" si="19">(B49/100)*B19</f>
        <v>346226.9195</v>
      </c>
      <c r="C64" s="97">
        <f t="shared" si="19"/>
        <v>416638.3053</v>
      </c>
      <c r="D64" s="97">
        <f t="shared" si="19"/>
        <v>358522.9521</v>
      </c>
      <c r="E64" s="97">
        <f t="shared" si="19"/>
        <v>775693.625</v>
      </c>
      <c r="F64" s="97">
        <f t="shared" si="19"/>
        <v>858165.087</v>
      </c>
      <c r="G64" s="97">
        <f t="shared" si="19"/>
        <v>739863.9788</v>
      </c>
      <c r="H64" s="97">
        <f t="shared" si="19"/>
        <v>1134705.485</v>
      </c>
      <c r="I64" s="97">
        <f t="shared" si="19"/>
        <v>1109161.693</v>
      </c>
      <c r="J64" s="97">
        <f t="shared" si="19"/>
        <v>0</v>
      </c>
      <c r="K64" s="25"/>
      <c r="L64" s="25"/>
      <c r="M64" s="25"/>
      <c r="N64" s="25"/>
      <c r="O64" s="25"/>
      <c r="P64" s="25"/>
      <c r="Q64" s="25"/>
      <c r="R64" s="25"/>
      <c r="S64" s="25"/>
      <c r="T64" s="25"/>
      <c r="U64" s="25"/>
      <c r="V64" s="25"/>
      <c r="W64" s="25"/>
      <c r="X64" s="25"/>
      <c r="Y64" s="25"/>
      <c r="Z64" s="25"/>
    </row>
    <row r="65" ht="12.75" customHeight="1">
      <c r="A65" s="56" t="s">
        <v>153</v>
      </c>
      <c r="B65" s="97">
        <f t="shared" ref="B65:J65" si="20">(B50/100)*B19</f>
        <v>7768633.516</v>
      </c>
      <c r="C65" s="97">
        <f t="shared" si="20"/>
        <v>8276472.767</v>
      </c>
      <c r="D65" s="97">
        <f t="shared" si="20"/>
        <v>7983022.289</v>
      </c>
      <c r="E65" s="97">
        <f t="shared" si="20"/>
        <v>8798581.975</v>
      </c>
      <c r="F65" s="97">
        <f t="shared" si="20"/>
        <v>8867705.899</v>
      </c>
      <c r="G65" s="97">
        <f t="shared" si="20"/>
        <v>8417071.701</v>
      </c>
      <c r="H65" s="97">
        <f t="shared" si="20"/>
        <v>10454395.45</v>
      </c>
      <c r="I65" s="97">
        <f t="shared" si="20"/>
        <v>10219052.53</v>
      </c>
      <c r="J65" s="97">
        <f t="shared" si="20"/>
        <v>8049287.782</v>
      </c>
      <c r="K65" s="25"/>
      <c r="L65" s="25"/>
      <c r="M65" s="25"/>
      <c r="N65" s="25"/>
      <c r="O65" s="25"/>
      <c r="P65" s="25"/>
      <c r="Q65" s="25"/>
      <c r="R65" s="25"/>
      <c r="S65" s="25"/>
      <c r="T65" s="25"/>
      <c r="U65" s="25"/>
      <c r="V65" s="25"/>
      <c r="W65" s="25"/>
      <c r="X65" s="25"/>
      <c r="Y65" s="25"/>
      <c r="Z65" s="25"/>
    </row>
    <row r="66" ht="12.75" customHeight="1">
      <c r="A66" s="56" t="s">
        <v>154</v>
      </c>
      <c r="B66" s="97">
        <f t="shared" ref="B66:J66" si="21">(B51/100)*B19</f>
        <v>11789610.18</v>
      </c>
      <c r="C66" s="97">
        <f t="shared" si="21"/>
        <v>10711877.37</v>
      </c>
      <c r="D66" s="97">
        <f t="shared" si="21"/>
        <v>10766992.9</v>
      </c>
      <c r="E66" s="97">
        <f t="shared" si="21"/>
        <v>12078657.88</v>
      </c>
      <c r="F66" s="97">
        <f t="shared" si="21"/>
        <v>11024120.73</v>
      </c>
      <c r="G66" s="97">
        <f t="shared" si="21"/>
        <v>11125311.24</v>
      </c>
      <c r="H66" s="97">
        <f t="shared" si="21"/>
        <v>4303834.697</v>
      </c>
      <c r="I66" s="97">
        <f t="shared" si="21"/>
        <v>4206949.419</v>
      </c>
      <c r="J66" s="97">
        <f t="shared" si="21"/>
        <v>7111981.092</v>
      </c>
      <c r="K66" s="25"/>
      <c r="L66" s="25"/>
      <c r="M66" s="25"/>
      <c r="N66" s="25"/>
      <c r="O66" s="25"/>
      <c r="P66" s="25"/>
      <c r="Q66" s="25"/>
      <c r="R66" s="25"/>
      <c r="S66" s="25"/>
      <c r="T66" s="25"/>
      <c r="U66" s="25"/>
      <c r="V66" s="25"/>
      <c r="W66" s="25"/>
      <c r="X66" s="25"/>
      <c r="Y66" s="25"/>
      <c r="Z66" s="25"/>
    </row>
    <row r="67" ht="12.75" customHeight="1">
      <c r="A67" s="25" t="s">
        <v>135</v>
      </c>
      <c r="B67" s="97">
        <f t="shared" ref="B67:J67" si="22">(B52/100)*B19</f>
        <v>125867.7856</v>
      </c>
      <c r="C67" s="97">
        <f t="shared" si="22"/>
        <v>185852.7376</v>
      </c>
      <c r="D67" s="97">
        <f t="shared" si="22"/>
        <v>140803.1893</v>
      </c>
      <c r="E67" s="97">
        <f t="shared" si="22"/>
        <v>0</v>
      </c>
      <c r="F67" s="97">
        <f t="shared" si="22"/>
        <v>0</v>
      </c>
      <c r="G67" s="97">
        <f t="shared" si="22"/>
        <v>139815.9621</v>
      </c>
      <c r="H67" s="97">
        <f t="shared" si="22"/>
        <v>3864017.729</v>
      </c>
      <c r="I67" s="97">
        <f t="shared" si="22"/>
        <v>3777033.34</v>
      </c>
      <c r="J67" s="97">
        <f t="shared" si="22"/>
        <v>5246252.136</v>
      </c>
      <c r="K67" s="25"/>
      <c r="L67" s="25"/>
      <c r="M67" s="25"/>
      <c r="N67" s="25"/>
      <c r="O67" s="25"/>
      <c r="P67" s="25"/>
      <c r="Q67" s="25"/>
      <c r="R67" s="25"/>
      <c r="S67" s="25"/>
      <c r="T67" s="25"/>
      <c r="U67" s="25"/>
      <c r="V67" s="25"/>
      <c r="W67" s="25"/>
      <c r="X67" s="25"/>
      <c r="Y67" s="25"/>
      <c r="Z67" s="25"/>
    </row>
    <row r="68" ht="12.75" customHeight="1">
      <c r="A68" s="25" t="s">
        <v>155</v>
      </c>
      <c r="B68" s="97">
        <f t="shared" ref="B68:J68" si="23">(B53/100)*B19</f>
        <v>48573.13875</v>
      </c>
      <c r="C68" s="97">
        <f t="shared" si="23"/>
        <v>75482.85249</v>
      </c>
      <c r="D68" s="97">
        <f t="shared" si="23"/>
        <v>53224.57327</v>
      </c>
      <c r="E68" s="97">
        <f t="shared" si="23"/>
        <v>0</v>
      </c>
      <c r="F68" s="97">
        <f t="shared" si="23"/>
        <v>0</v>
      </c>
      <c r="G68" s="97">
        <f t="shared" si="23"/>
        <v>21426.34224</v>
      </c>
      <c r="H68" s="97">
        <f t="shared" si="23"/>
        <v>475794.4479</v>
      </c>
      <c r="I68" s="97">
        <f t="shared" si="23"/>
        <v>465083.6561</v>
      </c>
      <c r="J68" s="97">
        <f t="shared" si="23"/>
        <v>588593.0635</v>
      </c>
      <c r="K68" s="25"/>
      <c r="L68" s="25"/>
      <c r="M68" s="25"/>
      <c r="N68" s="25"/>
      <c r="O68" s="25"/>
      <c r="P68" s="25"/>
      <c r="Q68" s="25"/>
      <c r="R68" s="25"/>
      <c r="S68" s="25"/>
      <c r="T68" s="25"/>
      <c r="U68" s="25"/>
      <c r="V68" s="25"/>
      <c r="W68" s="25"/>
      <c r="X68" s="25"/>
      <c r="Y68" s="25"/>
      <c r="Z68" s="25"/>
    </row>
    <row r="69" ht="12.75" customHeight="1">
      <c r="A69" s="25" t="s">
        <v>156</v>
      </c>
      <c r="B69" s="97">
        <f t="shared" ref="B69:J69" si="24">(B54/100)*B19</f>
        <v>10223.20187</v>
      </c>
      <c r="C69" s="97">
        <f t="shared" si="24"/>
        <v>17075.8801</v>
      </c>
      <c r="D69" s="97">
        <f t="shared" si="24"/>
        <v>11055.98135</v>
      </c>
      <c r="E69" s="97">
        <f t="shared" si="24"/>
        <v>44325.35</v>
      </c>
      <c r="F69" s="97">
        <f t="shared" si="24"/>
        <v>0</v>
      </c>
      <c r="G69" s="97">
        <f t="shared" si="24"/>
        <v>6371.199</v>
      </c>
      <c r="H69" s="97" t="str">
        <f t="shared" si="24"/>
        <v>#VALUE!</v>
      </c>
      <c r="I69" s="97">
        <f t="shared" si="24"/>
        <v>236871.3647</v>
      </c>
      <c r="J69" s="97">
        <f t="shared" si="24"/>
        <v>222110.59</v>
      </c>
      <c r="K69" s="25"/>
      <c r="L69" s="25"/>
      <c r="M69" s="25"/>
      <c r="N69" s="25"/>
      <c r="O69" s="25"/>
      <c r="P69" s="25"/>
      <c r="Q69" s="25"/>
      <c r="R69" s="25"/>
      <c r="S69" s="25"/>
      <c r="T69" s="25"/>
      <c r="U69" s="25"/>
      <c r="V69" s="25"/>
      <c r="W69" s="25"/>
      <c r="X69" s="25"/>
      <c r="Y69" s="25"/>
      <c r="Z69" s="25"/>
    </row>
    <row r="70" ht="12.75" customHeight="1">
      <c r="A70" s="25" t="s">
        <v>157</v>
      </c>
      <c r="B70" s="97">
        <f t="shared" ref="B70:J70" si="25">(B55/100)*B19</f>
        <v>63485.56645</v>
      </c>
      <c r="C70" s="97">
        <f t="shared" si="25"/>
        <v>129287.2387</v>
      </c>
      <c r="D70" s="97">
        <f t="shared" si="25"/>
        <v>76920.85552</v>
      </c>
      <c r="E70" s="97">
        <f t="shared" si="25"/>
        <v>0</v>
      </c>
      <c r="F70" s="97">
        <f t="shared" si="25"/>
        <v>22004.233</v>
      </c>
      <c r="G70" s="97">
        <f t="shared" si="25"/>
        <v>14866.131</v>
      </c>
      <c r="H70" s="97">
        <f t="shared" si="25"/>
        <v>19411.3782</v>
      </c>
      <c r="I70" s="97">
        <f t="shared" si="25"/>
        <v>18974.4012</v>
      </c>
      <c r="J70" s="97">
        <f t="shared" si="25"/>
        <v>0</v>
      </c>
      <c r="K70" s="25"/>
      <c r="L70" s="25"/>
      <c r="M70" s="25"/>
      <c r="N70" s="25"/>
      <c r="O70" s="25"/>
      <c r="P70" s="25"/>
      <c r="Q70" s="25"/>
      <c r="R70" s="25"/>
      <c r="S70" s="25"/>
      <c r="T70" s="25"/>
      <c r="U70" s="25"/>
      <c r="V70" s="25"/>
      <c r="W70" s="25"/>
      <c r="X70" s="25"/>
      <c r="Y70" s="25"/>
      <c r="Z70" s="25"/>
    </row>
    <row r="71" ht="12.75" customHeight="1">
      <c r="A71" s="25" t="s">
        <v>158</v>
      </c>
      <c r="B71" s="97">
        <f t="shared" ref="B71:J71" si="26">(B56/100)*B19</f>
        <v>1384037.068</v>
      </c>
      <c r="C71" s="97">
        <f t="shared" si="26"/>
        <v>2120179.024</v>
      </c>
      <c r="D71" s="97">
        <f t="shared" si="26"/>
        <v>2011923.125</v>
      </c>
      <c r="E71" s="97">
        <f t="shared" si="26"/>
        <v>398928.15</v>
      </c>
      <c r="F71" s="97">
        <f t="shared" si="26"/>
        <v>1210232.815</v>
      </c>
      <c r="G71" s="97">
        <f t="shared" si="26"/>
        <v>955679.85</v>
      </c>
      <c r="H71" s="97">
        <f t="shared" si="26"/>
        <v>21.568198</v>
      </c>
      <c r="I71" s="97">
        <f t="shared" si="26"/>
        <v>21.082668</v>
      </c>
      <c r="J71" s="97">
        <f t="shared" si="26"/>
        <v>0</v>
      </c>
      <c r="K71" s="25"/>
      <c r="L71" s="25"/>
      <c r="M71" s="25"/>
      <c r="N71" s="25"/>
      <c r="O71" s="25"/>
      <c r="P71" s="25"/>
      <c r="Q71" s="25"/>
      <c r="R71" s="25"/>
      <c r="S71" s="25"/>
      <c r="T71" s="25"/>
      <c r="U71" s="25"/>
      <c r="V71" s="25"/>
      <c r="W71" s="25"/>
      <c r="X71" s="25"/>
      <c r="Y71" s="25"/>
      <c r="Z71" s="25"/>
    </row>
    <row r="72" ht="12.75" customHeight="1">
      <c r="A72" s="245" t="s">
        <v>558</v>
      </c>
      <c r="B72" s="247">
        <f t="shared" ref="B72:J72" si="27">SUM(B60:B71)</f>
        <v>25826537.67</v>
      </c>
      <c r="C72" s="247">
        <f t="shared" si="27"/>
        <v>26441822.17</v>
      </c>
      <c r="D72" s="247">
        <f t="shared" si="27"/>
        <v>25597987.66</v>
      </c>
      <c r="E72" s="247">
        <f t="shared" si="27"/>
        <v>26004331.78</v>
      </c>
      <c r="F72" s="247">
        <f t="shared" si="27"/>
        <v>26181325.57</v>
      </c>
      <c r="G72" s="247">
        <f t="shared" si="27"/>
        <v>25140646.4</v>
      </c>
      <c r="H72" s="247" t="str">
        <f t="shared" si="27"/>
        <v>#VALUE!</v>
      </c>
      <c r="I72" s="247">
        <f t="shared" si="27"/>
        <v>23821402.49</v>
      </c>
      <c r="J72" s="247">
        <f t="shared" si="27"/>
        <v>24854352.66</v>
      </c>
      <c r="K72" s="25"/>
      <c r="L72" s="25"/>
      <c r="M72" s="25"/>
      <c r="N72" s="25"/>
      <c r="O72" s="25"/>
      <c r="P72" s="25"/>
      <c r="Q72" s="25"/>
      <c r="R72" s="25"/>
      <c r="S72" s="25"/>
      <c r="T72" s="25"/>
      <c r="U72" s="25"/>
      <c r="V72" s="25"/>
      <c r="W72" s="25"/>
      <c r="X72" s="25"/>
      <c r="Y72" s="25"/>
      <c r="Z72" s="25"/>
    </row>
    <row r="73" ht="12.75" customHeight="1">
      <c r="A73" s="25"/>
      <c r="B73" s="97"/>
      <c r="C73" s="25"/>
      <c r="D73" s="25"/>
      <c r="G73" s="25"/>
      <c r="H73" s="25"/>
      <c r="I73" s="25"/>
      <c r="J73" s="25"/>
      <c r="K73" s="25"/>
      <c r="L73" s="25"/>
      <c r="M73" s="25"/>
      <c r="N73" s="25"/>
      <c r="O73" s="25"/>
      <c r="P73" s="25"/>
      <c r="Q73" s="25"/>
      <c r="R73" s="25"/>
      <c r="S73" s="25"/>
      <c r="T73" s="25"/>
      <c r="U73" s="25"/>
      <c r="V73" s="25"/>
      <c r="W73" s="25"/>
      <c r="X73" s="25"/>
      <c r="Y73" s="25"/>
      <c r="Z73" s="25"/>
    </row>
    <row r="74" ht="12.75" customHeight="1">
      <c r="A74" s="25"/>
      <c r="B74" s="97"/>
      <c r="C74" s="25"/>
      <c r="D74" s="25"/>
      <c r="G74" s="25"/>
      <c r="H74" s="25"/>
      <c r="I74" s="25"/>
      <c r="J74" s="25"/>
      <c r="K74" s="25"/>
      <c r="L74" s="25"/>
      <c r="M74" s="25"/>
      <c r="N74" s="25"/>
      <c r="O74" s="25"/>
      <c r="P74" s="25"/>
      <c r="Q74" s="25"/>
      <c r="R74" s="25"/>
      <c r="S74" s="25"/>
      <c r="T74" s="25"/>
      <c r="U74" s="25"/>
      <c r="V74" s="25"/>
      <c r="W74" s="25"/>
      <c r="X74" s="25"/>
      <c r="Y74" s="25"/>
      <c r="Z74" s="25"/>
    </row>
    <row r="75" ht="12.75" customHeight="1">
      <c r="A75" s="25"/>
      <c r="B75" s="97"/>
      <c r="C75" s="25"/>
      <c r="D75" s="25"/>
      <c r="G75" s="25"/>
      <c r="H75" s="25"/>
      <c r="I75" s="25"/>
      <c r="J75" s="25"/>
      <c r="K75" s="25"/>
      <c r="L75" s="25"/>
      <c r="M75" s="25"/>
      <c r="N75" s="25"/>
      <c r="O75" s="25"/>
      <c r="P75" s="25"/>
      <c r="Q75" s="25"/>
      <c r="R75" s="25"/>
      <c r="S75" s="25"/>
      <c r="T75" s="25"/>
      <c r="U75" s="25"/>
      <c r="V75" s="25"/>
      <c r="W75" s="25"/>
      <c r="X75" s="25"/>
      <c r="Y75" s="25"/>
      <c r="Z75" s="25"/>
    </row>
    <row r="76" ht="12.75" customHeight="1">
      <c r="A76" s="25"/>
      <c r="B76" s="25"/>
      <c r="C76" s="25"/>
      <c r="D76" s="25"/>
      <c r="G76" s="25"/>
      <c r="H76" s="25"/>
      <c r="I76" s="25"/>
      <c r="J76" s="25"/>
      <c r="K76" s="25"/>
      <c r="L76" s="25"/>
      <c r="M76" s="25"/>
      <c r="N76" s="25"/>
      <c r="O76" s="25"/>
      <c r="P76" s="25"/>
      <c r="Q76" s="25"/>
      <c r="R76" s="25"/>
      <c r="S76" s="25"/>
      <c r="T76" s="25"/>
      <c r="U76" s="25"/>
      <c r="V76" s="25"/>
      <c r="W76" s="25"/>
      <c r="X76" s="25"/>
      <c r="Y76" s="25"/>
      <c r="Z76" s="25"/>
    </row>
    <row r="77" ht="12.75" customHeight="1">
      <c r="A77" s="65" t="s">
        <v>559</v>
      </c>
      <c r="B77" s="25"/>
      <c r="C77" s="25"/>
      <c r="G77" s="25"/>
      <c r="H77" s="25"/>
      <c r="I77" s="25"/>
      <c r="J77" s="25"/>
      <c r="K77" s="25"/>
      <c r="L77" s="25"/>
      <c r="M77" s="25"/>
      <c r="N77" s="25"/>
      <c r="O77" s="25"/>
      <c r="P77" s="25"/>
      <c r="Q77" s="25"/>
      <c r="R77" s="25"/>
      <c r="S77" s="25"/>
      <c r="T77" s="25"/>
      <c r="U77" s="25"/>
      <c r="V77" s="25"/>
      <c r="W77" s="25"/>
      <c r="X77" s="25"/>
      <c r="Y77" s="25"/>
      <c r="Z77" s="25"/>
    </row>
    <row r="78" ht="12.75" customHeight="1">
      <c r="A78" s="25" t="s">
        <v>560</v>
      </c>
      <c r="B78" s="87">
        <f t="shared" ref="B78:J78" si="28">(B60/B72)</f>
        <v>0.1642578287</v>
      </c>
      <c r="C78" s="87">
        <f t="shared" si="28"/>
        <v>0.1683244056</v>
      </c>
      <c r="D78" s="87">
        <f t="shared" si="28"/>
        <v>0.1617252127</v>
      </c>
      <c r="E78" s="87">
        <f t="shared" si="28"/>
        <v>0.1466313395</v>
      </c>
      <c r="F78" s="87">
        <f t="shared" si="28"/>
        <v>0.1572061349</v>
      </c>
      <c r="G78" s="87">
        <f t="shared" si="28"/>
        <v>0.1453518713</v>
      </c>
      <c r="H78" s="87" t="str">
        <f t="shared" si="28"/>
        <v>#VALUE!</v>
      </c>
      <c r="I78" s="87">
        <f t="shared" si="28"/>
        <v>0.1576909673</v>
      </c>
      <c r="J78" s="87">
        <f t="shared" si="28"/>
        <v>0.1450165711</v>
      </c>
      <c r="K78" s="25"/>
      <c r="L78" s="25"/>
      <c r="M78" s="25"/>
      <c r="N78" s="25"/>
      <c r="O78" s="25"/>
      <c r="P78" s="25"/>
      <c r="Q78" s="25"/>
      <c r="R78" s="25"/>
      <c r="S78" s="25"/>
      <c r="T78" s="25"/>
      <c r="U78" s="25"/>
      <c r="V78" s="25"/>
      <c r="W78" s="25"/>
      <c r="X78" s="25"/>
      <c r="Y78" s="25"/>
      <c r="Z78" s="25"/>
    </row>
    <row r="79" ht="12.75" customHeight="1">
      <c r="A79" s="25" t="s">
        <v>149</v>
      </c>
      <c r="B79" s="87">
        <f t="shared" ref="B79:J79" si="29">(B61/B72)</f>
        <v>0.0001948383505</v>
      </c>
      <c r="C79" s="87">
        <f t="shared" si="29"/>
        <v>0.0001632640887</v>
      </c>
      <c r="D79" s="87">
        <f t="shared" si="29"/>
        <v>0.00020189087</v>
      </c>
      <c r="E79" s="87">
        <f t="shared" si="29"/>
        <v>0.00019873612</v>
      </c>
      <c r="F79" s="87">
        <f t="shared" si="29"/>
        <v>0.0001973926029</v>
      </c>
      <c r="G79" s="87">
        <f t="shared" si="29"/>
        <v>0</v>
      </c>
      <c r="H79" s="87" t="str">
        <f t="shared" si="29"/>
        <v>#VALUE!</v>
      </c>
      <c r="I79" s="87">
        <f t="shared" si="29"/>
        <v>0</v>
      </c>
      <c r="J79" s="87">
        <f t="shared" si="29"/>
        <v>0</v>
      </c>
      <c r="K79" s="25"/>
      <c r="L79" s="25"/>
      <c r="M79" s="25"/>
      <c r="N79" s="25"/>
      <c r="O79" s="25"/>
      <c r="P79" s="25"/>
      <c r="Q79" s="25"/>
      <c r="R79" s="25"/>
      <c r="S79" s="25"/>
      <c r="T79" s="25"/>
      <c r="U79" s="25"/>
      <c r="V79" s="25"/>
      <c r="W79" s="25"/>
      <c r="X79" s="25"/>
      <c r="Y79" s="25"/>
      <c r="Z79" s="25"/>
    </row>
    <row r="80" ht="12.75" customHeight="1">
      <c r="A80" s="25" t="s">
        <v>150</v>
      </c>
      <c r="B80" s="87">
        <f t="shared" ref="B80:J80" si="30">(B62/B72)</f>
        <v>0.00003706652484</v>
      </c>
      <c r="C80" s="87">
        <f t="shared" si="30"/>
        <v>0.0001121707869</v>
      </c>
      <c r="D80" s="87">
        <f t="shared" si="30"/>
        <v>0.000452098038</v>
      </c>
      <c r="E80" s="87">
        <f t="shared" si="30"/>
        <v>0.0004450335467</v>
      </c>
      <c r="F80" s="87">
        <f t="shared" si="30"/>
        <v>0.0004420249834</v>
      </c>
      <c r="G80" s="87">
        <f t="shared" si="30"/>
        <v>0</v>
      </c>
      <c r="H80" s="87" t="str">
        <f t="shared" si="30"/>
        <v>#VALUE!</v>
      </c>
      <c r="I80" s="87">
        <f t="shared" si="30"/>
        <v>0</v>
      </c>
      <c r="J80" s="87">
        <f t="shared" si="30"/>
        <v>0</v>
      </c>
      <c r="K80" s="25"/>
      <c r="L80" s="25"/>
      <c r="M80" s="25"/>
      <c r="N80" s="25"/>
      <c r="O80" s="25"/>
      <c r="P80" s="25"/>
      <c r="Q80" s="25"/>
      <c r="R80" s="25"/>
      <c r="S80" s="25"/>
      <c r="T80" s="25"/>
      <c r="U80" s="25"/>
      <c r="V80" s="25"/>
      <c r="W80" s="25"/>
      <c r="X80" s="25"/>
      <c r="Y80" s="25"/>
      <c r="Z80" s="25"/>
    </row>
    <row r="81" ht="15.0" customHeight="1">
      <c r="A81" s="25" t="s">
        <v>751</v>
      </c>
      <c r="B81" s="87">
        <f t="shared" ref="B81:J81" si="31">(B63/B72)</f>
        <v>0.001613843889</v>
      </c>
      <c r="C81" s="87">
        <f t="shared" si="31"/>
        <v>0.001923808415</v>
      </c>
      <c r="D81" s="87">
        <f t="shared" si="31"/>
        <v>0.001521252393</v>
      </c>
      <c r="E81" s="87">
        <f t="shared" si="31"/>
        <v>0.00301311338</v>
      </c>
      <c r="F81" s="87">
        <f t="shared" si="31"/>
        <v>0.002539634589</v>
      </c>
      <c r="G81" s="87">
        <f t="shared" si="31"/>
        <v>0.002625230829</v>
      </c>
      <c r="H81" s="87" t="str">
        <f t="shared" si="31"/>
        <v>#VALUE!</v>
      </c>
      <c r="I81" s="87">
        <f t="shared" si="31"/>
        <v>0.001336403262</v>
      </c>
      <c r="J81" s="87">
        <f t="shared" si="31"/>
        <v>0.001280862167</v>
      </c>
      <c r="K81" s="25"/>
      <c r="L81" s="25"/>
      <c r="M81" s="25"/>
      <c r="N81" s="25"/>
      <c r="O81" s="25"/>
      <c r="P81" s="25"/>
      <c r="Q81" s="25"/>
      <c r="R81" s="25"/>
      <c r="S81" s="25"/>
      <c r="T81" s="25"/>
      <c r="U81" s="25"/>
      <c r="V81" s="25"/>
      <c r="W81" s="25"/>
      <c r="X81" s="25"/>
      <c r="Y81" s="25"/>
      <c r="Z81" s="25"/>
    </row>
    <row r="82" ht="12.75" customHeight="1">
      <c r="A82" s="56" t="s">
        <v>152</v>
      </c>
      <c r="B82" s="87">
        <f t="shared" ref="B82:J82" si="32">(B64/B72)</f>
        <v>0.01340585888</v>
      </c>
      <c r="C82" s="87">
        <f t="shared" si="32"/>
        <v>0.0157567925</v>
      </c>
      <c r="D82" s="87">
        <f t="shared" si="32"/>
        <v>0.01400590378</v>
      </c>
      <c r="E82" s="87">
        <f t="shared" si="32"/>
        <v>0.02982940041</v>
      </c>
      <c r="F82" s="87">
        <f t="shared" si="32"/>
        <v>0.03277775546</v>
      </c>
      <c r="G82" s="87">
        <f t="shared" si="32"/>
        <v>0.02942899586</v>
      </c>
      <c r="H82" s="87" t="str">
        <f t="shared" si="32"/>
        <v>#VALUE!</v>
      </c>
      <c r="I82" s="87">
        <f t="shared" si="32"/>
        <v>0.04656156135</v>
      </c>
      <c r="J82" s="87">
        <f t="shared" si="32"/>
        <v>0</v>
      </c>
      <c r="K82" s="25"/>
      <c r="L82" s="25"/>
      <c r="M82" s="25"/>
      <c r="N82" s="25"/>
      <c r="O82" s="25"/>
      <c r="P82" s="25"/>
      <c r="Q82" s="25"/>
      <c r="R82" s="25"/>
      <c r="S82" s="25"/>
      <c r="T82" s="25"/>
      <c r="U82" s="25"/>
      <c r="V82" s="25"/>
      <c r="W82" s="25"/>
      <c r="X82" s="25"/>
      <c r="Y82" s="25"/>
      <c r="Z82" s="25"/>
    </row>
    <row r="83" ht="12.75" customHeight="1">
      <c r="A83" s="56" t="s">
        <v>153</v>
      </c>
      <c r="B83" s="87">
        <f t="shared" ref="B83:J83" si="33">(B65/B72)</f>
        <v>0.3008004253</v>
      </c>
      <c r="C83" s="87">
        <f t="shared" si="33"/>
        <v>0.3130068992</v>
      </c>
      <c r="D83" s="87">
        <f t="shared" si="33"/>
        <v>0.3118613226</v>
      </c>
      <c r="E83" s="87">
        <f t="shared" si="33"/>
        <v>0.3383506275</v>
      </c>
      <c r="F83" s="87">
        <f t="shared" si="33"/>
        <v>0.3387034731</v>
      </c>
      <c r="G83" s="87">
        <f t="shared" si="33"/>
        <v>0.3347993351</v>
      </c>
      <c r="H83" s="87" t="str">
        <f t="shared" si="33"/>
        <v>#VALUE!</v>
      </c>
      <c r="I83" s="87">
        <f t="shared" si="33"/>
        <v>0.4289861832</v>
      </c>
      <c r="J83" s="87">
        <f t="shared" si="33"/>
        <v>0.3238582751</v>
      </c>
      <c r="K83" s="25"/>
      <c r="L83" s="25"/>
      <c r="M83" s="25"/>
      <c r="N83" s="25"/>
      <c r="O83" s="25"/>
      <c r="P83" s="25"/>
      <c r="Q83" s="25"/>
      <c r="R83" s="25"/>
      <c r="S83" s="25"/>
      <c r="T83" s="25"/>
      <c r="U83" s="25"/>
      <c r="V83" s="25"/>
      <c r="W83" s="25"/>
      <c r="X83" s="25"/>
      <c r="Y83" s="25"/>
      <c r="Z83" s="25"/>
    </row>
    <row r="84" ht="12.75" customHeight="1">
      <c r="A84" s="56" t="s">
        <v>154</v>
      </c>
      <c r="B84" s="87">
        <f t="shared" ref="B84:J84" si="34">(B66/B72)</f>
        <v>0.4564920906</v>
      </c>
      <c r="C84" s="87">
        <f t="shared" si="34"/>
        <v>0.4051111643</v>
      </c>
      <c r="D84" s="87">
        <f t="shared" si="34"/>
        <v>0.4206187236</v>
      </c>
      <c r="E84" s="87">
        <f t="shared" si="34"/>
        <v>0.4644863779</v>
      </c>
      <c r="F84" s="87">
        <f t="shared" si="34"/>
        <v>0.4210680893</v>
      </c>
      <c r="G84" s="87">
        <f t="shared" si="34"/>
        <v>0.4425228795</v>
      </c>
      <c r="H84" s="87" t="str">
        <f t="shared" si="34"/>
        <v>#VALUE!</v>
      </c>
      <c r="I84" s="87">
        <f t="shared" si="34"/>
        <v>0.1766037672</v>
      </c>
      <c r="J84" s="87">
        <f t="shared" si="34"/>
        <v>0.2861463015</v>
      </c>
      <c r="K84" s="25"/>
      <c r="L84" s="25"/>
      <c r="M84" s="25"/>
      <c r="N84" s="25"/>
      <c r="O84" s="25"/>
      <c r="P84" s="25"/>
      <c r="Q84" s="25"/>
      <c r="R84" s="25"/>
      <c r="S84" s="25"/>
      <c r="T84" s="25"/>
      <c r="U84" s="25"/>
      <c r="V84" s="25"/>
      <c r="W84" s="25"/>
      <c r="X84" s="25"/>
      <c r="Y84" s="25"/>
      <c r="Z84" s="25"/>
    </row>
    <row r="85" ht="12.75" customHeight="1">
      <c r="A85" s="25" t="s">
        <v>135</v>
      </c>
      <c r="B85" s="87">
        <f t="shared" ref="B85:J85" si="35">(B67/B72)</f>
        <v>0.004873583414</v>
      </c>
      <c r="C85" s="87">
        <f t="shared" si="35"/>
        <v>0.007028741682</v>
      </c>
      <c r="D85" s="87">
        <f t="shared" si="35"/>
        <v>0.005500556963</v>
      </c>
      <c r="E85" s="87">
        <f t="shared" si="35"/>
        <v>0</v>
      </c>
      <c r="F85" s="87">
        <f t="shared" si="35"/>
        <v>0</v>
      </c>
      <c r="G85" s="87">
        <f t="shared" si="35"/>
        <v>0.005561351121</v>
      </c>
      <c r="H85" s="87" t="str">
        <f t="shared" si="35"/>
        <v>#VALUE!</v>
      </c>
      <c r="I85" s="87">
        <f t="shared" si="35"/>
        <v>0.1585562958</v>
      </c>
      <c r="J85" s="87">
        <f t="shared" si="35"/>
        <v>0.2110798139</v>
      </c>
      <c r="K85" s="25"/>
      <c r="L85" s="25"/>
      <c r="M85" s="25"/>
      <c r="N85" s="25"/>
      <c r="O85" s="25"/>
      <c r="P85" s="25"/>
      <c r="Q85" s="25"/>
      <c r="R85" s="25"/>
      <c r="S85" s="25"/>
      <c r="T85" s="25"/>
      <c r="U85" s="25"/>
      <c r="V85" s="25"/>
      <c r="W85" s="25"/>
      <c r="X85" s="25"/>
      <c r="Y85" s="25"/>
      <c r="Z85" s="25"/>
    </row>
    <row r="86" ht="12.75" customHeight="1">
      <c r="A86" s="25" t="s">
        <v>155</v>
      </c>
      <c r="B86" s="87">
        <f t="shared" ref="B86:J86" si="36">(B68/B72)</f>
        <v>0.001880745277</v>
      </c>
      <c r="C86" s="87">
        <f t="shared" si="36"/>
        <v>0.002854676656</v>
      </c>
      <c r="D86" s="87">
        <f t="shared" si="36"/>
        <v>0.002079248336</v>
      </c>
      <c r="E86" s="87">
        <f t="shared" si="36"/>
        <v>0</v>
      </c>
      <c r="F86" s="87">
        <f t="shared" si="36"/>
        <v>0</v>
      </c>
      <c r="G86" s="87">
        <f t="shared" si="36"/>
        <v>0.0008522590029</v>
      </c>
      <c r="H86" s="87" t="str">
        <f t="shared" si="36"/>
        <v>#VALUE!</v>
      </c>
      <c r="I86" s="87">
        <f t="shared" si="36"/>
        <v>0.01952377306</v>
      </c>
      <c r="J86" s="87">
        <f t="shared" si="36"/>
        <v>0.02368168954</v>
      </c>
      <c r="K86" s="25"/>
      <c r="L86" s="25"/>
      <c r="M86" s="25"/>
      <c r="N86" s="25"/>
      <c r="O86" s="25"/>
      <c r="P86" s="25"/>
      <c r="Q86" s="25"/>
      <c r="R86" s="25"/>
      <c r="S86" s="25"/>
      <c r="T86" s="25"/>
      <c r="U86" s="25"/>
      <c r="V86" s="25"/>
      <c r="W86" s="25"/>
      <c r="X86" s="25"/>
      <c r="Y86" s="25"/>
      <c r="Z86" s="25"/>
    </row>
    <row r="87" ht="12.75" customHeight="1">
      <c r="A87" s="25" t="s">
        <v>156</v>
      </c>
      <c r="B87" s="87">
        <f t="shared" ref="B87:J87" si="37">(B69/B72)</f>
        <v>0.0003958409758</v>
      </c>
      <c r="C87" s="87">
        <f t="shared" si="37"/>
        <v>0.0006457905959</v>
      </c>
      <c r="D87" s="87">
        <f t="shared" si="37"/>
        <v>0.0004319082224</v>
      </c>
      <c r="E87" s="87">
        <f t="shared" si="37"/>
        <v>0.001704537166</v>
      </c>
      <c r="F87" s="87">
        <f t="shared" si="37"/>
        <v>0</v>
      </c>
      <c r="G87" s="87">
        <f t="shared" si="37"/>
        <v>0.0002534222429</v>
      </c>
      <c r="H87" s="87" t="str">
        <f t="shared" si="37"/>
        <v>#VALUE!</v>
      </c>
      <c r="I87" s="87">
        <f t="shared" si="37"/>
        <v>0.009943636394</v>
      </c>
      <c r="J87" s="87">
        <f t="shared" si="37"/>
        <v>0.008936486619</v>
      </c>
      <c r="K87" s="25"/>
      <c r="L87" s="25"/>
      <c r="M87" s="25"/>
      <c r="N87" s="25"/>
      <c r="O87" s="25"/>
      <c r="P87" s="25"/>
      <c r="Q87" s="25"/>
      <c r="R87" s="25"/>
      <c r="S87" s="25"/>
      <c r="T87" s="25"/>
      <c r="U87" s="25"/>
      <c r="V87" s="25"/>
      <c r="W87" s="25"/>
      <c r="X87" s="25"/>
      <c r="Y87" s="25"/>
      <c r="Z87" s="25"/>
    </row>
    <row r="88" ht="12.75" customHeight="1">
      <c r="A88" s="25" t="s">
        <v>157</v>
      </c>
      <c r="B88" s="87">
        <f t="shared" ref="B88:J88" si="38">(B70/B72)</f>
        <v>0.002458152434</v>
      </c>
      <c r="C88" s="87">
        <f t="shared" si="38"/>
        <v>0.004889498078</v>
      </c>
      <c r="D88" s="87">
        <f t="shared" si="38"/>
        <v>0.003004957129</v>
      </c>
      <c r="E88" s="87">
        <f t="shared" si="38"/>
        <v>0</v>
      </c>
      <c r="F88" s="87">
        <f t="shared" si="38"/>
        <v>0.0008404552682</v>
      </c>
      <c r="G88" s="87">
        <f t="shared" si="38"/>
        <v>0.0005913185668</v>
      </c>
      <c r="H88" s="87" t="str">
        <f t="shared" si="38"/>
        <v>#VALUE!</v>
      </c>
      <c r="I88" s="87">
        <f t="shared" si="38"/>
        <v>0.0007965274593</v>
      </c>
      <c r="J88" s="87">
        <f t="shared" si="38"/>
        <v>0</v>
      </c>
      <c r="K88" s="25"/>
      <c r="L88" s="25"/>
      <c r="M88" s="25"/>
      <c r="N88" s="25"/>
      <c r="O88" s="25"/>
      <c r="P88" s="25"/>
      <c r="Q88" s="25"/>
      <c r="R88" s="25"/>
      <c r="S88" s="25"/>
      <c r="T88" s="25"/>
      <c r="U88" s="25"/>
      <c r="V88" s="25"/>
      <c r="W88" s="25"/>
      <c r="X88" s="25"/>
      <c r="Y88" s="25"/>
      <c r="Z88" s="25"/>
    </row>
    <row r="89" ht="12.75" customHeight="1">
      <c r="A89" s="25" t="s">
        <v>158</v>
      </c>
      <c r="B89" s="87">
        <f t="shared" ref="B89:J89" si="39">(B71/B72)</f>
        <v>0.05358972564</v>
      </c>
      <c r="C89" s="87">
        <f t="shared" si="39"/>
        <v>0.08018278809</v>
      </c>
      <c r="D89" s="87">
        <f t="shared" si="39"/>
        <v>0.07859692533</v>
      </c>
      <c r="E89" s="87">
        <f t="shared" si="39"/>
        <v>0.0153408345</v>
      </c>
      <c r="F89" s="87">
        <f t="shared" si="39"/>
        <v>0.04622503975</v>
      </c>
      <c r="G89" s="87">
        <f t="shared" si="39"/>
        <v>0.03801333644</v>
      </c>
      <c r="H89" s="87" t="str">
        <f t="shared" si="39"/>
        <v>#VALUE!</v>
      </c>
      <c r="I89" s="87">
        <f t="shared" si="39"/>
        <v>0.0000008850305103</v>
      </c>
      <c r="J89" s="87">
        <f t="shared" si="39"/>
        <v>0</v>
      </c>
    </row>
    <row r="90" ht="12.75" customHeight="1">
      <c r="A90" s="245" t="s">
        <v>558</v>
      </c>
      <c r="B90" s="249">
        <f t="shared" ref="B90:J90" si="40">SUM(B78:B89)</f>
        <v>1</v>
      </c>
      <c r="C90" s="249">
        <f t="shared" si="40"/>
        <v>1</v>
      </c>
      <c r="D90" s="249">
        <f t="shared" si="40"/>
        <v>1</v>
      </c>
      <c r="E90" s="249">
        <f t="shared" si="40"/>
        <v>1</v>
      </c>
      <c r="F90" s="249">
        <f t="shared" si="40"/>
        <v>1</v>
      </c>
      <c r="G90" s="249">
        <f t="shared" si="40"/>
        <v>1</v>
      </c>
      <c r="H90" s="249" t="str">
        <f t="shared" si="40"/>
        <v>#VALUE!</v>
      </c>
      <c r="I90" s="249">
        <f t="shared" si="40"/>
        <v>1</v>
      </c>
      <c r="J90" s="249">
        <f t="shared" si="40"/>
        <v>1</v>
      </c>
    </row>
    <row r="91" ht="12.75" customHeight="1">
      <c r="A91" s="25"/>
      <c r="B91" s="25"/>
      <c r="C91" s="25"/>
      <c r="D91" s="25"/>
      <c r="G91" s="25"/>
    </row>
    <row r="92" ht="15.75" customHeight="1">
      <c r="A92" s="92" t="s">
        <v>135</v>
      </c>
    </row>
    <row r="93" ht="12.75" customHeight="1">
      <c r="A93" s="47"/>
    </row>
    <row r="94" ht="12.75" customHeight="1">
      <c r="A94" s="65" t="s">
        <v>195</v>
      </c>
      <c r="B94" s="85" t="s">
        <v>76</v>
      </c>
      <c r="C94" s="85" t="s">
        <v>77</v>
      </c>
      <c r="D94" s="85" t="s">
        <v>78</v>
      </c>
      <c r="E94" s="85" t="s">
        <v>79</v>
      </c>
      <c r="F94" s="85" t="s">
        <v>80</v>
      </c>
      <c r="G94" s="85" t="s">
        <v>81</v>
      </c>
      <c r="H94" s="85" t="s">
        <v>82</v>
      </c>
      <c r="I94" s="85" t="s">
        <v>83</v>
      </c>
      <c r="J94" s="85" t="s">
        <v>84</v>
      </c>
    </row>
    <row r="95" ht="12.75" customHeight="1">
      <c r="A95" s="25" t="s">
        <v>565</v>
      </c>
      <c r="B95" s="97">
        <f t="shared" ref="B95:J95" si="41">B67</f>
        <v>125867.7856</v>
      </c>
      <c r="C95" s="97">
        <f t="shared" si="41"/>
        <v>185852.7376</v>
      </c>
      <c r="D95" s="97">
        <f t="shared" si="41"/>
        <v>140803.1893</v>
      </c>
      <c r="E95" s="97">
        <f t="shared" si="41"/>
        <v>0</v>
      </c>
      <c r="F95" s="97">
        <f t="shared" si="41"/>
        <v>0</v>
      </c>
      <c r="G95" s="97">
        <f t="shared" si="41"/>
        <v>139815.9621</v>
      </c>
      <c r="H95" s="97">
        <f t="shared" si="41"/>
        <v>3864017.729</v>
      </c>
      <c r="I95" s="97">
        <f t="shared" si="41"/>
        <v>3777033.34</v>
      </c>
      <c r="J95" s="97">
        <f t="shared" si="41"/>
        <v>5246252.136</v>
      </c>
    </row>
    <row r="96" ht="12.75" customHeight="1">
      <c r="A96" s="25" t="s">
        <v>566</v>
      </c>
      <c r="B96" s="73">
        <f t="shared" ref="B96:J96" si="42">ROUND(B95*$B188,1)</f>
        <v>429.5</v>
      </c>
      <c r="C96" s="73">
        <f t="shared" si="42"/>
        <v>634.1</v>
      </c>
      <c r="D96" s="73">
        <f t="shared" si="42"/>
        <v>480.4</v>
      </c>
      <c r="E96" s="73">
        <f t="shared" si="42"/>
        <v>0</v>
      </c>
      <c r="F96" s="73">
        <f t="shared" si="42"/>
        <v>0</v>
      </c>
      <c r="G96" s="73">
        <f t="shared" si="42"/>
        <v>477.1</v>
      </c>
      <c r="H96" s="73">
        <f t="shared" si="42"/>
        <v>13184.4</v>
      </c>
      <c r="I96" s="73">
        <f t="shared" si="42"/>
        <v>12887.6</v>
      </c>
      <c r="J96" s="73">
        <f t="shared" si="42"/>
        <v>17900.7</v>
      </c>
    </row>
    <row r="97" ht="15.0" customHeight="1">
      <c r="A97" s="47" t="s">
        <v>752</v>
      </c>
      <c r="B97" s="78">
        <f t="shared" ref="B97:J97" si="43">ROUND(B95*$B196,1)</f>
        <v>22.7</v>
      </c>
      <c r="C97" s="78">
        <f t="shared" si="43"/>
        <v>33.5</v>
      </c>
      <c r="D97" s="78">
        <f t="shared" si="43"/>
        <v>25.3</v>
      </c>
      <c r="E97" s="78">
        <f t="shared" si="43"/>
        <v>0</v>
      </c>
      <c r="F97" s="78">
        <f t="shared" si="43"/>
        <v>0</v>
      </c>
      <c r="G97" s="78">
        <f t="shared" si="43"/>
        <v>25.2</v>
      </c>
      <c r="H97" s="78">
        <f t="shared" si="43"/>
        <v>695.6</v>
      </c>
      <c r="I97" s="78">
        <f t="shared" si="43"/>
        <v>679.9</v>
      </c>
      <c r="J97" s="78">
        <f t="shared" si="43"/>
        <v>944.4</v>
      </c>
      <c r="K97" s="25"/>
      <c r="L97" s="25"/>
      <c r="M97" s="25"/>
      <c r="N97" s="25"/>
      <c r="O97" s="25"/>
      <c r="P97" s="25"/>
      <c r="Q97" s="25"/>
      <c r="R97" s="25"/>
      <c r="S97" s="25"/>
      <c r="T97" s="25"/>
      <c r="U97" s="25"/>
      <c r="V97" s="25"/>
      <c r="W97" s="25"/>
      <c r="X97" s="25"/>
      <c r="Y97" s="25"/>
      <c r="Z97" s="25"/>
    </row>
    <row r="98" ht="15.0" customHeight="1">
      <c r="A98" s="25" t="s">
        <v>753</v>
      </c>
      <c r="B98" s="128">
        <f t="shared" ref="B98:J98" si="44">($B197*B96*$B190)</f>
        <v>0.000408025</v>
      </c>
      <c r="C98" s="128">
        <f t="shared" si="44"/>
        <v>0.000602395</v>
      </c>
      <c r="D98" s="128">
        <f t="shared" si="44"/>
        <v>0.00045638</v>
      </c>
      <c r="E98" s="128">
        <f t="shared" si="44"/>
        <v>0</v>
      </c>
      <c r="F98" s="128">
        <f t="shared" si="44"/>
        <v>0</v>
      </c>
      <c r="G98" s="128">
        <f t="shared" si="44"/>
        <v>0.000453245</v>
      </c>
      <c r="H98" s="128">
        <f t="shared" si="44"/>
        <v>0.01252518</v>
      </c>
      <c r="I98" s="128">
        <f t="shared" si="44"/>
        <v>0.01224322</v>
      </c>
      <c r="J98" s="128">
        <f t="shared" si="44"/>
        <v>0.017005665</v>
      </c>
      <c r="K98" s="25"/>
      <c r="L98" s="25"/>
      <c r="M98" s="25"/>
      <c r="N98" s="25"/>
      <c r="O98" s="25"/>
      <c r="P98" s="25"/>
      <c r="Q98" s="25"/>
      <c r="R98" s="25"/>
      <c r="S98" s="25"/>
      <c r="T98" s="25"/>
      <c r="U98" s="25"/>
      <c r="V98" s="25"/>
      <c r="W98" s="25"/>
      <c r="X98" s="25"/>
      <c r="Y98" s="25"/>
      <c r="Z98" s="25"/>
    </row>
    <row r="99" ht="15.0" customHeight="1">
      <c r="A99" s="47" t="s">
        <v>754</v>
      </c>
      <c r="B99" s="93">
        <f t="shared" ref="B99:J99" si="45">B96*$B197*$B190*$B192</f>
        <v>0.008568525</v>
      </c>
      <c r="C99" s="93">
        <f t="shared" si="45"/>
        <v>0.012650295</v>
      </c>
      <c r="D99" s="93">
        <f t="shared" si="45"/>
        <v>0.00958398</v>
      </c>
      <c r="E99" s="93">
        <f t="shared" si="45"/>
        <v>0</v>
      </c>
      <c r="F99" s="93">
        <f t="shared" si="45"/>
        <v>0</v>
      </c>
      <c r="G99" s="93">
        <f t="shared" si="45"/>
        <v>0.009518145</v>
      </c>
      <c r="H99" s="93">
        <f t="shared" si="45"/>
        <v>0.26302878</v>
      </c>
      <c r="I99" s="93">
        <f t="shared" si="45"/>
        <v>0.25710762</v>
      </c>
      <c r="J99" s="93">
        <f t="shared" si="45"/>
        <v>0.357118965</v>
      </c>
    </row>
    <row r="100" ht="15.0" customHeight="1">
      <c r="A100" s="25" t="s">
        <v>755</v>
      </c>
      <c r="B100" s="128">
        <f t="shared" ref="B100:J100" si="46">($B198*B96*$B190)</f>
        <v>0.0000408025</v>
      </c>
      <c r="C100" s="128">
        <f t="shared" si="46"/>
        <v>0.0000602395</v>
      </c>
      <c r="D100" s="128">
        <f t="shared" si="46"/>
        <v>0.000045638</v>
      </c>
      <c r="E100" s="128">
        <f t="shared" si="46"/>
        <v>0</v>
      </c>
      <c r="F100" s="128">
        <f t="shared" si="46"/>
        <v>0</v>
      </c>
      <c r="G100" s="128">
        <f t="shared" si="46"/>
        <v>0.0000453245</v>
      </c>
      <c r="H100" s="128">
        <f t="shared" si="46"/>
        <v>0.001252518</v>
      </c>
      <c r="I100" s="128">
        <f t="shared" si="46"/>
        <v>0.001224322</v>
      </c>
      <c r="J100" s="128">
        <f t="shared" si="46"/>
        <v>0.0017005665</v>
      </c>
    </row>
    <row r="101" ht="15.0" customHeight="1">
      <c r="A101" s="47" t="s">
        <v>756</v>
      </c>
      <c r="B101" s="93">
        <f t="shared" ref="B101:J101" si="47">B96*$B198*$B190*$B193</f>
        <v>0.012648775</v>
      </c>
      <c r="C101" s="93">
        <f t="shared" si="47"/>
        <v>0.018674245</v>
      </c>
      <c r="D101" s="93">
        <f t="shared" si="47"/>
        <v>0.01414778</v>
      </c>
      <c r="E101" s="93">
        <f t="shared" si="47"/>
        <v>0</v>
      </c>
      <c r="F101" s="93">
        <f t="shared" si="47"/>
        <v>0</v>
      </c>
      <c r="G101" s="93">
        <f t="shared" si="47"/>
        <v>0.014050595</v>
      </c>
      <c r="H101" s="93">
        <f t="shared" si="47"/>
        <v>0.38828058</v>
      </c>
      <c r="I101" s="93">
        <f t="shared" si="47"/>
        <v>0.37953982</v>
      </c>
      <c r="J101" s="93">
        <f t="shared" si="47"/>
        <v>0.527175615</v>
      </c>
    </row>
    <row r="102" ht="12.75" customHeight="1">
      <c r="A102" s="120" t="s">
        <v>572</v>
      </c>
      <c r="B102" s="121">
        <f t="shared" ref="B102:J102" si="48">ROUND(B97+B99+B101,1)</f>
        <v>22.7</v>
      </c>
      <c r="C102" s="121">
        <f t="shared" si="48"/>
        <v>33.5</v>
      </c>
      <c r="D102" s="121">
        <f t="shared" si="48"/>
        <v>25.3</v>
      </c>
      <c r="E102" s="121">
        <f t="shared" si="48"/>
        <v>0</v>
      </c>
      <c r="F102" s="121">
        <f t="shared" si="48"/>
        <v>0</v>
      </c>
      <c r="G102" s="121">
        <f t="shared" si="48"/>
        <v>25.2</v>
      </c>
      <c r="H102" s="121">
        <f t="shared" si="48"/>
        <v>696.3</v>
      </c>
      <c r="I102" s="121">
        <f t="shared" si="48"/>
        <v>680.5</v>
      </c>
      <c r="J102" s="121">
        <f t="shared" si="48"/>
        <v>945.3</v>
      </c>
    </row>
    <row r="103" ht="12.75" customHeight="1">
      <c r="E103" s="25"/>
      <c r="F103" s="25"/>
    </row>
    <row r="104" ht="15.75" customHeight="1">
      <c r="A104" s="92" t="s">
        <v>155</v>
      </c>
      <c r="E104" s="25"/>
      <c r="F104" s="25"/>
    </row>
    <row r="105" ht="12.75" customHeight="1">
      <c r="A105" s="47"/>
      <c r="E105" s="25"/>
      <c r="F105" s="25"/>
      <c r="H105" s="25"/>
      <c r="I105" s="25"/>
      <c r="J105" s="25"/>
      <c r="K105" s="25"/>
      <c r="L105" s="25"/>
      <c r="M105" s="25"/>
      <c r="N105" s="25"/>
      <c r="O105" s="25"/>
      <c r="P105" s="25"/>
      <c r="Q105" s="25"/>
      <c r="R105" s="25"/>
      <c r="S105" s="25"/>
      <c r="T105" s="25"/>
      <c r="U105" s="25"/>
      <c r="V105" s="25"/>
      <c r="W105" s="25"/>
      <c r="X105" s="25"/>
      <c r="Y105" s="25"/>
      <c r="Z105" s="25"/>
    </row>
    <row r="106" ht="12.75" customHeight="1">
      <c r="A106" s="65" t="s">
        <v>195</v>
      </c>
      <c r="B106" s="85" t="s">
        <v>76</v>
      </c>
      <c r="C106" s="85" t="s">
        <v>77</v>
      </c>
      <c r="D106" s="85" t="s">
        <v>78</v>
      </c>
      <c r="E106" s="85" t="s">
        <v>79</v>
      </c>
      <c r="F106" s="85" t="s">
        <v>80</v>
      </c>
      <c r="G106" s="85" t="s">
        <v>81</v>
      </c>
      <c r="H106" s="85" t="s">
        <v>82</v>
      </c>
      <c r="I106" s="85" t="s">
        <v>83</v>
      </c>
      <c r="J106" s="85" t="s">
        <v>84</v>
      </c>
      <c r="K106" s="25"/>
      <c r="L106" s="25"/>
      <c r="M106" s="25"/>
      <c r="N106" s="25"/>
      <c r="O106" s="25"/>
      <c r="P106" s="25"/>
      <c r="Q106" s="25"/>
      <c r="R106" s="25"/>
      <c r="S106" s="25"/>
      <c r="T106" s="25"/>
      <c r="U106" s="25"/>
      <c r="V106" s="25"/>
      <c r="W106" s="25"/>
      <c r="X106" s="25"/>
      <c r="Y106" s="25"/>
      <c r="Z106" s="25"/>
    </row>
    <row r="107" ht="12.75" customHeight="1">
      <c r="A107" s="25" t="s">
        <v>573</v>
      </c>
      <c r="B107" s="97">
        <f t="shared" ref="B107:J107" si="49">B68</f>
        <v>48573.13875</v>
      </c>
      <c r="C107" s="97">
        <f t="shared" si="49"/>
        <v>75482.85249</v>
      </c>
      <c r="D107" s="97">
        <f t="shared" si="49"/>
        <v>53224.57327</v>
      </c>
      <c r="E107" s="97">
        <f t="shared" si="49"/>
        <v>0</v>
      </c>
      <c r="F107" s="97">
        <f t="shared" si="49"/>
        <v>0</v>
      </c>
      <c r="G107" s="97">
        <f t="shared" si="49"/>
        <v>21426.34224</v>
      </c>
      <c r="H107" s="97">
        <f t="shared" si="49"/>
        <v>475794.4479</v>
      </c>
      <c r="I107" s="97">
        <f t="shared" si="49"/>
        <v>465083.6561</v>
      </c>
      <c r="J107" s="97">
        <f t="shared" si="49"/>
        <v>588593.0635</v>
      </c>
    </row>
    <row r="108" ht="12.75" customHeight="1">
      <c r="A108" s="25" t="s">
        <v>566</v>
      </c>
      <c r="B108" s="73">
        <f t="shared" ref="B108:J108" si="50">ROUND(B107*$B188,1)</f>
        <v>165.7</v>
      </c>
      <c r="C108" s="73">
        <f t="shared" si="50"/>
        <v>257.6</v>
      </c>
      <c r="D108" s="73">
        <f t="shared" si="50"/>
        <v>181.6</v>
      </c>
      <c r="E108" s="73">
        <f t="shared" si="50"/>
        <v>0</v>
      </c>
      <c r="F108" s="73">
        <f t="shared" si="50"/>
        <v>0</v>
      </c>
      <c r="G108" s="73">
        <f t="shared" si="50"/>
        <v>73.1</v>
      </c>
      <c r="H108" s="73">
        <f t="shared" si="50"/>
        <v>1623.5</v>
      </c>
      <c r="I108" s="73">
        <f t="shared" si="50"/>
        <v>1586.9</v>
      </c>
      <c r="J108" s="73">
        <f t="shared" si="50"/>
        <v>2008.3</v>
      </c>
    </row>
    <row r="109" ht="15.0" customHeight="1">
      <c r="A109" s="47" t="s">
        <v>757</v>
      </c>
      <c r="B109" s="78">
        <f t="shared" ref="B109:J109" si="51">ROUND(B107*$B204,1)</f>
        <v>15.3</v>
      </c>
      <c r="C109" s="78">
        <f t="shared" si="51"/>
        <v>23.8</v>
      </c>
      <c r="D109" s="78">
        <f t="shared" si="51"/>
        <v>16.8</v>
      </c>
      <c r="E109" s="78">
        <f t="shared" si="51"/>
        <v>0</v>
      </c>
      <c r="F109" s="78">
        <f t="shared" si="51"/>
        <v>0</v>
      </c>
      <c r="G109" s="78">
        <f t="shared" si="51"/>
        <v>6.8</v>
      </c>
      <c r="H109" s="78">
        <f t="shared" si="51"/>
        <v>150.1</v>
      </c>
      <c r="I109" s="78">
        <f t="shared" si="51"/>
        <v>146.7</v>
      </c>
      <c r="J109" s="78">
        <f t="shared" si="51"/>
        <v>185.7</v>
      </c>
      <c r="L109" s="25" t="s">
        <v>758</v>
      </c>
      <c r="M109" s="73">
        <f>SUM(J97,J109,J121,J133,J145)</f>
        <v>1184.9</v>
      </c>
    </row>
    <row r="110" ht="15.0" customHeight="1">
      <c r="A110" s="25" t="s">
        <v>759</v>
      </c>
      <c r="B110" s="128">
        <f t="shared" ref="B110:J110" si="52">($B205*B108*$B190)</f>
        <v>0.0001657</v>
      </c>
      <c r="C110" s="128">
        <f t="shared" si="52"/>
        <v>0.0002576</v>
      </c>
      <c r="D110" s="128">
        <f t="shared" si="52"/>
        <v>0.0001816</v>
      </c>
      <c r="E110" s="128">
        <f t="shared" si="52"/>
        <v>0</v>
      </c>
      <c r="F110" s="128">
        <f t="shared" si="52"/>
        <v>0</v>
      </c>
      <c r="G110" s="128">
        <f t="shared" si="52"/>
        <v>0.0000731</v>
      </c>
      <c r="H110" s="128">
        <f t="shared" si="52"/>
        <v>0.0016235</v>
      </c>
      <c r="I110" s="128">
        <f t="shared" si="52"/>
        <v>0.0015869</v>
      </c>
      <c r="J110" s="128">
        <f t="shared" si="52"/>
        <v>0.0020083</v>
      </c>
      <c r="L110" s="25" t="s">
        <v>760</v>
      </c>
      <c r="M110" s="128">
        <f>SUM(J100,J112,J124,J136,J148)</f>
        <v>0.0049676844</v>
      </c>
    </row>
    <row r="111" ht="15.0" customHeight="1">
      <c r="A111" s="47" t="s">
        <v>761</v>
      </c>
      <c r="B111" s="93">
        <f t="shared" ref="B111:J111" si="53">B108*$B205*$B190*$B192</f>
        <v>0.0034797</v>
      </c>
      <c r="C111" s="93">
        <f t="shared" si="53"/>
        <v>0.0054096</v>
      </c>
      <c r="D111" s="93">
        <f t="shared" si="53"/>
        <v>0.0038136</v>
      </c>
      <c r="E111" s="93">
        <f t="shared" si="53"/>
        <v>0</v>
      </c>
      <c r="F111" s="93">
        <f t="shared" si="53"/>
        <v>0</v>
      </c>
      <c r="G111" s="93">
        <f t="shared" si="53"/>
        <v>0.0015351</v>
      </c>
      <c r="H111" s="93">
        <f t="shared" si="53"/>
        <v>0.0340935</v>
      </c>
      <c r="I111" s="93">
        <f t="shared" si="53"/>
        <v>0.0333249</v>
      </c>
      <c r="J111" s="93">
        <f t="shared" si="53"/>
        <v>0.0421743</v>
      </c>
      <c r="L111" s="25" t="s">
        <v>762</v>
      </c>
      <c r="M111" s="128">
        <f>SUM(J98,J110,J122,J134,J146)</f>
        <v>0.021295244</v>
      </c>
    </row>
    <row r="112" ht="15.0" customHeight="1">
      <c r="A112" s="25" t="s">
        <v>763</v>
      </c>
      <c r="B112" s="128">
        <f t="shared" ref="B112:J112" si="54">($B206*B108*$B190)</f>
        <v>0.00023198</v>
      </c>
      <c r="C112" s="128">
        <f t="shared" si="54"/>
        <v>0.00036064</v>
      </c>
      <c r="D112" s="128">
        <f t="shared" si="54"/>
        <v>0.00025424</v>
      </c>
      <c r="E112" s="128">
        <f t="shared" si="54"/>
        <v>0</v>
      </c>
      <c r="F112" s="128">
        <f t="shared" si="54"/>
        <v>0</v>
      </c>
      <c r="G112" s="128">
        <f t="shared" si="54"/>
        <v>0.00010234</v>
      </c>
      <c r="H112" s="128">
        <f t="shared" si="54"/>
        <v>0.0022729</v>
      </c>
      <c r="I112" s="128">
        <f t="shared" si="54"/>
        <v>0.00222166</v>
      </c>
      <c r="J112" s="128">
        <f t="shared" si="54"/>
        <v>0.00281162</v>
      </c>
    </row>
    <row r="113" ht="15.0" customHeight="1">
      <c r="A113" s="47" t="s">
        <v>764</v>
      </c>
      <c r="B113" s="93">
        <f t="shared" ref="B113:J113" si="55">B108*$B206*$B190*$B193</f>
        <v>0.0719138</v>
      </c>
      <c r="C113" s="93">
        <f t="shared" si="55"/>
        <v>0.1117984</v>
      </c>
      <c r="D113" s="93">
        <f t="shared" si="55"/>
        <v>0.0788144</v>
      </c>
      <c r="E113" s="93">
        <f t="shared" si="55"/>
        <v>0</v>
      </c>
      <c r="F113" s="93">
        <f t="shared" si="55"/>
        <v>0</v>
      </c>
      <c r="G113" s="93">
        <f t="shared" si="55"/>
        <v>0.0317254</v>
      </c>
      <c r="H113" s="93">
        <f t="shared" si="55"/>
        <v>0.704599</v>
      </c>
      <c r="I113" s="93">
        <f t="shared" si="55"/>
        <v>0.6887146</v>
      </c>
      <c r="J113" s="93">
        <f t="shared" si="55"/>
        <v>0.8716022</v>
      </c>
    </row>
    <row r="114" ht="12.75" customHeight="1">
      <c r="A114" s="120" t="s">
        <v>579</v>
      </c>
      <c r="B114" s="121">
        <f t="shared" ref="B114:J114" si="56">ROUND(B109+B111+B113,1)</f>
        <v>15.4</v>
      </c>
      <c r="C114" s="121">
        <f t="shared" si="56"/>
        <v>23.9</v>
      </c>
      <c r="D114" s="121">
        <f t="shared" si="56"/>
        <v>16.9</v>
      </c>
      <c r="E114" s="121">
        <f t="shared" si="56"/>
        <v>0</v>
      </c>
      <c r="F114" s="121">
        <f t="shared" si="56"/>
        <v>0</v>
      </c>
      <c r="G114" s="121">
        <f t="shared" si="56"/>
        <v>6.8</v>
      </c>
      <c r="H114" s="121">
        <f t="shared" si="56"/>
        <v>150.8</v>
      </c>
      <c r="I114" s="121">
        <f t="shared" si="56"/>
        <v>147.4</v>
      </c>
      <c r="J114" s="121">
        <f t="shared" si="56"/>
        <v>186.6</v>
      </c>
    </row>
    <row r="115" ht="12.75" customHeight="1">
      <c r="A115" s="47"/>
      <c r="E115" s="25"/>
      <c r="F115" s="25"/>
    </row>
    <row r="116" ht="15.75" customHeight="1">
      <c r="A116" s="92" t="s">
        <v>156</v>
      </c>
      <c r="E116" s="25"/>
      <c r="F116" s="25"/>
    </row>
    <row r="117" ht="12.75" customHeight="1">
      <c r="A117" s="47"/>
      <c r="E117" s="78"/>
      <c r="F117" s="78"/>
      <c r="H117" s="25"/>
      <c r="I117" s="25"/>
      <c r="J117" s="25"/>
      <c r="K117" s="25"/>
      <c r="L117" s="25"/>
      <c r="M117" s="25"/>
      <c r="N117" s="25"/>
      <c r="O117" s="25"/>
      <c r="P117" s="25"/>
      <c r="Q117" s="25"/>
      <c r="R117" s="25"/>
      <c r="S117" s="25"/>
      <c r="T117" s="25"/>
      <c r="U117" s="25"/>
      <c r="V117" s="25"/>
      <c r="W117" s="25"/>
      <c r="X117" s="25"/>
      <c r="Y117" s="25"/>
      <c r="Z117" s="25"/>
    </row>
    <row r="118" ht="12.75" customHeight="1">
      <c r="A118" s="65" t="s">
        <v>195</v>
      </c>
      <c r="B118" s="71" t="s">
        <v>76</v>
      </c>
      <c r="C118" s="71" t="s">
        <v>77</v>
      </c>
      <c r="D118" s="71" t="s">
        <v>78</v>
      </c>
      <c r="E118" s="71" t="s">
        <v>79</v>
      </c>
      <c r="F118" s="71" t="s">
        <v>80</v>
      </c>
      <c r="G118" s="71" t="s">
        <v>81</v>
      </c>
      <c r="H118" s="71" t="s">
        <v>82</v>
      </c>
      <c r="I118" s="71" t="s">
        <v>83</v>
      </c>
      <c r="J118" s="71" t="s">
        <v>84</v>
      </c>
      <c r="K118" s="25"/>
      <c r="L118" s="25"/>
      <c r="M118" s="25"/>
      <c r="N118" s="25"/>
      <c r="O118" s="25"/>
      <c r="P118" s="25"/>
      <c r="Q118" s="25"/>
      <c r="R118" s="25"/>
      <c r="S118" s="25"/>
      <c r="T118" s="25"/>
      <c r="U118" s="25"/>
      <c r="V118" s="25"/>
      <c r="W118" s="25"/>
      <c r="X118" s="25"/>
      <c r="Y118" s="25"/>
      <c r="Z118" s="25"/>
    </row>
    <row r="119" ht="12.75" customHeight="1">
      <c r="A119" s="25" t="s">
        <v>580</v>
      </c>
      <c r="B119" s="97">
        <f t="shared" ref="B119:J119" si="57">B69</f>
        <v>10223.20187</v>
      </c>
      <c r="C119" s="97">
        <f t="shared" si="57"/>
        <v>17075.8801</v>
      </c>
      <c r="D119" s="97">
        <f t="shared" si="57"/>
        <v>11055.98135</v>
      </c>
      <c r="E119" s="97">
        <f t="shared" si="57"/>
        <v>44325.35</v>
      </c>
      <c r="F119" s="97">
        <f t="shared" si="57"/>
        <v>0</v>
      </c>
      <c r="G119" s="97">
        <f t="shared" si="57"/>
        <v>6371.199</v>
      </c>
      <c r="H119" s="97" t="str">
        <f t="shared" si="57"/>
        <v>#VALUE!</v>
      </c>
      <c r="I119" s="97">
        <f t="shared" si="57"/>
        <v>236871.3647</v>
      </c>
      <c r="J119" s="97">
        <f t="shared" si="57"/>
        <v>222110.59</v>
      </c>
      <c r="K119" s="25"/>
      <c r="L119" s="25"/>
      <c r="M119" s="25"/>
      <c r="N119" s="25"/>
      <c r="O119" s="25"/>
      <c r="P119" s="25"/>
      <c r="Q119" s="25"/>
      <c r="R119" s="25"/>
      <c r="S119" s="25"/>
      <c r="T119" s="25"/>
      <c r="U119" s="25"/>
      <c r="V119" s="25"/>
      <c r="W119" s="25"/>
      <c r="X119" s="25"/>
      <c r="Y119" s="25"/>
      <c r="Z119" s="25"/>
    </row>
    <row r="120" ht="12.75" customHeight="1">
      <c r="A120" s="25" t="s">
        <v>566</v>
      </c>
      <c r="B120" s="73">
        <f t="shared" ref="B120:J120" si="58">ROUND(B119*$B188,1)</f>
        <v>34.9</v>
      </c>
      <c r="C120" s="73">
        <f t="shared" si="58"/>
        <v>58.3</v>
      </c>
      <c r="D120" s="73">
        <f t="shared" si="58"/>
        <v>37.7</v>
      </c>
      <c r="E120" s="73">
        <f t="shared" si="58"/>
        <v>151.2</v>
      </c>
      <c r="F120" s="73">
        <f t="shared" si="58"/>
        <v>0</v>
      </c>
      <c r="G120" s="73">
        <f t="shared" si="58"/>
        <v>21.7</v>
      </c>
      <c r="H120" s="73" t="str">
        <f t="shared" si="58"/>
        <v>#VALUE!</v>
      </c>
      <c r="I120" s="73">
        <f t="shared" si="58"/>
        <v>808.2</v>
      </c>
      <c r="J120" s="73">
        <f t="shared" si="58"/>
        <v>757.9</v>
      </c>
      <c r="K120" s="25"/>
      <c r="L120" s="25"/>
      <c r="M120" s="25"/>
      <c r="N120" s="25"/>
      <c r="O120" s="25"/>
      <c r="P120" s="25"/>
      <c r="Q120" s="25"/>
      <c r="R120" s="25"/>
      <c r="S120" s="25"/>
      <c r="T120" s="25"/>
      <c r="U120" s="25"/>
      <c r="V120" s="25"/>
      <c r="W120" s="25"/>
      <c r="X120" s="25"/>
      <c r="Y120" s="25"/>
      <c r="Z120" s="25"/>
    </row>
    <row r="121" ht="15.0" customHeight="1">
      <c r="A121" s="47" t="s">
        <v>765</v>
      </c>
      <c r="B121" s="78">
        <f t="shared" ref="B121:J121" si="59">ROUND(B119*$B212,1)</f>
        <v>2.5</v>
      </c>
      <c r="C121" s="78">
        <f t="shared" si="59"/>
        <v>4.2</v>
      </c>
      <c r="D121" s="78">
        <f t="shared" si="59"/>
        <v>2.7</v>
      </c>
      <c r="E121" s="78">
        <f t="shared" si="59"/>
        <v>10.9</v>
      </c>
      <c r="F121" s="78">
        <f t="shared" si="59"/>
        <v>0</v>
      </c>
      <c r="G121" s="78">
        <f t="shared" si="59"/>
        <v>1.6</v>
      </c>
      <c r="H121" s="78" t="str">
        <f t="shared" si="59"/>
        <v>#VALUE!</v>
      </c>
      <c r="I121" s="78">
        <f t="shared" si="59"/>
        <v>58.5</v>
      </c>
      <c r="J121" s="78">
        <f t="shared" si="59"/>
        <v>54.8</v>
      </c>
      <c r="K121" s="25"/>
      <c r="L121" s="25"/>
      <c r="M121" s="25"/>
      <c r="N121" s="25"/>
      <c r="O121" s="25"/>
      <c r="P121" s="25"/>
      <c r="Q121" s="25"/>
      <c r="R121" s="25"/>
      <c r="S121" s="25"/>
      <c r="T121" s="25"/>
      <c r="U121" s="25"/>
      <c r="V121" s="25"/>
      <c r="W121" s="25"/>
      <c r="X121" s="25"/>
      <c r="Y121" s="25"/>
      <c r="Z121" s="25"/>
    </row>
    <row r="122" ht="15.0" customHeight="1">
      <c r="A122" s="25" t="s">
        <v>766</v>
      </c>
      <c r="B122" s="128">
        <f t="shared" ref="B122:J122" si="60">($B213*B120*$B190)</f>
        <v>0.000105049</v>
      </c>
      <c r="C122" s="128">
        <f t="shared" si="60"/>
        <v>0.000175483</v>
      </c>
      <c r="D122" s="128">
        <f t="shared" si="60"/>
        <v>0.000113477</v>
      </c>
      <c r="E122" s="128">
        <f t="shared" si="60"/>
        <v>0.000455112</v>
      </c>
      <c r="F122" s="128">
        <f t="shared" si="60"/>
        <v>0</v>
      </c>
      <c r="G122" s="128">
        <f t="shared" si="60"/>
        <v>0.000065317</v>
      </c>
      <c r="H122" s="128" t="str">
        <f t="shared" si="60"/>
        <v>#VALUE!</v>
      </c>
      <c r="I122" s="128">
        <f t="shared" si="60"/>
        <v>0.002432682</v>
      </c>
      <c r="J122" s="128">
        <f t="shared" si="60"/>
        <v>0.002281279</v>
      </c>
      <c r="K122" s="25"/>
      <c r="L122" s="25"/>
      <c r="M122" s="25"/>
      <c r="N122" s="25"/>
      <c r="O122" s="25"/>
      <c r="P122" s="25"/>
      <c r="Q122" s="25"/>
      <c r="R122" s="25"/>
      <c r="S122" s="25"/>
      <c r="T122" s="25"/>
      <c r="U122" s="25"/>
      <c r="V122" s="25"/>
      <c r="W122" s="25"/>
      <c r="X122" s="25"/>
      <c r="Y122" s="25"/>
      <c r="Z122" s="25"/>
    </row>
    <row r="123" ht="15.0" customHeight="1">
      <c r="A123" s="47" t="s">
        <v>767</v>
      </c>
      <c r="B123" s="93">
        <f t="shared" ref="B123:J123" si="61">B120*$B213*$B190*$B192</f>
        <v>0.002206029</v>
      </c>
      <c r="C123" s="93">
        <f t="shared" si="61"/>
        <v>0.003685143</v>
      </c>
      <c r="D123" s="93">
        <f t="shared" si="61"/>
        <v>0.002383017</v>
      </c>
      <c r="E123" s="93">
        <f t="shared" si="61"/>
        <v>0.009557352</v>
      </c>
      <c r="F123" s="93">
        <f t="shared" si="61"/>
        <v>0</v>
      </c>
      <c r="G123" s="93">
        <f t="shared" si="61"/>
        <v>0.001371657</v>
      </c>
      <c r="H123" s="93" t="str">
        <f t="shared" si="61"/>
        <v>#VALUE!</v>
      </c>
      <c r="I123" s="93">
        <f t="shared" si="61"/>
        <v>0.051086322</v>
      </c>
      <c r="J123" s="93">
        <f t="shared" si="61"/>
        <v>0.047906859</v>
      </c>
      <c r="K123" s="25"/>
      <c r="L123" s="25"/>
      <c r="M123" s="25"/>
      <c r="N123" s="25"/>
      <c r="O123" s="25"/>
      <c r="P123" s="25"/>
      <c r="Q123" s="25"/>
      <c r="R123" s="25"/>
      <c r="S123" s="25"/>
      <c r="T123" s="25"/>
      <c r="U123" s="25"/>
      <c r="V123" s="25"/>
      <c r="W123" s="25"/>
      <c r="X123" s="25"/>
      <c r="Y123" s="25"/>
      <c r="Z123" s="25"/>
    </row>
    <row r="124" ht="15.0" customHeight="1">
      <c r="A124" s="25" t="s">
        <v>768</v>
      </c>
      <c r="B124" s="128">
        <f t="shared" ref="B124:J124" si="62">($B214*B120*$B190)</f>
        <v>0.0000209749</v>
      </c>
      <c r="C124" s="128">
        <f t="shared" si="62"/>
        <v>0.0000350383</v>
      </c>
      <c r="D124" s="128">
        <f t="shared" si="62"/>
        <v>0.0000226577</v>
      </c>
      <c r="E124" s="128">
        <f t="shared" si="62"/>
        <v>0.0000908712</v>
      </c>
      <c r="F124" s="128">
        <f t="shared" si="62"/>
        <v>0</v>
      </c>
      <c r="G124" s="128">
        <f t="shared" si="62"/>
        <v>0.0000130417</v>
      </c>
      <c r="H124" s="128" t="str">
        <f t="shared" si="62"/>
        <v>#VALUE!</v>
      </c>
      <c r="I124" s="128">
        <f t="shared" si="62"/>
        <v>0.0004857282</v>
      </c>
      <c r="J124" s="128">
        <f t="shared" si="62"/>
        <v>0.0004554979</v>
      </c>
    </row>
    <row r="125" ht="15.0" customHeight="1">
      <c r="A125" s="47" t="s">
        <v>769</v>
      </c>
      <c r="B125" s="93">
        <f t="shared" ref="B125:J125" si="63">B120*$B214*$B190*$B193</f>
        <v>0.006502219</v>
      </c>
      <c r="C125" s="93">
        <f t="shared" si="63"/>
        <v>0.010861873</v>
      </c>
      <c r="D125" s="93">
        <f t="shared" si="63"/>
        <v>0.007023887</v>
      </c>
      <c r="E125" s="93">
        <f t="shared" si="63"/>
        <v>0.028170072</v>
      </c>
      <c r="F125" s="93">
        <f t="shared" si="63"/>
        <v>0</v>
      </c>
      <c r="G125" s="93">
        <f t="shared" si="63"/>
        <v>0.004042927</v>
      </c>
      <c r="H125" s="93" t="str">
        <f t="shared" si="63"/>
        <v>#VALUE!</v>
      </c>
      <c r="I125" s="93">
        <f t="shared" si="63"/>
        <v>0.150575742</v>
      </c>
      <c r="J125" s="93">
        <f t="shared" si="63"/>
        <v>0.141204349</v>
      </c>
    </row>
    <row r="126" ht="12.75" customHeight="1">
      <c r="A126" s="120" t="s">
        <v>586</v>
      </c>
      <c r="B126" s="121">
        <f t="shared" ref="B126:J126" si="64">ROUND(B121+B123+B125,1)</f>
        <v>2.5</v>
      </c>
      <c r="C126" s="121">
        <f t="shared" si="64"/>
        <v>4.2</v>
      </c>
      <c r="D126" s="121">
        <f t="shared" si="64"/>
        <v>2.7</v>
      </c>
      <c r="E126" s="121">
        <f t="shared" si="64"/>
        <v>10.9</v>
      </c>
      <c r="F126" s="121">
        <f t="shared" si="64"/>
        <v>0</v>
      </c>
      <c r="G126" s="121">
        <f t="shared" si="64"/>
        <v>1.6</v>
      </c>
      <c r="H126" s="121" t="str">
        <f t="shared" si="64"/>
        <v>#VALUE!</v>
      </c>
      <c r="I126" s="121">
        <f t="shared" si="64"/>
        <v>58.7</v>
      </c>
      <c r="J126" s="121">
        <f t="shared" si="64"/>
        <v>55</v>
      </c>
    </row>
    <row r="127" ht="12.75" customHeight="1">
      <c r="A127" s="47"/>
      <c r="B127" s="126"/>
      <c r="E127" s="25"/>
      <c r="F127" s="25"/>
    </row>
    <row r="128" ht="15.75" customHeight="1">
      <c r="A128" s="92" t="s">
        <v>157</v>
      </c>
      <c r="E128" s="25"/>
      <c r="F128" s="25"/>
    </row>
    <row r="129" ht="12.75" customHeight="1">
      <c r="A129" s="47"/>
      <c r="E129" s="78"/>
      <c r="F129" s="78"/>
      <c r="H129" s="25"/>
      <c r="I129" s="25"/>
      <c r="J129" s="25"/>
      <c r="K129" s="25"/>
      <c r="L129" s="25"/>
      <c r="M129" s="25"/>
      <c r="N129" s="25"/>
      <c r="O129" s="25"/>
      <c r="P129" s="25"/>
      <c r="Q129" s="25"/>
      <c r="R129" s="25"/>
      <c r="S129" s="25"/>
      <c r="T129" s="25"/>
      <c r="U129" s="25"/>
      <c r="V129" s="25"/>
      <c r="W129" s="25"/>
      <c r="X129" s="25"/>
      <c r="Y129" s="25"/>
      <c r="Z129" s="25"/>
    </row>
    <row r="130" ht="12.75" customHeight="1">
      <c r="A130" s="65" t="s">
        <v>195</v>
      </c>
      <c r="B130" s="71" t="s">
        <v>76</v>
      </c>
      <c r="C130" s="71" t="s">
        <v>77</v>
      </c>
      <c r="D130" s="71" t="s">
        <v>78</v>
      </c>
      <c r="E130" s="71" t="s">
        <v>79</v>
      </c>
      <c r="F130" s="71" t="s">
        <v>80</v>
      </c>
      <c r="G130" s="71" t="s">
        <v>81</v>
      </c>
      <c r="H130" s="71" t="s">
        <v>82</v>
      </c>
      <c r="I130" s="71" t="s">
        <v>83</v>
      </c>
      <c r="J130" s="71" t="s">
        <v>84</v>
      </c>
      <c r="K130" s="25"/>
      <c r="L130" s="25"/>
      <c r="M130" s="25"/>
      <c r="N130" s="25"/>
      <c r="O130" s="25"/>
      <c r="P130" s="25"/>
      <c r="Q130" s="25"/>
      <c r="R130" s="25"/>
      <c r="S130" s="25"/>
      <c r="T130" s="25"/>
      <c r="U130" s="25"/>
      <c r="V130" s="25"/>
      <c r="W130" s="25"/>
      <c r="X130" s="25"/>
      <c r="Y130" s="25"/>
      <c r="Z130" s="25"/>
    </row>
    <row r="131" ht="12.75" customHeight="1">
      <c r="A131" s="25" t="s">
        <v>580</v>
      </c>
      <c r="B131" s="97">
        <f t="shared" ref="B131:J131" si="65">B70</f>
        <v>63485.56645</v>
      </c>
      <c r="C131" s="97">
        <f t="shared" si="65"/>
        <v>129287.2387</v>
      </c>
      <c r="D131" s="97">
        <f t="shared" si="65"/>
        <v>76920.85552</v>
      </c>
      <c r="E131" s="97">
        <f t="shared" si="65"/>
        <v>0</v>
      </c>
      <c r="F131" s="97">
        <f t="shared" si="65"/>
        <v>22004.233</v>
      </c>
      <c r="G131" s="97">
        <f t="shared" si="65"/>
        <v>14866.131</v>
      </c>
      <c r="H131" s="97">
        <f t="shared" si="65"/>
        <v>19411.3782</v>
      </c>
      <c r="I131" s="97">
        <f t="shared" si="65"/>
        <v>18974.4012</v>
      </c>
      <c r="J131" s="97">
        <f t="shared" si="65"/>
        <v>0</v>
      </c>
    </row>
    <row r="132" ht="12.75" customHeight="1">
      <c r="A132" s="25" t="s">
        <v>566</v>
      </c>
      <c r="B132" s="73">
        <f t="shared" ref="B132:J132" si="66">ROUND(B131*$B188,1)</f>
        <v>216.6</v>
      </c>
      <c r="C132" s="73">
        <f t="shared" si="66"/>
        <v>441.1</v>
      </c>
      <c r="D132" s="73">
        <f t="shared" si="66"/>
        <v>262.5</v>
      </c>
      <c r="E132" s="73">
        <f t="shared" si="66"/>
        <v>0</v>
      </c>
      <c r="F132" s="73">
        <f t="shared" si="66"/>
        <v>75.1</v>
      </c>
      <c r="G132" s="73">
        <f t="shared" si="66"/>
        <v>50.7</v>
      </c>
      <c r="H132" s="73">
        <f t="shared" si="66"/>
        <v>66.2</v>
      </c>
      <c r="I132" s="73">
        <f t="shared" si="66"/>
        <v>64.7</v>
      </c>
      <c r="J132" s="73">
        <f t="shared" si="66"/>
        <v>0</v>
      </c>
    </row>
    <row r="133" ht="15.0" customHeight="1">
      <c r="A133" s="47" t="s">
        <v>770</v>
      </c>
      <c r="B133" s="78">
        <f t="shared" ref="B133:J133" si="67">ROUND(B131*$B220,1)</f>
        <v>16.9</v>
      </c>
      <c r="C133" s="78">
        <f t="shared" si="67"/>
        <v>34.4</v>
      </c>
      <c r="D133" s="78">
        <f t="shared" si="67"/>
        <v>20.5</v>
      </c>
      <c r="E133" s="78">
        <f t="shared" si="67"/>
        <v>0</v>
      </c>
      <c r="F133" s="78">
        <f t="shared" si="67"/>
        <v>5.9</v>
      </c>
      <c r="G133" s="78">
        <f t="shared" si="67"/>
        <v>4</v>
      </c>
      <c r="H133" s="78">
        <f t="shared" si="67"/>
        <v>5.2</v>
      </c>
      <c r="I133" s="78">
        <f t="shared" si="67"/>
        <v>5</v>
      </c>
      <c r="J133" s="78">
        <f t="shared" si="67"/>
        <v>0</v>
      </c>
    </row>
    <row r="134" ht="15.0" customHeight="1">
      <c r="A134" s="25" t="s">
        <v>771</v>
      </c>
      <c r="B134" s="128">
        <f t="shared" ref="B134:J134" si="68">($B221*B132*$B190)</f>
        <v>0.000651966</v>
      </c>
      <c r="C134" s="128">
        <f t="shared" si="68"/>
        <v>0.001327711</v>
      </c>
      <c r="D134" s="128">
        <f t="shared" si="68"/>
        <v>0.000790125</v>
      </c>
      <c r="E134" s="128">
        <f t="shared" si="68"/>
        <v>0</v>
      </c>
      <c r="F134" s="128">
        <f t="shared" si="68"/>
        <v>0.000226051</v>
      </c>
      <c r="G134" s="128">
        <f t="shared" si="68"/>
        <v>0.000152607</v>
      </c>
      <c r="H134" s="128">
        <f t="shared" si="68"/>
        <v>0.000199262</v>
      </c>
      <c r="I134" s="128">
        <f t="shared" si="68"/>
        <v>0.000194747</v>
      </c>
      <c r="J134" s="128">
        <f t="shared" si="68"/>
        <v>0</v>
      </c>
    </row>
    <row r="135" ht="15.0" customHeight="1">
      <c r="A135" s="47" t="s">
        <v>772</v>
      </c>
      <c r="B135" s="93">
        <f t="shared" ref="B135:J135" si="69">B132*$B221*$B190*$B192</f>
        <v>0.013691286</v>
      </c>
      <c r="C135" s="93">
        <f t="shared" si="69"/>
        <v>0.027881931</v>
      </c>
      <c r="D135" s="93">
        <f t="shared" si="69"/>
        <v>0.016592625</v>
      </c>
      <c r="E135" s="93">
        <f t="shared" si="69"/>
        <v>0</v>
      </c>
      <c r="F135" s="93">
        <f t="shared" si="69"/>
        <v>0.004747071</v>
      </c>
      <c r="G135" s="93">
        <f t="shared" si="69"/>
        <v>0.003204747</v>
      </c>
      <c r="H135" s="93">
        <f t="shared" si="69"/>
        <v>0.004184502</v>
      </c>
      <c r="I135" s="93">
        <f t="shared" si="69"/>
        <v>0.004089687</v>
      </c>
      <c r="J135" s="93">
        <f t="shared" si="69"/>
        <v>0</v>
      </c>
    </row>
    <row r="136" ht="15.0" customHeight="1">
      <c r="A136" s="25" t="s">
        <v>773</v>
      </c>
      <c r="B136" s="128">
        <f t="shared" ref="B136:J136" si="70">($B222*B132*$B190)</f>
        <v>0.0001301766</v>
      </c>
      <c r="C136" s="128">
        <f t="shared" si="70"/>
        <v>0.0002651011</v>
      </c>
      <c r="D136" s="128">
        <f t="shared" si="70"/>
        <v>0.0001577625</v>
      </c>
      <c r="E136" s="128">
        <f t="shared" si="70"/>
        <v>0</v>
      </c>
      <c r="F136" s="128">
        <f t="shared" si="70"/>
        <v>0.0000451351</v>
      </c>
      <c r="G136" s="128">
        <f t="shared" si="70"/>
        <v>0.0000304707</v>
      </c>
      <c r="H136" s="128">
        <f t="shared" si="70"/>
        <v>0.0000397862</v>
      </c>
      <c r="I136" s="128">
        <f t="shared" si="70"/>
        <v>0.0000388847</v>
      </c>
      <c r="J136" s="128">
        <f t="shared" si="70"/>
        <v>0</v>
      </c>
    </row>
    <row r="137" ht="15.0" customHeight="1">
      <c r="A137" s="47" t="s">
        <v>774</v>
      </c>
      <c r="B137" s="93">
        <f t="shared" ref="B137:J137" si="71">B132*$B222*$B190*$B193</f>
        <v>0.040354746</v>
      </c>
      <c r="C137" s="93">
        <f t="shared" si="71"/>
        <v>0.082181341</v>
      </c>
      <c r="D137" s="93">
        <f t="shared" si="71"/>
        <v>0.048906375</v>
      </c>
      <c r="E137" s="93">
        <f t="shared" si="71"/>
        <v>0</v>
      </c>
      <c r="F137" s="93">
        <f t="shared" si="71"/>
        <v>0.013991881</v>
      </c>
      <c r="G137" s="93">
        <f t="shared" si="71"/>
        <v>0.009445917</v>
      </c>
      <c r="H137" s="93">
        <f t="shared" si="71"/>
        <v>0.012333722</v>
      </c>
      <c r="I137" s="93">
        <f t="shared" si="71"/>
        <v>0.012054257</v>
      </c>
      <c r="J137" s="93">
        <f t="shared" si="71"/>
        <v>0</v>
      </c>
    </row>
    <row r="138" ht="12.75" customHeight="1">
      <c r="A138" s="120" t="s">
        <v>592</v>
      </c>
      <c r="B138" s="121">
        <f t="shared" ref="B138:J138" si="72">ROUND(B133+B135+B137,1)</f>
        <v>17</v>
      </c>
      <c r="C138" s="121">
        <f t="shared" si="72"/>
        <v>34.5</v>
      </c>
      <c r="D138" s="121">
        <f t="shared" si="72"/>
        <v>20.6</v>
      </c>
      <c r="E138" s="121">
        <f t="shared" si="72"/>
        <v>0</v>
      </c>
      <c r="F138" s="121">
        <f t="shared" si="72"/>
        <v>5.9</v>
      </c>
      <c r="G138" s="121">
        <f t="shared" si="72"/>
        <v>4</v>
      </c>
      <c r="H138" s="121">
        <f t="shared" si="72"/>
        <v>5.2</v>
      </c>
      <c r="I138" s="121">
        <f t="shared" si="72"/>
        <v>5</v>
      </c>
      <c r="J138" s="121">
        <f t="shared" si="72"/>
        <v>0</v>
      </c>
    </row>
    <row r="139" ht="12.75" customHeight="1">
      <c r="E139" s="25"/>
      <c r="F139" s="25"/>
    </row>
    <row r="140" ht="15.75" customHeight="1">
      <c r="A140" s="92" t="s">
        <v>593</v>
      </c>
      <c r="E140" s="93"/>
      <c r="F140" s="93"/>
    </row>
    <row r="141" ht="12.75" customHeight="1">
      <c r="A141" s="47"/>
      <c r="E141" s="78"/>
      <c r="F141" s="78"/>
      <c r="H141" s="25"/>
      <c r="I141" s="25"/>
      <c r="J141" s="25"/>
      <c r="K141" s="25"/>
      <c r="L141" s="25"/>
      <c r="M141" s="25"/>
      <c r="N141" s="25"/>
      <c r="O141" s="25"/>
      <c r="P141" s="25"/>
      <c r="Q141" s="25"/>
      <c r="R141" s="25"/>
      <c r="S141" s="25"/>
      <c r="T141" s="25"/>
      <c r="U141" s="25"/>
      <c r="V141" s="25"/>
      <c r="W141" s="25"/>
      <c r="X141" s="25"/>
      <c r="Y141" s="25"/>
      <c r="Z141" s="25"/>
    </row>
    <row r="142" ht="12.75" customHeight="1">
      <c r="A142" s="65" t="s">
        <v>195</v>
      </c>
      <c r="B142" s="71" t="s">
        <v>76</v>
      </c>
      <c r="C142" s="71" t="s">
        <v>77</v>
      </c>
      <c r="D142" s="71" t="s">
        <v>78</v>
      </c>
      <c r="E142" s="71" t="s">
        <v>79</v>
      </c>
      <c r="F142" s="71" t="s">
        <v>80</v>
      </c>
      <c r="G142" s="71" t="s">
        <v>81</v>
      </c>
      <c r="H142" s="71" t="s">
        <v>82</v>
      </c>
      <c r="I142" s="71" t="s">
        <v>83</v>
      </c>
      <c r="J142" s="71" t="s">
        <v>84</v>
      </c>
      <c r="K142" s="25"/>
      <c r="L142" s="25"/>
      <c r="M142" s="25"/>
      <c r="N142" s="25"/>
      <c r="O142" s="25"/>
      <c r="P142" s="25"/>
      <c r="Q142" s="25"/>
      <c r="R142" s="25"/>
      <c r="S142" s="25"/>
      <c r="T142" s="25"/>
      <c r="U142" s="25"/>
      <c r="V142" s="25"/>
      <c r="W142" s="25"/>
      <c r="X142" s="25"/>
      <c r="Y142" s="25"/>
      <c r="Z142" s="25"/>
    </row>
    <row r="143" ht="12.75" customHeight="1">
      <c r="A143" s="25" t="s">
        <v>594</v>
      </c>
      <c r="B143" s="97">
        <f t="shared" ref="B143:J143" si="73">B71</f>
        <v>1384037.068</v>
      </c>
      <c r="C143" s="97">
        <f t="shared" si="73"/>
        <v>2120179.024</v>
      </c>
      <c r="D143" s="97">
        <f t="shared" si="73"/>
        <v>2011923.125</v>
      </c>
      <c r="E143" s="97">
        <f t="shared" si="73"/>
        <v>398928.15</v>
      </c>
      <c r="F143" s="97">
        <f t="shared" si="73"/>
        <v>1210232.815</v>
      </c>
      <c r="G143" s="97">
        <f t="shared" si="73"/>
        <v>955679.85</v>
      </c>
      <c r="H143" s="97">
        <f t="shared" si="73"/>
        <v>21.568198</v>
      </c>
      <c r="I143" s="97">
        <f t="shared" si="73"/>
        <v>21.082668</v>
      </c>
      <c r="J143" s="97">
        <f t="shared" si="73"/>
        <v>0</v>
      </c>
    </row>
    <row r="144" ht="12.75" customHeight="1">
      <c r="A144" s="25" t="s">
        <v>566</v>
      </c>
      <c r="B144" s="73">
        <f t="shared" ref="B144:J144" si="74">ROUND(B143*$B188,1)</f>
        <v>4722.5</v>
      </c>
      <c r="C144" s="73">
        <f t="shared" si="74"/>
        <v>7234.3</v>
      </c>
      <c r="D144" s="73">
        <f t="shared" si="74"/>
        <v>6864.9</v>
      </c>
      <c r="E144" s="73">
        <f t="shared" si="74"/>
        <v>1361.2</v>
      </c>
      <c r="F144" s="73">
        <f t="shared" si="74"/>
        <v>4129.4</v>
      </c>
      <c r="G144" s="73">
        <f t="shared" si="74"/>
        <v>3260.9</v>
      </c>
      <c r="H144" s="73">
        <f t="shared" si="74"/>
        <v>0.1</v>
      </c>
      <c r="I144" s="73">
        <f t="shared" si="74"/>
        <v>0.1</v>
      </c>
      <c r="J144" s="73">
        <f t="shared" si="74"/>
        <v>0</v>
      </c>
    </row>
    <row r="145" ht="15.0" customHeight="1">
      <c r="A145" s="47" t="s">
        <v>775</v>
      </c>
      <c r="B145" s="78">
        <f t="shared" ref="B145:J145" si="75">ROUND(B143*$B228,1)</f>
        <v>563.2</v>
      </c>
      <c r="C145" s="78">
        <f t="shared" si="75"/>
        <v>862.7</v>
      </c>
      <c r="D145" s="78">
        <f t="shared" si="75"/>
        <v>818.7</v>
      </c>
      <c r="E145" s="78">
        <f t="shared" si="75"/>
        <v>162.3</v>
      </c>
      <c r="F145" s="78">
        <f t="shared" si="75"/>
        <v>492.5</v>
      </c>
      <c r="G145" s="78">
        <f t="shared" si="75"/>
        <v>388.9</v>
      </c>
      <c r="H145" s="78">
        <f t="shared" si="75"/>
        <v>0</v>
      </c>
      <c r="I145" s="78">
        <f t="shared" si="75"/>
        <v>0</v>
      </c>
      <c r="J145" s="78">
        <f t="shared" si="75"/>
        <v>0</v>
      </c>
    </row>
    <row r="146" ht="15.0" customHeight="1">
      <c r="A146" s="25" t="s">
        <v>776</v>
      </c>
      <c r="B146" s="112">
        <f t="shared" ref="B146:J146" si="76">($B230*B144*$B191)</f>
        <v>0.1640840931</v>
      </c>
      <c r="C146" s="112">
        <f t="shared" si="76"/>
        <v>0.2513570259</v>
      </c>
      <c r="D146" s="112">
        <f t="shared" si="76"/>
        <v>0.2385221579</v>
      </c>
      <c r="E146" s="112">
        <f t="shared" si="76"/>
        <v>0.04729513342</v>
      </c>
      <c r="F146" s="112">
        <f t="shared" si="76"/>
        <v>0.1434767293</v>
      </c>
      <c r="G146" s="112">
        <f t="shared" si="76"/>
        <v>0.113300544</v>
      </c>
      <c r="H146" s="112">
        <f t="shared" si="76"/>
        <v>0.000003474517589</v>
      </c>
      <c r="I146" s="112">
        <f t="shared" si="76"/>
        <v>0.000003474517589</v>
      </c>
      <c r="J146" s="112">
        <f t="shared" si="76"/>
        <v>0</v>
      </c>
    </row>
    <row r="147" ht="15.0" customHeight="1">
      <c r="A147" s="47" t="s">
        <v>777</v>
      </c>
      <c r="B147" s="126">
        <f t="shared" ref="B147:J147" si="77">B144*$B230*$B191*$B192</f>
        <v>3.445765956</v>
      </c>
      <c r="C147" s="126">
        <f t="shared" si="77"/>
        <v>5.278497544</v>
      </c>
      <c r="D147" s="126">
        <f t="shared" si="77"/>
        <v>5.008965317</v>
      </c>
      <c r="E147" s="126">
        <f t="shared" si="77"/>
        <v>0.9931978017</v>
      </c>
      <c r="F147" s="126">
        <f t="shared" si="77"/>
        <v>3.013011315</v>
      </c>
      <c r="G147" s="126">
        <f t="shared" si="77"/>
        <v>2.379311425</v>
      </c>
      <c r="H147" s="126">
        <f t="shared" si="77"/>
        <v>0.00007296486936</v>
      </c>
      <c r="I147" s="126">
        <f t="shared" si="77"/>
        <v>0.00007296486936</v>
      </c>
      <c r="J147" s="126">
        <f t="shared" si="77"/>
        <v>0</v>
      </c>
    </row>
    <row r="148" ht="15.0" customHeight="1">
      <c r="A148" s="25" t="s">
        <v>778</v>
      </c>
      <c r="B148" s="112">
        <f t="shared" ref="B148:J148" si="78">($B231*B144*$B191)</f>
        <v>0.03405923082</v>
      </c>
      <c r="C148" s="112">
        <f t="shared" si="78"/>
        <v>0.05217463071</v>
      </c>
      <c r="D148" s="112">
        <f t="shared" si="78"/>
        <v>0.04951047404</v>
      </c>
      <c r="E148" s="112">
        <f t="shared" si="78"/>
        <v>0.009817136049</v>
      </c>
      <c r="F148" s="112">
        <f t="shared" si="78"/>
        <v>0.02978172318</v>
      </c>
      <c r="G148" s="112">
        <f t="shared" si="78"/>
        <v>0.02351799805</v>
      </c>
      <c r="H148" s="112">
        <f t="shared" si="78"/>
        <v>0.0000007212118754</v>
      </c>
      <c r="I148" s="112">
        <f t="shared" si="78"/>
        <v>0.0000007212118754</v>
      </c>
      <c r="J148" s="112">
        <f t="shared" si="78"/>
        <v>0</v>
      </c>
    </row>
    <row r="149" ht="15.0" customHeight="1">
      <c r="A149" s="47" t="s">
        <v>779</v>
      </c>
      <c r="B149" s="119">
        <f t="shared" ref="B149:J149" si="79">B144*$B231*$B191*$B193</f>
        <v>10.55836155</v>
      </c>
      <c r="C149" s="119">
        <f t="shared" si="79"/>
        <v>16.17413552</v>
      </c>
      <c r="D149" s="119">
        <f t="shared" si="79"/>
        <v>15.34824695</v>
      </c>
      <c r="E149" s="119">
        <f t="shared" si="79"/>
        <v>3.043312175</v>
      </c>
      <c r="F149" s="119">
        <f t="shared" si="79"/>
        <v>9.232334187</v>
      </c>
      <c r="G149" s="119">
        <f t="shared" si="79"/>
        <v>7.290579394</v>
      </c>
      <c r="H149" s="119">
        <f t="shared" si="79"/>
        <v>0.0002235756814</v>
      </c>
      <c r="I149" s="119">
        <f t="shared" si="79"/>
        <v>0.0002235756814</v>
      </c>
      <c r="J149" s="119">
        <f t="shared" si="79"/>
        <v>0</v>
      </c>
    </row>
    <row r="150" ht="12.75" customHeight="1">
      <c r="A150" s="120" t="s">
        <v>600</v>
      </c>
      <c r="B150" s="121">
        <f t="shared" ref="B150:J150" si="80">ROUND(B145+B147+B149,1)</f>
        <v>577.2</v>
      </c>
      <c r="C150" s="121">
        <f t="shared" si="80"/>
        <v>884.2</v>
      </c>
      <c r="D150" s="121">
        <f t="shared" si="80"/>
        <v>839.1</v>
      </c>
      <c r="E150" s="121">
        <f t="shared" si="80"/>
        <v>166.3</v>
      </c>
      <c r="F150" s="121">
        <f t="shared" si="80"/>
        <v>504.7</v>
      </c>
      <c r="G150" s="121">
        <f t="shared" si="80"/>
        <v>398.6</v>
      </c>
      <c r="H150" s="121">
        <f t="shared" si="80"/>
        <v>0</v>
      </c>
      <c r="I150" s="121">
        <f t="shared" si="80"/>
        <v>0</v>
      </c>
      <c r="J150" s="121">
        <f t="shared" si="80"/>
        <v>0</v>
      </c>
    </row>
    <row r="151" ht="12.75" customHeight="1">
      <c r="E151" s="25"/>
      <c r="F151" s="25"/>
    </row>
    <row r="152" ht="15.75" customHeight="1">
      <c r="A152" s="92" t="s">
        <v>147</v>
      </c>
      <c r="E152" s="93"/>
      <c r="F152" s="93"/>
    </row>
    <row r="153" ht="12.75" customHeight="1">
      <c r="A153" s="47"/>
      <c r="E153" s="78"/>
      <c r="F153" s="78"/>
    </row>
    <row r="154" ht="12.75" customHeight="1">
      <c r="A154" s="65" t="s">
        <v>131</v>
      </c>
      <c r="B154" s="71" t="s">
        <v>76</v>
      </c>
      <c r="C154" s="71" t="s">
        <v>77</v>
      </c>
      <c r="D154" s="71" t="s">
        <v>78</v>
      </c>
      <c r="E154" s="71" t="s">
        <v>79</v>
      </c>
      <c r="F154" s="71" t="s">
        <v>80</v>
      </c>
      <c r="G154" s="71" t="s">
        <v>81</v>
      </c>
      <c r="H154" s="71" t="s">
        <v>82</v>
      </c>
      <c r="I154" s="71" t="s">
        <v>83</v>
      </c>
      <c r="J154" s="71" t="s">
        <v>84</v>
      </c>
    </row>
    <row r="155" ht="12.75" customHeight="1">
      <c r="A155" s="25" t="s">
        <v>148</v>
      </c>
      <c r="B155" s="97">
        <v>0.0</v>
      </c>
      <c r="C155" s="97">
        <v>0.0</v>
      </c>
      <c r="D155" s="97">
        <v>0.0</v>
      </c>
      <c r="E155" s="97">
        <v>0.0</v>
      </c>
      <c r="F155" s="97">
        <v>0.0</v>
      </c>
      <c r="G155" s="97">
        <v>0.0</v>
      </c>
      <c r="H155" s="97">
        <v>0.0</v>
      </c>
      <c r="I155" s="97">
        <v>0.0</v>
      </c>
      <c r="J155" s="97">
        <v>0.0</v>
      </c>
    </row>
    <row r="156" ht="12.75" customHeight="1">
      <c r="A156" s="25" t="s">
        <v>149</v>
      </c>
      <c r="B156" s="97">
        <v>0.0</v>
      </c>
      <c r="C156" s="97">
        <v>0.0</v>
      </c>
      <c r="D156" s="97">
        <v>0.0</v>
      </c>
      <c r="E156" s="97">
        <v>0.0</v>
      </c>
      <c r="F156" s="97">
        <v>0.0</v>
      </c>
      <c r="G156" s="97">
        <v>0.0</v>
      </c>
      <c r="H156" s="97">
        <v>0.0</v>
      </c>
      <c r="I156" s="97">
        <v>0.0</v>
      </c>
      <c r="J156" s="97">
        <v>0.0</v>
      </c>
    </row>
    <row r="157" ht="12.75" customHeight="1">
      <c r="A157" s="25" t="s">
        <v>150</v>
      </c>
      <c r="B157" s="97">
        <v>0.0</v>
      </c>
      <c r="C157" s="97">
        <v>0.0</v>
      </c>
      <c r="D157" s="97">
        <v>0.0</v>
      </c>
      <c r="E157" s="97">
        <v>0.0</v>
      </c>
      <c r="F157" s="97">
        <v>0.0</v>
      </c>
      <c r="G157" s="97">
        <v>0.0</v>
      </c>
      <c r="H157" s="97">
        <v>0.0</v>
      </c>
      <c r="I157" s="97">
        <v>0.0</v>
      </c>
      <c r="J157" s="97">
        <v>0.0</v>
      </c>
    </row>
    <row r="158" ht="15.0" customHeight="1">
      <c r="A158" s="25" t="s">
        <v>780</v>
      </c>
      <c r="B158" s="97">
        <v>0.0</v>
      </c>
      <c r="C158" s="97">
        <v>0.0</v>
      </c>
      <c r="D158" s="97">
        <v>0.0</v>
      </c>
      <c r="E158" s="97">
        <v>0.0</v>
      </c>
      <c r="F158" s="97">
        <v>0.0</v>
      </c>
      <c r="G158" s="97">
        <v>0.0</v>
      </c>
      <c r="H158" s="97">
        <v>0.0</v>
      </c>
      <c r="I158" s="97">
        <v>0.0</v>
      </c>
      <c r="J158" s="97">
        <v>0.0</v>
      </c>
    </row>
    <row r="159" ht="12.75" customHeight="1">
      <c r="A159" s="56" t="s">
        <v>152</v>
      </c>
      <c r="B159" s="97">
        <v>0.0</v>
      </c>
      <c r="C159" s="97">
        <v>0.0</v>
      </c>
      <c r="D159" s="97">
        <v>0.0</v>
      </c>
      <c r="E159" s="97">
        <v>0.0</v>
      </c>
      <c r="F159" s="97">
        <v>0.0</v>
      </c>
      <c r="G159" s="97">
        <v>0.0</v>
      </c>
      <c r="H159" s="97">
        <v>0.0</v>
      </c>
      <c r="I159" s="97">
        <v>0.0</v>
      </c>
      <c r="J159" s="97">
        <v>0.0</v>
      </c>
    </row>
    <row r="160" ht="12.75" customHeight="1">
      <c r="A160" s="56" t="s">
        <v>153</v>
      </c>
      <c r="B160" s="97">
        <v>0.0</v>
      </c>
      <c r="C160" s="97">
        <v>0.0</v>
      </c>
      <c r="D160" s="97">
        <v>0.0</v>
      </c>
      <c r="E160" s="97">
        <v>0.0</v>
      </c>
      <c r="F160" s="97">
        <v>0.0</v>
      </c>
      <c r="G160" s="97">
        <v>0.0</v>
      </c>
      <c r="H160" s="97">
        <v>0.0</v>
      </c>
      <c r="I160" s="97">
        <v>0.0</v>
      </c>
      <c r="J160" s="97">
        <v>0.0</v>
      </c>
    </row>
    <row r="161" ht="12.75" customHeight="1">
      <c r="A161" s="56" t="s">
        <v>154</v>
      </c>
      <c r="B161" s="97">
        <v>0.0</v>
      </c>
      <c r="C161" s="97">
        <v>0.0</v>
      </c>
      <c r="D161" s="97">
        <v>0.0</v>
      </c>
      <c r="E161" s="97">
        <v>0.0</v>
      </c>
      <c r="F161" s="97">
        <v>0.0</v>
      </c>
      <c r="G161" s="97">
        <v>0.0</v>
      </c>
      <c r="H161" s="97">
        <v>0.0</v>
      </c>
      <c r="I161" s="97">
        <v>0.0</v>
      </c>
      <c r="J161" s="97">
        <v>0.0</v>
      </c>
    </row>
    <row r="162" ht="12.75" customHeight="1">
      <c r="A162" s="25" t="s">
        <v>135</v>
      </c>
      <c r="B162" s="97">
        <f t="shared" ref="B162:J162" si="81">B102</f>
        <v>22.7</v>
      </c>
      <c r="C162" s="97">
        <f t="shared" si="81"/>
        <v>33.5</v>
      </c>
      <c r="D162" s="97">
        <f t="shared" si="81"/>
        <v>25.3</v>
      </c>
      <c r="E162" s="97">
        <f t="shared" si="81"/>
        <v>0</v>
      </c>
      <c r="F162" s="97">
        <f t="shared" si="81"/>
        <v>0</v>
      </c>
      <c r="G162" s="97">
        <f t="shared" si="81"/>
        <v>25.2</v>
      </c>
      <c r="H162" s="97">
        <f t="shared" si="81"/>
        <v>696.3</v>
      </c>
      <c r="I162" s="97">
        <f t="shared" si="81"/>
        <v>680.5</v>
      </c>
      <c r="J162" s="97">
        <f t="shared" si="81"/>
        <v>945.3</v>
      </c>
    </row>
    <row r="163" ht="12.75" customHeight="1">
      <c r="A163" s="25" t="s">
        <v>155</v>
      </c>
      <c r="B163" s="97">
        <f t="shared" ref="B163:J163" si="82">B114</f>
        <v>15.4</v>
      </c>
      <c r="C163" s="97">
        <f t="shared" si="82"/>
        <v>23.9</v>
      </c>
      <c r="D163" s="97">
        <f t="shared" si="82"/>
        <v>16.9</v>
      </c>
      <c r="E163" s="97">
        <f t="shared" si="82"/>
        <v>0</v>
      </c>
      <c r="F163" s="97">
        <f t="shared" si="82"/>
        <v>0</v>
      </c>
      <c r="G163" s="97">
        <f t="shared" si="82"/>
        <v>6.8</v>
      </c>
      <c r="H163" s="97">
        <f t="shared" si="82"/>
        <v>150.8</v>
      </c>
      <c r="I163" s="97">
        <f t="shared" si="82"/>
        <v>147.4</v>
      </c>
      <c r="J163" s="97">
        <f t="shared" si="82"/>
        <v>186.6</v>
      </c>
    </row>
    <row r="164" ht="12.75" customHeight="1">
      <c r="A164" s="25" t="s">
        <v>156</v>
      </c>
      <c r="B164" s="97">
        <f t="shared" ref="B164:G164" si="83">B126</f>
        <v>2.5</v>
      </c>
      <c r="C164" s="97">
        <f t="shared" si="83"/>
        <v>4.2</v>
      </c>
      <c r="D164" s="97">
        <f t="shared" si="83"/>
        <v>2.7</v>
      </c>
      <c r="E164" s="97">
        <f t="shared" si="83"/>
        <v>10.9</v>
      </c>
      <c r="F164" s="97">
        <f t="shared" si="83"/>
        <v>0</v>
      </c>
      <c r="G164" s="97">
        <f t="shared" si="83"/>
        <v>1.6</v>
      </c>
      <c r="H164" s="97">
        <v>0.1</v>
      </c>
      <c r="I164" s="97">
        <f t="shared" ref="I164:J164" si="84">I126</f>
        <v>58.7</v>
      </c>
      <c r="J164" s="97">
        <f t="shared" si="84"/>
        <v>55</v>
      </c>
    </row>
    <row r="165" ht="12.75" customHeight="1">
      <c r="A165" s="25" t="s">
        <v>157</v>
      </c>
      <c r="B165" s="97">
        <f t="shared" ref="B165:J165" si="85">B138</f>
        <v>17</v>
      </c>
      <c r="C165" s="97">
        <f t="shared" si="85"/>
        <v>34.5</v>
      </c>
      <c r="D165" s="97">
        <f t="shared" si="85"/>
        <v>20.6</v>
      </c>
      <c r="E165" s="97">
        <f t="shared" si="85"/>
        <v>0</v>
      </c>
      <c r="F165" s="97">
        <f t="shared" si="85"/>
        <v>5.9</v>
      </c>
      <c r="G165" s="97">
        <f t="shared" si="85"/>
        <v>4</v>
      </c>
      <c r="H165" s="97">
        <f t="shared" si="85"/>
        <v>5.2</v>
      </c>
      <c r="I165" s="97">
        <f t="shared" si="85"/>
        <v>5</v>
      </c>
      <c r="J165" s="97">
        <f t="shared" si="85"/>
        <v>0</v>
      </c>
    </row>
    <row r="166" ht="12.75" customHeight="1">
      <c r="A166" s="25" t="s">
        <v>158</v>
      </c>
      <c r="B166" s="97">
        <f t="shared" ref="B166:J166" si="86">B150</f>
        <v>577.2</v>
      </c>
      <c r="C166" s="97">
        <f t="shared" si="86"/>
        <v>884.2</v>
      </c>
      <c r="D166" s="97">
        <f t="shared" si="86"/>
        <v>839.1</v>
      </c>
      <c r="E166" s="97">
        <f t="shared" si="86"/>
        <v>166.3</v>
      </c>
      <c r="F166" s="97">
        <f t="shared" si="86"/>
        <v>504.7</v>
      </c>
      <c r="G166" s="97">
        <f t="shared" si="86"/>
        <v>398.6</v>
      </c>
      <c r="H166" s="97">
        <f t="shared" si="86"/>
        <v>0</v>
      </c>
      <c r="I166" s="97">
        <f t="shared" si="86"/>
        <v>0</v>
      </c>
      <c r="J166" s="97">
        <f t="shared" si="86"/>
        <v>0</v>
      </c>
    </row>
    <row r="167" ht="12.75" customHeight="1">
      <c r="A167" s="76" t="s">
        <v>781</v>
      </c>
      <c r="B167" s="98">
        <f t="shared" ref="B167:J167" si="87">SUM(B155:B166)</f>
        <v>634.8</v>
      </c>
      <c r="C167" s="98">
        <f t="shared" si="87"/>
        <v>980.3</v>
      </c>
      <c r="D167" s="98">
        <f t="shared" si="87"/>
        <v>904.6</v>
      </c>
      <c r="E167" s="98">
        <f t="shared" si="87"/>
        <v>177.2</v>
      </c>
      <c r="F167" s="98">
        <f t="shared" si="87"/>
        <v>510.6</v>
      </c>
      <c r="G167" s="98">
        <f t="shared" si="87"/>
        <v>436.2</v>
      </c>
      <c r="H167" s="98">
        <f t="shared" si="87"/>
        <v>852.4</v>
      </c>
      <c r="I167" s="98">
        <f t="shared" si="87"/>
        <v>891.6</v>
      </c>
      <c r="J167" s="98">
        <f t="shared" si="87"/>
        <v>1186.9</v>
      </c>
    </row>
    <row r="168" ht="12.75" customHeight="1">
      <c r="E168" s="25"/>
      <c r="F168" s="25"/>
    </row>
    <row r="169" ht="12.75" customHeight="1">
      <c r="A169" s="65" t="s">
        <v>603</v>
      </c>
      <c r="B169" s="71" t="s">
        <v>76</v>
      </c>
      <c r="C169" s="71" t="s">
        <v>77</v>
      </c>
      <c r="D169" s="71" t="s">
        <v>78</v>
      </c>
      <c r="E169" s="71" t="s">
        <v>79</v>
      </c>
      <c r="F169" s="71" t="s">
        <v>80</v>
      </c>
      <c r="G169" s="71" t="s">
        <v>81</v>
      </c>
      <c r="H169" s="71" t="s">
        <v>82</v>
      </c>
      <c r="I169" s="71" t="s">
        <v>83</v>
      </c>
      <c r="J169" s="71" t="s">
        <v>84</v>
      </c>
    </row>
    <row r="170" ht="12.75" customHeight="1">
      <c r="A170" s="25" t="s">
        <v>148</v>
      </c>
      <c r="B170" s="79">
        <v>0.0</v>
      </c>
      <c r="C170" s="79">
        <v>0.0</v>
      </c>
      <c r="D170" s="79">
        <v>0.0</v>
      </c>
      <c r="E170" s="79">
        <v>0.0</v>
      </c>
      <c r="F170" s="79">
        <v>0.0</v>
      </c>
      <c r="G170" s="79">
        <v>0.0</v>
      </c>
      <c r="H170" s="79">
        <v>0.0</v>
      </c>
      <c r="I170" s="79">
        <v>0.0</v>
      </c>
      <c r="J170" s="79">
        <v>0.0</v>
      </c>
    </row>
    <row r="171" ht="12.75" customHeight="1">
      <c r="A171" s="25" t="s">
        <v>149</v>
      </c>
      <c r="B171" s="79">
        <v>0.0</v>
      </c>
      <c r="C171" s="79">
        <v>0.0</v>
      </c>
      <c r="D171" s="79">
        <v>0.0</v>
      </c>
      <c r="E171" s="79">
        <v>0.0</v>
      </c>
      <c r="F171" s="79">
        <v>0.0</v>
      </c>
      <c r="G171" s="79">
        <v>0.0</v>
      </c>
      <c r="H171" s="79">
        <v>0.0</v>
      </c>
      <c r="I171" s="79">
        <v>0.0</v>
      </c>
      <c r="J171" s="79">
        <v>0.0</v>
      </c>
    </row>
    <row r="172" ht="12.75" customHeight="1">
      <c r="A172" s="25" t="s">
        <v>150</v>
      </c>
      <c r="B172" s="79">
        <v>0.0</v>
      </c>
      <c r="C172" s="79">
        <v>0.0</v>
      </c>
      <c r="D172" s="79">
        <v>0.0</v>
      </c>
      <c r="E172" s="79">
        <v>0.0</v>
      </c>
      <c r="F172" s="79">
        <v>0.0</v>
      </c>
      <c r="G172" s="79">
        <v>0.0</v>
      </c>
      <c r="H172" s="79">
        <v>0.0</v>
      </c>
      <c r="I172" s="79">
        <v>0.0</v>
      </c>
      <c r="J172" s="79">
        <v>0.0</v>
      </c>
    </row>
    <row r="173" ht="15.0" customHeight="1">
      <c r="A173" s="25" t="s">
        <v>782</v>
      </c>
      <c r="B173" s="79">
        <v>0.0</v>
      </c>
      <c r="C173" s="79">
        <v>0.0</v>
      </c>
      <c r="D173" s="79">
        <v>0.0</v>
      </c>
      <c r="E173" s="79">
        <v>0.0</v>
      </c>
      <c r="F173" s="79">
        <v>0.0</v>
      </c>
      <c r="G173" s="79">
        <v>0.0</v>
      </c>
      <c r="H173" s="79">
        <v>0.0</v>
      </c>
      <c r="I173" s="79">
        <v>0.0</v>
      </c>
      <c r="J173" s="79">
        <v>0.0</v>
      </c>
    </row>
    <row r="174" ht="12.75" customHeight="1">
      <c r="A174" s="56" t="s">
        <v>152</v>
      </c>
      <c r="B174" s="79">
        <v>0.0</v>
      </c>
      <c r="C174" s="79">
        <v>0.0</v>
      </c>
      <c r="D174" s="79">
        <v>0.0</v>
      </c>
      <c r="E174" s="79">
        <v>0.0</v>
      </c>
      <c r="F174" s="79">
        <v>0.0</v>
      </c>
      <c r="G174" s="79">
        <v>0.0</v>
      </c>
      <c r="H174" s="79">
        <v>0.0</v>
      </c>
      <c r="I174" s="79">
        <v>0.0</v>
      </c>
      <c r="J174" s="79">
        <v>0.0</v>
      </c>
    </row>
    <row r="175" ht="12.75" customHeight="1">
      <c r="A175" s="56" t="s">
        <v>153</v>
      </c>
      <c r="B175" s="79">
        <v>0.0</v>
      </c>
      <c r="C175" s="79">
        <v>0.0</v>
      </c>
      <c r="D175" s="79">
        <v>0.0</v>
      </c>
      <c r="E175" s="79">
        <v>0.0</v>
      </c>
      <c r="F175" s="79">
        <v>0.0</v>
      </c>
      <c r="G175" s="79">
        <v>0.0</v>
      </c>
      <c r="H175" s="79">
        <v>0.0</v>
      </c>
      <c r="I175" s="79">
        <v>0.0</v>
      </c>
      <c r="J175" s="79">
        <v>0.0</v>
      </c>
    </row>
    <row r="176" ht="12.75" customHeight="1">
      <c r="A176" s="56" t="s">
        <v>154</v>
      </c>
      <c r="B176" s="79">
        <v>0.0</v>
      </c>
      <c r="C176" s="79">
        <v>0.0</v>
      </c>
      <c r="D176" s="79">
        <v>0.0</v>
      </c>
      <c r="E176" s="79">
        <v>0.0</v>
      </c>
      <c r="F176" s="79">
        <v>0.0</v>
      </c>
      <c r="G176" s="79">
        <v>0.0</v>
      </c>
      <c r="H176" s="79">
        <v>0.0</v>
      </c>
      <c r="I176" s="79">
        <v>0.0</v>
      </c>
      <c r="J176" s="79">
        <v>0.0</v>
      </c>
    </row>
    <row r="177" ht="12.75" customHeight="1">
      <c r="A177" s="25" t="s">
        <v>135</v>
      </c>
      <c r="B177" s="79">
        <f t="shared" ref="B177:J177" si="88">B162/B167</f>
        <v>0.03575929427</v>
      </c>
      <c r="C177" s="79">
        <f t="shared" si="88"/>
        <v>0.03417321228</v>
      </c>
      <c r="D177" s="79">
        <f t="shared" si="88"/>
        <v>0.02796816272</v>
      </c>
      <c r="E177" s="79">
        <f t="shared" si="88"/>
        <v>0</v>
      </c>
      <c r="F177" s="79">
        <f t="shared" si="88"/>
        <v>0</v>
      </c>
      <c r="G177" s="79">
        <f t="shared" si="88"/>
        <v>0.05777166437</v>
      </c>
      <c r="H177" s="79">
        <f t="shared" si="88"/>
        <v>0.8168700141</v>
      </c>
      <c r="I177" s="79">
        <f t="shared" si="88"/>
        <v>0.7632346344</v>
      </c>
      <c r="J177" s="79">
        <f t="shared" si="88"/>
        <v>0.7964445193</v>
      </c>
    </row>
    <row r="178" ht="12.75" customHeight="1">
      <c r="A178" s="25" t="s">
        <v>155</v>
      </c>
      <c r="B178" s="79">
        <f t="shared" ref="B178:J178" si="89">B163/B167</f>
        <v>0.02425960933</v>
      </c>
      <c r="C178" s="79">
        <f t="shared" si="89"/>
        <v>0.02438029175</v>
      </c>
      <c r="D178" s="79">
        <f t="shared" si="89"/>
        <v>0.01868229052</v>
      </c>
      <c r="E178" s="79">
        <f t="shared" si="89"/>
        <v>0</v>
      </c>
      <c r="F178" s="79">
        <f t="shared" si="89"/>
        <v>0</v>
      </c>
      <c r="G178" s="79">
        <f t="shared" si="89"/>
        <v>0.01558917928</v>
      </c>
      <c r="H178" s="79">
        <f t="shared" si="89"/>
        <v>0.1769122478</v>
      </c>
      <c r="I178" s="79">
        <f t="shared" si="89"/>
        <v>0.1653207716</v>
      </c>
      <c r="J178" s="79">
        <f t="shared" si="89"/>
        <v>0.1572162777</v>
      </c>
    </row>
    <row r="179" ht="12.75" customHeight="1">
      <c r="A179" s="25" t="s">
        <v>156</v>
      </c>
      <c r="B179" s="79">
        <f t="shared" ref="B179:J179" si="90">B164/B167</f>
        <v>0.003938248267</v>
      </c>
      <c r="C179" s="79">
        <f t="shared" si="90"/>
        <v>0.004284402734</v>
      </c>
      <c r="D179" s="79">
        <f t="shared" si="90"/>
        <v>0.002984744639</v>
      </c>
      <c r="E179" s="79">
        <f t="shared" si="90"/>
        <v>0.06151241535</v>
      </c>
      <c r="F179" s="79">
        <f t="shared" si="90"/>
        <v>0</v>
      </c>
      <c r="G179" s="79">
        <f t="shared" si="90"/>
        <v>0.003668042182</v>
      </c>
      <c r="H179" s="79">
        <f t="shared" si="90"/>
        <v>0.0001173158142</v>
      </c>
      <c r="I179" s="79">
        <f t="shared" si="90"/>
        <v>0.06583669807</v>
      </c>
      <c r="J179" s="79">
        <f t="shared" si="90"/>
        <v>0.04633920297</v>
      </c>
    </row>
    <row r="180" ht="12.75" customHeight="1">
      <c r="A180" s="25" t="s">
        <v>157</v>
      </c>
      <c r="B180" s="79">
        <f t="shared" ref="B180:J180" si="91">B165/B167</f>
        <v>0.02678008822</v>
      </c>
      <c r="C180" s="79">
        <f t="shared" si="91"/>
        <v>0.03519330817</v>
      </c>
      <c r="D180" s="79">
        <f t="shared" si="91"/>
        <v>0.02277249613</v>
      </c>
      <c r="E180" s="79">
        <f t="shared" si="91"/>
        <v>0</v>
      </c>
      <c r="F180" s="79">
        <f t="shared" si="91"/>
        <v>0.01155503329</v>
      </c>
      <c r="G180" s="79">
        <f t="shared" si="91"/>
        <v>0.009170105456</v>
      </c>
      <c r="H180" s="79">
        <f t="shared" si="91"/>
        <v>0.006100422337</v>
      </c>
      <c r="I180" s="79">
        <f t="shared" si="91"/>
        <v>0.005607895917</v>
      </c>
      <c r="J180" s="79">
        <f t="shared" si="91"/>
        <v>0</v>
      </c>
    </row>
    <row r="181" ht="12.75" customHeight="1">
      <c r="A181" s="25" t="s">
        <v>158</v>
      </c>
      <c r="B181" s="79">
        <f t="shared" ref="B181:J181" si="92">B166/B167</f>
        <v>0.9092627599</v>
      </c>
      <c r="C181" s="79">
        <f t="shared" si="92"/>
        <v>0.9019687851</v>
      </c>
      <c r="D181" s="79">
        <f t="shared" si="92"/>
        <v>0.927592306</v>
      </c>
      <c r="E181" s="79">
        <f t="shared" si="92"/>
        <v>0.9384875847</v>
      </c>
      <c r="F181" s="79">
        <f t="shared" si="92"/>
        <v>0.9884449667</v>
      </c>
      <c r="G181" s="79">
        <f t="shared" si="92"/>
        <v>0.9138010087</v>
      </c>
      <c r="H181" s="79">
        <f t="shared" si="92"/>
        <v>0</v>
      </c>
      <c r="I181" s="79">
        <f t="shared" si="92"/>
        <v>0</v>
      </c>
      <c r="J181" s="79">
        <f t="shared" si="92"/>
        <v>0</v>
      </c>
    </row>
    <row r="182" ht="12.75" customHeight="1">
      <c r="A182" s="245" t="s">
        <v>605</v>
      </c>
      <c r="B182" s="281">
        <f t="shared" ref="B182:J182" si="93">SUM(B170:B181)</f>
        <v>1</v>
      </c>
      <c r="C182" s="281">
        <f t="shared" si="93"/>
        <v>1</v>
      </c>
      <c r="D182" s="281">
        <f t="shared" si="93"/>
        <v>1</v>
      </c>
      <c r="E182" s="281">
        <f t="shared" si="93"/>
        <v>1</v>
      </c>
      <c r="F182" s="281">
        <f t="shared" si="93"/>
        <v>1</v>
      </c>
      <c r="G182" s="281">
        <f t="shared" si="93"/>
        <v>1</v>
      </c>
      <c r="H182" s="281">
        <f t="shared" si="93"/>
        <v>1</v>
      </c>
      <c r="I182" s="281">
        <f t="shared" si="93"/>
        <v>1</v>
      </c>
      <c r="J182" s="281">
        <f t="shared" si="93"/>
        <v>1</v>
      </c>
    </row>
    <row r="183" ht="12.75" customHeight="1">
      <c r="J183" s="25"/>
    </row>
    <row r="184" ht="12.75" customHeight="1">
      <c r="J184" s="25"/>
    </row>
    <row r="185" ht="15.75" customHeight="1">
      <c r="A185" s="251" t="s">
        <v>606</v>
      </c>
      <c r="B185" s="86"/>
      <c r="J185" s="25"/>
    </row>
    <row r="186" ht="12.75" customHeight="1">
      <c r="A186" s="65" t="s">
        <v>252</v>
      </c>
      <c r="J186" s="25"/>
    </row>
    <row r="187" ht="12.75" customHeight="1">
      <c r="A187" s="113" t="s">
        <v>607</v>
      </c>
      <c r="B187" s="252">
        <v>0.001</v>
      </c>
      <c r="J187" s="25"/>
    </row>
    <row r="188" ht="12.75" customHeight="1">
      <c r="A188" s="113" t="s">
        <v>608</v>
      </c>
      <c r="B188" s="253">
        <f>3412.1/1000000</f>
        <v>0.0034121</v>
      </c>
      <c r="J188" s="25"/>
    </row>
    <row r="189" ht="12.75" customHeight="1">
      <c r="A189" s="113" t="s">
        <v>465</v>
      </c>
      <c r="B189" s="25">
        <v>0.001</v>
      </c>
      <c r="J189" s="25"/>
    </row>
    <row r="190" ht="15.0" customHeight="1">
      <c r="A190" s="113" t="s">
        <v>783</v>
      </c>
      <c r="B190" s="114">
        <v>1.0E-6</v>
      </c>
      <c r="J190" s="25"/>
    </row>
    <row r="191" ht="12.75" customHeight="1">
      <c r="A191" s="113" t="s">
        <v>610</v>
      </c>
      <c r="B191" s="254">
        <f>1/2204.6226</f>
        <v>0.0004535923745</v>
      </c>
      <c r="J191" s="25"/>
    </row>
    <row r="192" ht="15.0" customHeight="1">
      <c r="A192" s="143" t="s">
        <v>784</v>
      </c>
      <c r="B192" s="61">
        <v>21.0</v>
      </c>
      <c r="J192" s="25"/>
    </row>
    <row r="193" ht="15.0" customHeight="1">
      <c r="A193" s="143" t="s">
        <v>785</v>
      </c>
      <c r="B193" s="61">
        <v>310.0</v>
      </c>
      <c r="J193" s="25"/>
    </row>
    <row r="194" ht="12.75" customHeight="1">
      <c r="J194" s="25"/>
    </row>
    <row r="195" ht="12.75" customHeight="1">
      <c r="A195" s="65" t="s">
        <v>613</v>
      </c>
      <c r="J195" s="25"/>
    </row>
    <row r="196" ht="15.0" customHeight="1">
      <c r="A196" s="47" t="s">
        <v>786</v>
      </c>
      <c r="B196" s="149">
        <f>($B188*$B199*$B200*$B201*$B189)</f>
        <v>0.0001800095027</v>
      </c>
      <c r="J196" s="25"/>
    </row>
    <row r="197" ht="15.0" customHeight="1">
      <c r="A197" s="143" t="s">
        <v>787</v>
      </c>
      <c r="B197" s="146">
        <v>0.95</v>
      </c>
      <c r="J197" s="25"/>
    </row>
    <row r="198" ht="15.0" customHeight="1">
      <c r="A198" s="143" t="s">
        <v>788</v>
      </c>
      <c r="B198" s="145">
        <v>0.095</v>
      </c>
      <c r="J198" s="25"/>
    </row>
    <row r="199" ht="12.75" customHeight="1">
      <c r="A199" s="143" t="s">
        <v>262</v>
      </c>
      <c r="B199" s="61">
        <v>14.47</v>
      </c>
      <c r="J199" s="25"/>
    </row>
    <row r="200" ht="12.75" customHeight="1">
      <c r="A200" s="143" t="s">
        <v>263</v>
      </c>
      <c r="B200" s="61">
        <v>0.995</v>
      </c>
      <c r="J200" s="25"/>
    </row>
    <row r="201" ht="15.0" customHeight="1">
      <c r="A201" s="143" t="s">
        <v>789</v>
      </c>
      <c r="B201" s="145">
        <f>((12.011+32)/12.011)</f>
        <v>3.664224461</v>
      </c>
      <c r="J201" s="25"/>
    </row>
    <row r="202" ht="12.75" customHeight="1">
      <c r="J202" s="25"/>
    </row>
    <row r="203" ht="12.75" customHeight="1">
      <c r="A203" s="65" t="s">
        <v>618</v>
      </c>
      <c r="J203" s="25"/>
    </row>
    <row r="204" ht="15.0" customHeight="1">
      <c r="A204" s="47" t="s">
        <v>790</v>
      </c>
      <c r="B204" s="149">
        <f>($B188*$B207*$B208*$B209*$B189)</f>
        <v>0.0003155068919</v>
      </c>
      <c r="J204" s="25"/>
    </row>
    <row r="205" ht="15.0" customHeight="1">
      <c r="A205" s="143" t="s">
        <v>791</v>
      </c>
      <c r="B205" s="146">
        <v>1.0</v>
      </c>
      <c r="J205" s="25"/>
    </row>
    <row r="206" ht="15.0" customHeight="1">
      <c r="A206" s="143" t="s">
        <v>792</v>
      </c>
      <c r="B206" s="146">
        <v>1.4</v>
      </c>
      <c r="J206" s="25"/>
    </row>
    <row r="207" ht="12.75" customHeight="1">
      <c r="A207" s="143" t="s">
        <v>262</v>
      </c>
      <c r="B207" s="61">
        <v>25.49</v>
      </c>
      <c r="J207" s="25"/>
    </row>
    <row r="208" ht="12.75" customHeight="1">
      <c r="A208" s="143" t="s">
        <v>263</v>
      </c>
      <c r="B208" s="61">
        <v>0.99</v>
      </c>
      <c r="J208" s="25"/>
    </row>
    <row r="209" ht="15.0" customHeight="1">
      <c r="A209" s="143" t="s">
        <v>793</v>
      </c>
      <c r="B209" s="145">
        <f>((12.011+32)/12.011)</f>
        <v>3.664224461</v>
      </c>
      <c r="J209" s="25"/>
    </row>
    <row r="210" ht="12.75" customHeight="1">
      <c r="J210" s="25"/>
    </row>
    <row r="211" ht="12.75" customHeight="1">
      <c r="A211" s="65" t="s">
        <v>623</v>
      </c>
      <c r="J211" s="25"/>
    </row>
    <row r="212" ht="15.0" customHeight="1">
      <c r="A212" s="47" t="s">
        <v>794</v>
      </c>
      <c r="B212" s="149">
        <f>($B188*$B215*$B216*$B217*$B189)</f>
        <v>0.0002469345819</v>
      </c>
      <c r="J212" s="25"/>
    </row>
    <row r="213" ht="15.0" customHeight="1">
      <c r="A213" s="143" t="s">
        <v>795</v>
      </c>
      <c r="B213" s="146">
        <v>3.01</v>
      </c>
      <c r="J213" s="25"/>
    </row>
    <row r="214" ht="15.0" customHeight="1">
      <c r="A214" s="143" t="s">
        <v>796</v>
      </c>
      <c r="B214" s="145">
        <v>0.601</v>
      </c>
      <c r="J214" s="25"/>
    </row>
    <row r="215" ht="12.75" customHeight="1">
      <c r="A215" s="143" t="s">
        <v>262</v>
      </c>
      <c r="B215" s="61">
        <v>19.95</v>
      </c>
      <c r="J215" s="25"/>
    </row>
    <row r="216" ht="12.75" customHeight="1">
      <c r="A216" s="143" t="s">
        <v>263</v>
      </c>
      <c r="B216" s="61">
        <v>0.99</v>
      </c>
      <c r="J216" s="25"/>
    </row>
    <row r="217" ht="15.0" customHeight="1">
      <c r="A217" s="143" t="s">
        <v>797</v>
      </c>
      <c r="B217" s="145">
        <f>((12.011+32)/12.011)</f>
        <v>3.664224461</v>
      </c>
      <c r="J217" s="25"/>
    </row>
    <row r="218" ht="12.75" customHeight="1">
      <c r="J218" s="25"/>
    </row>
    <row r="219" ht="12.75" customHeight="1">
      <c r="A219" s="65" t="s">
        <v>628</v>
      </c>
      <c r="J219" s="25"/>
    </row>
    <row r="220" ht="15.0" customHeight="1">
      <c r="A220" s="47" t="s">
        <v>798</v>
      </c>
      <c r="B220" s="149">
        <f>($B188*$B223*$B224*$B225*$B189)</f>
        <v>0.0002659961988</v>
      </c>
      <c r="J220" s="25"/>
    </row>
    <row r="221" ht="15.0" customHeight="1">
      <c r="A221" s="143" t="s">
        <v>799</v>
      </c>
      <c r="B221" s="146">
        <v>3.01</v>
      </c>
      <c r="J221" s="25"/>
    </row>
    <row r="222" ht="15.0" customHeight="1">
      <c r="A222" s="143" t="s">
        <v>800</v>
      </c>
      <c r="B222" s="145">
        <v>0.601</v>
      </c>
      <c r="J222" s="25"/>
    </row>
    <row r="223" ht="12.75" customHeight="1">
      <c r="A223" s="143" t="s">
        <v>262</v>
      </c>
      <c r="B223" s="61">
        <v>21.49</v>
      </c>
      <c r="J223" s="25"/>
    </row>
    <row r="224" ht="12.75" customHeight="1">
      <c r="A224" s="143" t="s">
        <v>263</v>
      </c>
      <c r="B224" s="61">
        <v>0.99</v>
      </c>
      <c r="J224" s="25"/>
    </row>
    <row r="225" ht="15.0" customHeight="1">
      <c r="A225" s="143" t="s">
        <v>801</v>
      </c>
      <c r="B225" s="145">
        <f>((12.011+32)/12.011)</f>
        <v>3.664224461</v>
      </c>
      <c r="J225" s="25"/>
    </row>
    <row r="226" ht="12.75" customHeight="1">
      <c r="J226" s="25"/>
    </row>
    <row r="227" ht="12.75" customHeight="1">
      <c r="A227" s="255" t="s">
        <v>633</v>
      </c>
      <c r="J227" s="25"/>
    </row>
    <row r="228" ht="15.0" customHeight="1">
      <c r="A228" s="47" t="s">
        <v>802</v>
      </c>
      <c r="B228" s="144">
        <f>(B187*B229*B191)</f>
        <v>0.0004069222551</v>
      </c>
      <c r="J228" s="25"/>
    </row>
    <row r="229" ht="15.0" customHeight="1">
      <c r="A229" s="143" t="s">
        <v>803</v>
      </c>
      <c r="B229" s="61">
        <v>897.11</v>
      </c>
      <c r="J229" s="25"/>
    </row>
    <row r="230" ht="15.0" customHeight="1">
      <c r="A230" s="143" t="s">
        <v>804</v>
      </c>
      <c r="B230" s="224">
        <v>0.0766</v>
      </c>
      <c r="J230" s="25"/>
    </row>
    <row r="231" ht="15.0" customHeight="1">
      <c r="A231" s="143" t="s">
        <v>805</v>
      </c>
      <c r="B231" s="224">
        <v>0.0159</v>
      </c>
      <c r="J231" s="25"/>
    </row>
    <row r="232" ht="12.75" customHeight="1">
      <c r="J232" s="25"/>
    </row>
    <row r="233" ht="12.75" customHeight="1">
      <c r="J233" s="25"/>
    </row>
    <row r="234" ht="12.75" customHeight="1">
      <c r="J234" s="25"/>
    </row>
    <row r="235" ht="12.75" customHeight="1">
      <c r="J235" s="25"/>
    </row>
    <row r="236" ht="12.75" customHeight="1">
      <c r="J236" s="25"/>
    </row>
    <row r="237" ht="12.75" customHeight="1">
      <c r="J237" s="25"/>
    </row>
    <row r="238" ht="12.75" customHeight="1">
      <c r="J238" s="25"/>
    </row>
    <row r="239" ht="12.75" customHeight="1">
      <c r="J239" s="25"/>
    </row>
    <row r="240" ht="12.75" customHeight="1">
      <c r="J240" s="25"/>
    </row>
    <row r="241" ht="12.75" customHeight="1">
      <c r="J241" s="25"/>
    </row>
    <row r="242" ht="12.75" customHeight="1">
      <c r="J242" s="25"/>
    </row>
    <row r="243" ht="12.75" customHeight="1">
      <c r="J243" s="25"/>
    </row>
    <row r="244" ht="12.75" customHeight="1">
      <c r="J244" s="25"/>
    </row>
    <row r="245" ht="12.75" customHeight="1">
      <c r="J245" s="25"/>
    </row>
    <row r="246" ht="12.75" customHeight="1">
      <c r="J246" s="25"/>
    </row>
    <row r="247" ht="12.75" customHeight="1">
      <c r="J247" s="25"/>
    </row>
    <row r="248" ht="12.75" customHeight="1">
      <c r="J248" s="25"/>
    </row>
    <row r="249" ht="12.75" customHeight="1">
      <c r="J249" s="25"/>
    </row>
    <row r="250" ht="12.75" customHeight="1">
      <c r="J250" s="25"/>
    </row>
    <row r="251" ht="12.75" customHeight="1">
      <c r="J251" s="25"/>
    </row>
    <row r="252" ht="12.75" customHeight="1">
      <c r="J252" s="25"/>
    </row>
    <row r="253" ht="12.75" customHeight="1">
      <c r="J253" s="25"/>
    </row>
    <row r="254" ht="12.75" customHeight="1">
      <c r="J254" s="25"/>
    </row>
    <row r="255" ht="12.75" customHeight="1">
      <c r="J255" s="25"/>
    </row>
    <row r="256" ht="12.75" customHeight="1">
      <c r="J256" s="25"/>
    </row>
    <row r="257" ht="12.75" customHeight="1">
      <c r="J257" s="25"/>
    </row>
    <row r="258" ht="12.75" customHeight="1">
      <c r="J258" s="25"/>
    </row>
    <row r="259" ht="12.75" customHeight="1">
      <c r="J259" s="25"/>
    </row>
    <row r="260" ht="12.75" customHeight="1">
      <c r="J260" s="25"/>
    </row>
    <row r="261" ht="12.75" customHeight="1">
      <c r="J261" s="25"/>
    </row>
    <row r="262" ht="12.75" customHeight="1">
      <c r="J262" s="25"/>
    </row>
    <row r="263" ht="12.75" customHeight="1">
      <c r="J263" s="25"/>
    </row>
    <row r="264" ht="12.75" customHeight="1">
      <c r="J264" s="25"/>
    </row>
    <row r="265" ht="12.75" customHeight="1">
      <c r="J265" s="25"/>
    </row>
    <row r="266" ht="12.75" customHeight="1">
      <c r="J266" s="25"/>
    </row>
    <row r="267" ht="12.75" customHeight="1">
      <c r="J267" s="25"/>
    </row>
    <row r="268" ht="12.75" customHeight="1">
      <c r="J268" s="25"/>
    </row>
    <row r="269" ht="12.75" customHeight="1">
      <c r="J269" s="25"/>
    </row>
    <row r="270" ht="12.75" customHeight="1">
      <c r="J270" s="25"/>
    </row>
    <row r="271" ht="12.75" customHeight="1">
      <c r="J271" s="25"/>
    </row>
    <row r="272" ht="12.75" customHeight="1">
      <c r="J272" s="25"/>
    </row>
    <row r="273" ht="12.75" customHeight="1">
      <c r="J273" s="25"/>
    </row>
    <row r="274" ht="12.75" customHeight="1">
      <c r="J274" s="25"/>
    </row>
    <row r="275" ht="12.75" customHeight="1">
      <c r="J275" s="25"/>
    </row>
    <row r="276" ht="12.75" customHeight="1">
      <c r="J276" s="25"/>
    </row>
    <row r="277" ht="12.75" customHeight="1">
      <c r="J277" s="25"/>
    </row>
    <row r="278" ht="12.75" customHeight="1">
      <c r="J278" s="25"/>
    </row>
    <row r="279" ht="12.75" customHeight="1">
      <c r="J279" s="25"/>
    </row>
    <row r="280" ht="12.75" customHeight="1">
      <c r="J280" s="25"/>
    </row>
    <row r="281" ht="12.75" customHeight="1">
      <c r="J281" s="25"/>
    </row>
    <row r="282" ht="12.75" customHeight="1">
      <c r="J282" s="25"/>
    </row>
    <row r="283" ht="12.75" customHeight="1">
      <c r="J283" s="25"/>
    </row>
    <row r="284" ht="12.75" customHeight="1">
      <c r="J284" s="25"/>
    </row>
    <row r="285" ht="12.75" customHeight="1">
      <c r="J285" s="25"/>
    </row>
    <row r="286" ht="12.75" customHeight="1">
      <c r="J286" s="25"/>
    </row>
    <row r="287" ht="12.75" customHeight="1">
      <c r="J287" s="25"/>
    </row>
    <row r="288" ht="12.75" customHeight="1">
      <c r="J288" s="25"/>
    </row>
    <row r="289" ht="12.75" customHeight="1">
      <c r="J289" s="25"/>
    </row>
    <row r="290" ht="12.75" customHeight="1">
      <c r="J290" s="25"/>
    </row>
    <row r="291" ht="12.75" customHeight="1">
      <c r="J291" s="25"/>
    </row>
    <row r="292" ht="12.75" customHeight="1">
      <c r="J292" s="25"/>
    </row>
    <row r="293" ht="12.75" customHeight="1">
      <c r="J293" s="25"/>
    </row>
    <row r="294" ht="12.75" customHeight="1">
      <c r="J294" s="25"/>
    </row>
    <row r="295" ht="12.75" customHeight="1">
      <c r="J295" s="25"/>
    </row>
    <row r="296" ht="12.75" customHeight="1">
      <c r="J296" s="25"/>
    </row>
    <row r="297" ht="12.75" customHeight="1">
      <c r="J297" s="25"/>
    </row>
    <row r="298" ht="12.75" customHeight="1">
      <c r="J298" s="25"/>
    </row>
    <row r="299" ht="12.75" customHeight="1">
      <c r="J299" s="25"/>
    </row>
    <row r="300" ht="12.75" customHeight="1">
      <c r="J300" s="25"/>
    </row>
    <row r="301" ht="12.75" customHeight="1">
      <c r="J301" s="25"/>
    </row>
    <row r="302" ht="12.75" customHeight="1">
      <c r="J302" s="25"/>
    </row>
    <row r="303" ht="12.75" customHeight="1">
      <c r="J303" s="25"/>
    </row>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2:G5"/>
    <mergeCell ref="A227:B227"/>
  </mergeCells>
  <printOptions/>
  <pageMargins bottom="0.75" footer="0.0" header="0.0" left="0.7" right="0.7" top="0.75"/>
  <pageSetup orientation="landscape"/>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B714"/>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0.63"/>
    <col customWidth="1" min="2" max="2" width="11.63"/>
    <col customWidth="1" min="3" max="3" width="10.13"/>
    <col customWidth="1" min="4" max="4" width="12.63"/>
    <col customWidth="1" min="5" max="5" width="9.88"/>
    <col customWidth="1" min="6" max="6" width="10.0"/>
    <col customWidth="1" min="7" max="7" width="9.88"/>
    <col customWidth="1" min="8" max="8" width="11.13"/>
    <col customWidth="1" min="9" max="9" width="11.5"/>
    <col customWidth="1" min="10" max="10" width="11.63"/>
    <col customWidth="1" min="11" max="11" width="14.13"/>
    <col customWidth="1" min="12" max="14" width="11.63"/>
    <col customWidth="1" min="15" max="15" width="12.0"/>
    <col customWidth="1" min="16" max="19" width="11.63"/>
    <col customWidth="1" min="20" max="21" width="8.88"/>
    <col customWidth="1" min="22" max="22" width="21.5"/>
    <col customWidth="1" min="23" max="28" width="8.88"/>
  </cols>
  <sheetData>
    <row r="1" ht="27.75" customHeight="1">
      <c r="A1" s="282" t="s">
        <v>12</v>
      </c>
      <c r="B1" s="90"/>
      <c r="C1" s="90"/>
      <c r="D1" s="90"/>
      <c r="E1" s="90"/>
      <c r="F1" s="90"/>
      <c r="G1" s="91"/>
      <c r="H1" s="283"/>
      <c r="I1" s="283"/>
      <c r="J1" s="283"/>
      <c r="K1" s="283"/>
      <c r="L1" s="283"/>
      <c r="M1" s="283"/>
      <c r="N1" s="283"/>
      <c r="O1" s="283"/>
      <c r="P1" s="283"/>
      <c r="Q1" s="283"/>
      <c r="R1" s="283"/>
      <c r="S1" s="283"/>
    </row>
    <row r="2" ht="12.75" customHeight="1">
      <c r="A2" s="110" t="s">
        <v>806</v>
      </c>
      <c r="H2" s="25"/>
      <c r="I2" s="25"/>
    </row>
    <row r="3" ht="12.75" customHeight="1">
      <c r="H3" s="25"/>
      <c r="I3" s="25"/>
    </row>
    <row r="4" ht="12.75" customHeight="1">
      <c r="A4" s="12"/>
      <c r="B4" s="12"/>
      <c r="C4" s="12"/>
      <c r="D4" s="12"/>
      <c r="E4" s="12"/>
      <c r="F4" s="12"/>
      <c r="G4" s="12"/>
      <c r="H4" s="25"/>
      <c r="I4" s="25"/>
    </row>
    <row r="5" ht="15.75" customHeight="1">
      <c r="A5" s="92" t="s">
        <v>437</v>
      </c>
      <c r="B5" s="25"/>
      <c r="C5" s="25"/>
      <c r="D5" s="25"/>
      <c r="E5" s="25"/>
      <c r="F5" s="25"/>
      <c r="G5" s="25"/>
      <c r="H5" s="25"/>
      <c r="I5" s="25"/>
    </row>
    <row r="6" ht="13.5" customHeight="1">
      <c r="A6" s="25"/>
      <c r="B6" s="47" t="s">
        <v>438</v>
      </c>
      <c r="C6" s="25"/>
      <c r="D6" s="25"/>
      <c r="E6" s="25"/>
      <c r="F6" s="25"/>
      <c r="G6" s="25"/>
      <c r="H6" s="25"/>
      <c r="I6" s="25"/>
    </row>
    <row r="7" ht="42.0" customHeight="1">
      <c r="A7" s="47" t="s">
        <v>164</v>
      </c>
      <c r="B7" s="71" t="s">
        <v>76</v>
      </c>
      <c r="C7" s="71" t="s">
        <v>77</v>
      </c>
      <c r="D7" s="71" t="s">
        <v>78</v>
      </c>
      <c r="E7" s="67" t="s">
        <v>79</v>
      </c>
      <c r="F7" s="67" t="s">
        <v>80</v>
      </c>
      <c r="G7" s="71" t="s">
        <v>81</v>
      </c>
      <c r="H7" s="71" t="s">
        <v>82</v>
      </c>
      <c r="I7" s="71" t="s">
        <v>83</v>
      </c>
      <c r="J7" s="71" t="s">
        <v>84</v>
      </c>
      <c r="K7" s="284" t="s">
        <v>807</v>
      </c>
      <c r="L7" s="71" t="s">
        <v>85</v>
      </c>
      <c r="M7" s="71" t="s">
        <v>185</v>
      </c>
      <c r="N7" s="71" t="s">
        <v>186</v>
      </c>
      <c r="O7" s="284" t="s">
        <v>808</v>
      </c>
      <c r="P7" s="284" t="s">
        <v>809</v>
      </c>
      <c r="Q7" s="284" t="s">
        <v>810</v>
      </c>
      <c r="R7" s="284" t="s">
        <v>811</v>
      </c>
      <c r="S7" s="284" t="s">
        <v>191</v>
      </c>
    </row>
    <row r="8" ht="12.75" customHeight="1">
      <c r="A8" s="25" t="s">
        <v>165</v>
      </c>
      <c r="B8" s="73">
        <f t="shared" ref="B8:J8" si="1">B29</f>
        <v>225.8</v>
      </c>
      <c r="C8" s="73">
        <f t="shared" si="1"/>
        <v>401</v>
      </c>
      <c r="D8" s="73">
        <f t="shared" si="1"/>
        <v>455.2</v>
      </c>
      <c r="E8" s="73">
        <f t="shared" si="1"/>
        <v>575.9</v>
      </c>
      <c r="F8" s="73">
        <f t="shared" si="1"/>
        <v>454.6</v>
      </c>
      <c r="G8" s="73">
        <f t="shared" si="1"/>
        <v>430.1</v>
      </c>
      <c r="H8" s="73">
        <f t="shared" si="1"/>
        <v>492.5</v>
      </c>
      <c r="I8" s="73">
        <f t="shared" si="1"/>
        <v>631</v>
      </c>
      <c r="J8" s="73">
        <f t="shared" si="1"/>
        <v>622.2</v>
      </c>
      <c r="K8" s="73">
        <f>J29</f>
        <v>622.2</v>
      </c>
      <c r="L8" s="73">
        <f t="shared" ref="L8:S8" si="2">L29</f>
        <v>926.8</v>
      </c>
      <c r="M8" s="73">
        <f t="shared" si="2"/>
        <v>983.5</v>
      </c>
      <c r="N8" s="73">
        <f t="shared" si="2"/>
        <v>1004.9</v>
      </c>
      <c r="O8" s="73">
        <f t="shared" si="2"/>
        <v>852.4</v>
      </c>
      <c r="P8" s="73">
        <f t="shared" si="2"/>
        <v>852.4</v>
      </c>
      <c r="Q8" s="73">
        <f t="shared" si="2"/>
        <v>852.4</v>
      </c>
      <c r="R8" s="73">
        <f t="shared" si="2"/>
        <v>852.4</v>
      </c>
      <c r="S8" s="73">
        <f t="shared" si="2"/>
        <v>852.4</v>
      </c>
    </row>
    <row r="9" ht="12.75" customHeight="1">
      <c r="A9" s="25" t="s">
        <v>166</v>
      </c>
      <c r="B9" s="73">
        <f t="shared" ref="B9:J9" si="3">B49</f>
        <v>20.6</v>
      </c>
      <c r="C9" s="73">
        <f t="shared" si="3"/>
        <v>20.3</v>
      </c>
      <c r="D9" s="73">
        <f t="shared" si="3"/>
        <v>16.6</v>
      </c>
      <c r="E9" s="73">
        <f t="shared" si="3"/>
        <v>16.8</v>
      </c>
      <c r="F9" s="73">
        <f t="shared" si="3"/>
        <v>17.8</v>
      </c>
      <c r="G9" s="73">
        <f t="shared" si="3"/>
        <v>28.1</v>
      </c>
      <c r="H9" s="73">
        <f t="shared" si="3"/>
        <v>25.5</v>
      </c>
      <c r="I9" s="73">
        <f t="shared" si="3"/>
        <v>31.4</v>
      </c>
      <c r="J9" s="73">
        <f t="shared" si="3"/>
        <v>37.5</v>
      </c>
      <c r="K9" s="73">
        <f>J49</f>
        <v>37.5</v>
      </c>
      <c r="L9" s="73">
        <f t="shared" ref="L9:S9" si="4">L49</f>
        <v>31.2</v>
      </c>
      <c r="M9" s="73">
        <f t="shared" si="4"/>
        <v>36.6</v>
      </c>
      <c r="N9" s="73">
        <f t="shared" si="4"/>
        <v>43</v>
      </c>
      <c r="O9" s="73">
        <f t="shared" si="4"/>
        <v>30.1</v>
      </c>
      <c r="P9" s="73">
        <f t="shared" si="4"/>
        <v>30.1</v>
      </c>
      <c r="Q9" s="73">
        <f t="shared" si="4"/>
        <v>30.1</v>
      </c>
      <c r="R9" s="73">
        <f t="shared" si="4"/>
        <v>30.1</v>
      </c>
      <c r="S9" s="73">
        <f t="shared" si="4"/>
        <v>30.1</v>
      </c>
    </row>
    <row r="10" ht="12.75" customHeight="1">
      <c r="A10" s="25" t="s">
        <v>167</v>
      </c>
      <c r="B10" s="97">
        <f t="shared" ref="B10:J10" si="5">B75</f>
        <v>68.2</v>
      </c>
      <c r="C10" s="97">
        <f t="shared" si="5"/>
        <v>68.9</v>
      </c>
      <c r="D10" s="97">
        <f t="shared" si="5"/>
        <v>64.6</v>
      </c>
      <c r="E10" s="97">
        <f t="shared" si="5"/>
        <v>74.3</v>
      </c>
      <c r="F10" s="97">
        <f t="shared" si="5"/>
        <v>90.4</v>
      </c>
      <c r="G10" s="97">
        <f t="shared" si="5"/>
        <v>113.5</v>
      </c>
      <c r="H10" s="97">
        <f t="shared" si="5"/>
        <v>112.5</v>
      </c>
      <c r="I10" s="97">
        <f t="shared" si="5"/>
        <v>117.1</v>
      </c>
      <c r="J10" s="97">
        <f t="shared" si="5"/>
        <v>123.2</v>
      </c>
      <c r="K10" s="97">
        <f>J75</f>
        <v>123.2</v>
      </c>
      <c r="L10" s="97">
        <f t="shared" ref="L10:S10" si="6">L75</f>
        <v>124.7</v>
      </c>
      <c r="M10" s="97">
        <f t="shared" si="6"/>
        <v>136.7</v>
      </c>
      <c r="N10" s="97">
        <f t="shared" si="6"/>
        <v>107</v>
      </c>
      <c r="O10" s="97">
        <f t="shared" si="6"/>
        <v>112.6</v>
      </c>
      <c r="P10" s="97">
        <f t="shared" si="6"/>
        <v>112.6</v>
      </c>
      <c r="Q10" s="97">
        <f t="shared" si="6"/>
        <v>112.6</v>
      </c>
      <c r="R10" s="97">
        <f t="shared" si="6"/>
        <v>112.6</v>
      </c>
      <c r="S10" s="97">
        <f t="shared" si="6"/>
        <v>112.6</v>
      </c>
    </row>
    <row r="11" ht="12.75" customHeight="1">
      <c r="A11" s="25" t="s">
        <v>168</v>
      </c>
      <c r="B11" s="73">
        <f t="shared" ref="B11:S11" si="7">B110</f>
        <v>1349</v>
      </c>
      <c r="C11" s="73">
        <f t="shared" si="7"/>
        <v>1422.5</v>
      </c>
      <c r="D11" s="73">
        <f t="shared" si="7"/>
        <v>1108.6</v>
      </c>
      <c r="E11" s="73">
        <f t="shared" si="7"/>
        <v>1121.6</v>
      </c>
      <c r="F11" s="73">
        <f t="shared" si="7"/>
        <v>1785.1</v>
      </c>
      <c r="G11" s="73">
        <f t="shared" si="7"/>
        <v>2056.1</v>
      </c>
      <c r="H11" s="73">
        <f t="shared" si="7"/>
        <v>2345.6</v>
      </c>
      <c r="I11" s="73">
        <f t="shared" si="7"/>
        <v>2877.2</v>
      </c>
      <c r="J11" s="73">
        <f t="shared" si="7"/>
        <v>3062.3</v>
      </c>
      <c r="K11" s="73">
        <f t="shared" si="7"/>
        <v>2651.9</v>
      </c>
      <c r="L11" s="73">
        <f t="shared" si="7"/>
        <v>2180.8</v>
      </c>
      <c r="M11" s="73">
        <f t="shared" si="7"/>
        <v>2689.2</v>
      </c>
      <c r="N11" s="73">
        <f t="shared" si="7"/>
        <v>2706.6</v>
      </c>
      <c r="O11" s="73">
        <f t="shared" si="7"/>
        <v>3002.6</v>
      </c>
      <c r="P11" s="73">
        <f t="shared" si="7"/>
        <v>1499.2</v>
      </c>
      <c r="Q11" s="73">
        <f t="shared" si="7"/>
        <v>1499.2</v>
      </c>
      <c r="R11" s="73">
        <f t="shared" si="7"/>
        <v>1996.8</v>
      </c>
      <c r="S11" s="73">
        <f t="shared" si="7"/>
        <v>2651.9</v>
      </c>
    </row>
    <row r="12" ht="12.75" customHeight="1">
      <c r="A12" s="25" t="s">
        <v>169</v>
      </c>
      <c r="B12" s="73">
        <f t="shared" ref="B12:S12" si="8">B140</f>
        <v>25.1</v>
      </c>
      <c r="C12" s="73">
        <f t="shared" si="8"/>
        <v>24.5</v>
      </c>
      <c r="D12" s="73">
        <f t="shared" si="8"/>
        <v>22.2</v>
      </c>
      <c r="E12" s="73">
        <f t="shared" si="8"/>
        <v>31.7</v>
      </c>
      <c r="F12" s="73">
        <f t="shared" si="8"/>
        <v>18.8</v>
      </c>
      <c r="G12" s="73">
        <f t="shared" si="8"/>
        <v>43.8</v>
      </c>
      <c r="H12" s="73">
        <f t="shared" si="8"/>
        <v>38.2</v>
      </c>
      <c r="I12" s="73">
        <f t="shared" si="8"/>
        <v>37.2</v>
      </c>
      <c r="J12" s="73">
        <f t="shared" si="8"/>
        <v>42</v>
      </c>
      <c r="K12" s="73">
        <f t="shared" si="8"/>
        <v>32.1</v>
      </c>
      <c r="L12" s="73">
        <f t="shared" si="8"/>
        <v>31</v>
      </c>
      <c r="M12" s="73">
        <f t="shared" si="8"/>
        <v>26.3</v>
      </c>
      <c r="N12" s="73">
        <f t="shared" si="8"/>
        <v>26.9</v>
      </c>
      <c r="O12" s="73">
        <f t="shared" si="8"/>
        <v>28.9</v>
      </c>
      <c r="P12" s="73">
        <f t="shared" si="8"/>
        <v>20.7</v>
      </c>
      <c r="Q12" s="73">
        <f t="shared" si="8"/>
        <v>20.7</v>
      </c>
      <c r="R12" s="73">
        <f t="shared" si="8"/>
        <v>20.7</v>
      </c>
      <c r="S12" s="73">
        <f t="shared" si="8"/>
        <v>20.7</v>
      </c>
    </row>
    <row r="13" ht="12.75" customHeight="1">
      <c r="A13" s="120" t="s">
        <v>194</v>
      </c>
      <c r="B13" s="285">
        <f t="shared" ref="B13:N13" si="9">SUM(B8:B12)</f>
        <v>1688.7</v>
      </c>
      <c r="C13" s="285">
        <f t="shared" si="9"/>
        <v>1937.2</v>
      </c>
      <c r="D13" s="285">
        <f t="shared" si="9"/>
        <v>1667.2</v>
      </c>
      <c r="E13" s="285">
        <f t="shared" si="9"/>
        <v>1820.3</v>
      </c>
      <c r="F13" s="285">
        <f t="shared" si="9"/>
        <v>2366.7</v>
      </c>
      <c r="G13" s="285">
        <f t="shared" si="9"/>
        <v>2671.6</v>
      </c>
      <c r="H13" s="285">
        <f t="shared" si="9"/>
        <v>3014.3</v>
      </c>
      <c r="I13" s="285">
        <f t="shared" si="9"/>
        <v>3693.9</v>
      </c>
      <c r="J13" s="285">
        <f t="shared" si="9"/>
        <v>3887.2</v>
      </c>
      <c r="K13" s="121">
        <f t="shared" si="9"/>
        <v>3466.9</v>
      </c>
      <c r="L13" s="121">
        <f t="shared" si="9"/>
        <v>3294.5</v>
      </c>
      <c r="M13" s="121">
        <f t="shared" si="9"/>
        <v>3872.3</v>
      </c>
      <c r="N13" s="121">
        <f t="shared" si="9"/>
        <v>3888.4</v>
      </c>
      <c r="O13" s="121">
        <f>SUM(O8:O12)+B211</f>
        <v>4074.9</v>
      </c>
      <c r="P13" s="121">
        <f t="shared" ref="P13:S13" si="10">SUM(P8:P12)</f>
        <v>2515</v>
      </c>
      <c r="Q13" s="121">
        <f t="shared" si="10"/>
        <v>2515</v>
      </c>
      <c r="R13" s="121">
        <f t="shared" si="10"/>
        <v>3012.6</v>
      </c>
      <c r="S13" s="121">
        <f t="shared" si="10"/>
        <v>3667.7</v>
      </c>
    </row>
    <row r="14" ht="12.75" customHeight="1">
      <c r="A14" s="25"/>
      <c r="B14" s="25"/>
      <c r="C14" s="25"/>
      <c r="D14" s="25"/>
      <c r="E14" s="25"/>
      <c r="F14" s="25"/>
    </row>
    <row r="15" ht="15.75" customHeight="1">
      <c r="A15" s="92" t="s">
        <v>812</v>
      </c>
      <c r="B15" s="25"/>
      <c r="C15" s="25"/>
      <c r="D15" s="25"/>
      <c r="E15" s="25"/>
      <c r="F15" s="25"/>
    </row>
    <row r="16" ht="9.75" customHeight="1">
      <c r="A16" s="47"/>
      <c r="B16" s="25"/>
      <c r="C16" s="25"/>
      <c r="D16" s="25"/>
    </row>
    <row r="17" ht="30.0" customHeight="1">
      <c r="A17" s="65" t="s">
        <v>195</v>
      </c>
      <c r="B17" s="71" t="s">
        <v>76</v>
      </c>
      <c r="C17" s="71" t="s">
        <v>77</v>
      </c>
      <c r="D17" s="71" t="s">
        <v>78</v>
      </c>
      <c r="E17" s="67" t="s">
        <v>79</v>
      </c>
      <c r="F17" s="67" t="s">
        <v>80</v>
      </c>
      <c r="G17" s="71" t="s">
        <v>81</v>
      </c>
      <c r="H17" s="71" t="s">
        <v>82</v>
      </c>
      <c r="I17" s="71" t="s">
        <v>83</v>
      </c>
      <c r="J17" s="71" t="s">
        <v>84</v>
      </c>
      <c r="K17" s="284" t="s">
        <v>813</v>
      </c>
      <c r="L17" s="71" t="s">
        <v>85</v>
      </c>
      <c r="M17" s="71" t="s">
        <v>185</v>
      </c>
      <c r="N17" s="71" t="s">
        <v>186</v>
      </c>
      <c r="O17" s="71" t="s">
        <v>187</v>
      </c>
      <c r="P17" s="71" t="s">
        <v>188</v>
      </c>
      <c r="Q17" s="71" t="s">
        <v>189</v>
      </c>
      <c r="R17" s="71" t="s">
        <v>190</v>
      </c>
      <c r="S17" s="284" t="s">
        <v>191</v>
      </c>
    </row>
    <row r="18" ht="12.75" customHeight="1">
      <c r="A18" s="55" t="s">
        <v>814</v>
      </c>
      <c r="B18" s="286">
        <v>189640.0</v>
      </c>
      <c r="C18" s="287">
        <v>410081.37</v>
      </c>
      <c r="D18" s="287">
        <v>376781.0</v>
      </c>
      <c r="E18" s="115">
        <v>434786.0</v>
      </c>
      <c r="F18" s="115">
        <v>469143.0</v>
      </c>
      <c r="G18" s="286">
        <v>507804.0</v>
      </c>
      <c r="H18" s="286">
        <v>565772.0</v>
      </c>
      <c r="I18" s="286">
        <v>714156.0</v>
      </c>
      <c r="J18" s="286">
        <v>704242.0</v>
      </c>
      <c r="K18" s="286">
        <v>704242.0</v>
      </c>
      <c r="L18" s="286">
        <v>647977.0</v>
      </c>
      <c r="M18" s="286">
        <v>685188.050000001</v>
      </c>
      <c r="N18" s="288">
        <v>700026.0</v>
      </c>
      <c r="O18" s="288">
        <v>593782.7699999998</v>
      </c>
      <c r="P18" s="288">
        <v>593782.7699999998</v>
      </c>
      <c r="Q18" s="288">
        <v>593782.7699999998</v>
      </c>
      <c r="R18" s="288">
        <v>593782.7699999998</v>
      </c>
      <c r="S18" s="288">
        <v>593782.7699999998</v>
      </c>
      <c r="T18" s="289"/>
      <c r="U18" s="289"/>
      <c r="V18" s="25"/>
      <c r="W18" s="25"/>
      <c r="X18" s="25"/>
      <c r="Y18" s="25"/>
      <c r="Z18" s="25"/>
      <c r="AA18" s="25"/>
      <c r="AB18" s="25"/>
    </row>
    <row r="19" ht="12.75" customHeight="1">
      <c r="A19" s="290" t="s">
        <v>815</v>
      </c>
      <c r="B19" s="291">
        <v>261.69</v>
      </c>
      <c r="C19" s="292">
        <v>318.73</v>
      </c>
      <c r="D19" s="292">
        <v>257.98</v>
      </c>
      <c r="E19" s="292">
        <v>235.3</v>
      </c>
      <c r="F19" s="292">
        <v>321.6</v>
      </c>
      <c r="G19" s="293">
        <v>368.0</v>
      </c>
      <c r="H19" s="293">
        <v>358.0</v>
      </c>
      <c r="I19" s="293">
        <v>352.76</v>
      </c>
      <c r="J19" s="293">
        <v>352.76</v>
      </c>
      <c r="K19" s="293">
        <v>217.9</v>
      </c>
      <c r="L19" s="293">
        <v>217.9</v>
      </c>
      <c r="M19" s="293">
        <v>217.9</v>
      </c>
      <c r="N19" s="293">
        <v>217.9</v>
      </c>
      <c r="O19" s="293">
        <v>217.9</v>
      </c>
      <c r="P19" s="293">
        <v>217.9</v>
      </c>
      <c r="Q19" s="293">
        <v>217.9</v>
      </c>
      <c r="R19" s="293">
        <v>217.9</v>
      </c>
      <c r="S19" s="293">
        <v>217.9</v>
      </c>
      <c r="T19" s="25"/>
      <c r="U19" s="25"/>
      <c r="V19" s="25"/>
      <c r="W19" s="25"/>
      <c r="X19" s="25"/>
      <c r="Y19" s="25"/>
      <c r="Z19" s="25"/>
      <c r="AA19" s="25"/>
      <c r="AB19" s="25"/>
    </row>
    <row r="20" ht="12.75" customHeight="1">
      <c r="A20" s="25" t="s">
        <v>816</v>
      </c>
      <c r="B20" s="97">
        <f t="shared" ref="B20:S20" si="11">(B18/($B149*B19))*0.33</f>
        <v>23914.24968</v>
      </c>
      <c r="C20" s="97">
        <f t="shared" si="11"/>
        <v>42458.14705</v>
      </c>
      <c r="D20" s="97">
        <f t="shared" si="11"/>
        <v>48196.65478</v>
      </c>
      <c r="E20" s="97">
        <f t="shared" si="11"/>
        <v>60977.21207</v>
      </c>
      <c r="F20" s="97">
        <f t="shared" si="11"/>
        <v>48139.67351</v>
      </c>
      <c r="G20" s="97">
        <f t="shared" si="11"/>
        <v>45536.77174</v>
      </c>
      <c r="H20" s="97">
        <f t="shared" si="11"/>
        <v>52152.1676</v>
      </c>
      <c r="I20" s="97">
        <f t="shared" si="11"/>
        <v>66807.88071</v>
      </c>
      <c r="J20" s="97">
        <f t="shared" si="11"/>
        <v>65880.44563</v>
      </c>
      <c r="K20" s="97">
        <f t="shared" si="11"/>
        <v>106654.3644</v>
      </c>
      <c r="L20" s="97">
        <f t="shared" si="11"/>
        <v>98133.27673</v>
      </c>
      <c r="M20" s="97">
        <f t="shared" si="11"/>
        <v>103768.7272</v>
      </c>
      <c r="N20" s="97">
        <f t="shared" si="11"/>
        <v>106015.8697</v>
      </c>
      <c r="O20" s="97">
        <f t="shared" si="11"/>
        <v>89925.79812</v>
      </c>
      <c r="P20" s="97">
        <f t="shared" si="11"/>
        <v>89925.79812</v>
      </c>
      <c r="Q20" s="97">
        <f t="shared" si="11"/>
        <v>89925.79812</v>
      </c>
      <c r="R20" s="97">
        <f t="shared" si="11"/>
        <v>89925.79812</v>
      </c>
      <c r="S20" s="97">
        <f t="shared" si="11"/>
        <v>89925.79812</v>
      </c>
    </row>
    <row r="21" ht="12.75" customHeight="1">
      <c r="A21" s="25" t="s">
        <v>197</v>
      </c>
      <c r="B21" s="73">
        <f t="shared" ref="B21:S21" si="12">ROUND(B20*$B155,1)</f>
        <v>2991</v>
      </c>
      <c r="C21" s="73">
        <f t="shared" si="12"/>
        <v>5310.3</v>
      </c>
      <c r="D21" s="73">
        <f t="shared" si="12"/>
        <v>6028</v>
      </c>
      <c r="E21" s="73">
        <f t="shared" si="12"/>
        <v>7626.5</v>
      </c>
      <c r="F21" s="73">
        <f t="shared" si="12"/>
        <v>6020.9</v>
      </c>
      <c r="G21" s="73">
        <f t="shared" si="12"/>
        <v>5695.3</v>
      </c>
      <c r="H21" s="73">
        <f t="shared" si="12"/>
        <v>6522.7</v>
      </c>
      <c r="I21" s="73">
        <f t="shared" si="12"/>
        <v>8355.8</v>
      </c>
      <c r="J21" s="73">
        <f t="shared" si="12"/>
        <v>8239.8</v>
      </c>
      <c r="K21" s="73">
        <f t="shared" si="12"/>
        <v>13339.4</v>
      </c>
      <c r="L21" s="73">
        <f t="shared" si="12"/>
        <v>12273.7</v>
      </c>
      <c r="M21" s="73">
        <f t="shared" si="12"/>
        <v>12978.5</v>
      </c>
      <c r="N21" s="73">
        <f t="shared" si="12"/>
        <v>13259.6</v>
      </c>
      <c r="O21" s="73">
        <f t="shared" si="12"/>
        <v>11247.1</v>
      </c>
      <c r="P21" s="73">
        <f t="shared" si="12"/>
        <v>11247.1</v>
      </c>
      <c r="Q21" s="73">
        <f t="shared" si="12"/>
        <v>11247.1</v>
      </c>
      <c r="R21" s="73">
        <f t="shared" si="12"/>
        <v>11247.1</v>
      </c>
      <c r="S21" s="73">
        <f t="shared" si="12"/>
        <v>11247.1</v>
      </c>
    </row>
    <row r="22" ht="15.0" customHeight="1">
      <c r="A22" s="47" t="s">
        <v>817</v>
      </c>
      <c r="B22" s="78">
        <f t="shared" ref="B22:S22" si="13">ROUND(B20*$B156,1)</f>
        <v>209.8</v>
      </c>
      <c r="C22" s="78">
        <f t="shared" si="13"/>
        <v>372.6</v>
      </c>
      <c r="D22" s="78">
        <f t="shared" si="13"/>
        <v>422.9</v>
      </c>
      <c r="E22" s="78">
        <f t="shared" si="13"/>
        <v>535.1</v>
      </c>
      <c r="F22" s="78">
        <f t="shared" si="13"/>
        <v>422.4</v>
      </c>
      <c r="G22" s="78">
        <f t="shared" si="13"/>
        <v>399.6</v>
      </c>
      <c r="H22" s="78">
        <f t="shared" si="13"/>
        <v>457.6</v>
      </c>
      <c r="I22" s="78">
        <f t="shared" si="13"/>
        <v>586.2</v>
      </c>
      <c r="J22" s="78">
        <f t="shared" si="13"/>
        <v>578.1</v>
      </c>
      <c r="K22" s="78">
        <f t="shared" si="13"/>
        <v>935.9</v>
      </c>
      <c r="L22" s="78">
        <f t="shared" si="13"/>
        <v>861.1</v>
      </c>
      <c r="M22" s="78">
        <f t="shared" si="13"/>
        <v>910.5</v>
      </c>
      <c r="N22" s="78">
        <f t="shared" si="13"/>
        <v>930.3</v>
      </c>
      <c r="O22" s="78">
        <f t="shared" si="13"/>
        <v>789.1</v>
      </c>
      <c r="P22" s="78">
        <f t="shared" si="13"/>
        <v>789.1</v>
      </c>
      <c r="Q22" s="78">
        <f t="shared" si="13"/>
        <v>789.1</v>
      </c>
      <c r="R22" s="78">
        <f t="shared" si="13"/>
        <v>789.1</v>
      </c>
      <c r="S22" s="78">
        <f t="shared" si="13"/>
        <v>789.1</v>
      </c>
    </row>
    <row r="23" ht="12.75" customHeight="1">
      <c r="A23" s="290" t="s">
        <v>447</v>
      </c>
      <c r="B23" s="220">
        <v>20.0</v>
      </c>
      <c r="C23" s="220">
        <v>20.0</v>
      </c>
      <c r="D23" s="220">
        <v>20.0</v>
      </c>
      <c r="E23" s="220">
        <v>20.0</v>
      </c>
      <c r="F23" s="220">
        <v>20.0</v>
      </c>
      <c r="G23" s="220">
        <v>20.0</v>
      </c>
      <c r="H23" s="220">
        <v>20.0</v>
      </c>
      <c r="I23" s="220">
        <v>20.0</v>
      </c>
      <c r="J23" s="220">
        <v>20.0</v>
      </c>
      <c r="K23" s="220">
        <v>20.0</v>
      </c>
      <c r="L23" s="220">
        <v>20.0</v>
      </c>
      <c r="M23" s="220">
        <v>21.0</v>
      </c>
      <c r="N23" s="220">
        <v>21.0</v>
      </c>
      <c r="O23" s="220">
        <v>21.0</v>
      </c>
      <c r="P23" s="220">
        <v>21.0</v>
      </c>
      <c r="Q23" s="220">
        <v>21.0</v>
      </c>
      <c r="R23" s="220">
        <v>21.0</v>
      </c>
      <c r="S23" s="220">
        <v>21.0</v>
      </c>
      <c r="T23" s="25"/>
      <c r="U23" s="25"/>
      <c r="V23" s="25"/>
      <c r="W23" s="25"/>
      <c r="X23" s="25"/>
      <c r="Y23" s="25"/>
      <c r="Z23" s="25"/>
      <c r="AA23" s="25"/>
      <c r="AB23" s="25"/>
    </row>
    <row r="24" ht="12.75" customHeight="1">
      <c r="A24" s="25" t="s">
        <v>448</v>
      </c>
      <c r="B24" s="97">
        <f t="shared" ref="B24:S24" si="14">B20*B23</f>
        <v>478284.9937</v>
      </c>
      <c r="C24" s="97">
        <f t="shared" si="14"/>
        <v>849162.941</v>
      </c>
      <c r="D24" s="97">
        <f t="shared" si="14"/>
        <v>963933.0956</v>
      </c>
      <c r="E24" s="97">
        <f t="shared" si="14"/>
        <v>1219544.241</v>
      </c>
      <c r="F24" s="97">
        <f t="shared" si="14"/>
        <v>962793.4701</v>
      </c>
      <c r="G24" s="97">
        <f t="shared" si="14"/>
        <v>910735.4348</v>
      </c>
      <c r="H24" s="97">
        <f t="shared" si="14"/>
        <v>1043043.352</v>
      </c>
      <c r="I24" s="97">
        <f t="shared" si="14"/>
        <v>1336157.614</v>
      </c>
      <c r="J24" s="97">
        <f t="shared" si="14"/>
        <v>1317608.913</v>
      </c>
      <c r="K24" s="97">
        <f t="shared" si="14"/>
        <v>2133087.288</v>
      </c>
      <c r="L24" s="97">
        <f t="shared" si="14"/>
        <v>1962665.535</v>
      </c>
      <c r="M24" s="97">
        <f t="shared" si="14"/>
        <v>2179143.271</v>
      </c>
      <c r="N24" s="97">
        <f t="shared" si="14"/>
        <v>2226333.263</v>
      </c>
      <c r="O24" s="97">
        <f t="shared" si="14"/>
        <v>1888441.76</v>
      </c>
      <c r="P24" s="97">
        <f t="shared" si="14"/>
        <v>1888441.76</v>
      </c>
      <c r="Q24" s="97">
        <f t="shared" si="14"/>
        <v>1888441.76</v>
      </c>
      <c r="R24" s="97">
        <f t="shared" si="14"/>
        <v>1888441.76</v>
      </c>
      <c r="S24" s="97">
        <f t="shared" si="14"/>
        <v>1888441.76</v>
      </c>
    </row>
    <row r="25" ht="15.0" customHeight="1">
      <c r="A25" s="25" t="s">
        <v>818</v>
      </c>
      <c r="B25" s="112">
        <f t="shared" ref="B25:S25" si="15">($B157*B24*$B148)</f>
        <v>0.05466797478</v>
      </c>
      <c r="C25" s="112">
        <f t="shared" si="15"/>
        <v>0.09705932416</v>
      </c>
      <c r="D25" s="112">
        <f t="shared" si="15"/>
        <v>0.1101775528</v>
      </c>
      <c r="E25" s="112">
        <f t="shared" si="15"/>
        <v>0.1393939068</v>
      </c>
      <c r="F25" s="112">
        <f t="shared" si="15"/>
        <v>0.1100472936</v>
      </c>
      <c r="G25" s="112">
        <f t="shared" si="15"/>
        <v>0.1040970602</v>
      </c>
      <c r="H25" s="112">
        <f t="shared" si="15"/>
        <v>0.1192198551</v>
      </c>
      <c r="I25" s="112">
        <f t="shared" si="15"/>
        <v>0.1527228153</v>
      </c>
      <c r="J25" s="112">
        <f t="shared" si="15"/>
        <v>0.1506026987</v>
      </c>
      <c r="K25" s="112">
        <f t="shared" si="15"/>
        <v>0.243811877</v>
      </c>
      <c r="L25" s="112">
        <f t="shared" si="15"/>
        <v>0.2243326706</v>
      </c>
      <c r="M25" s="112">
        <f t="shared" si="15"/>
        <v>0.2490760758</v>
      </c>
      <c r="N25" s="112">
        <f t="shared" si="15"/>
        <v>0.254469892</v>
      </c>
      <c r="O25" s="112">
        <f t="shared" si="15"/>
        <v>0.2158488932</v>
      </c>
      <c r="P25" s="112">
        <f t="shared" si="15"/>
        <v>0.2158488932</v>
      </c>
      <c r="Q25" s="112">
        <f t="shared" si="15"/>
        <v>0.2158488932</v>
      </c>
      <c r="R25" s="112">
        <f t="shared" si="15"/>
        <v>0.2158488932</v>
      </c>
      <c r="S25" s="112">
        <f t="shared" si="15"/>
        <v>0.2158488932</v>
      </c>
      <c r="T25" s="25"/>
      <c r="U25" s="25"/>
      <c r="V25" s="25"/>
      <c r="W25" s="25"/>
      <c r="X25" s="25"/>
      <c r="Y25" s="25"/>
      <c r="Z25" s="25"/>
      <c r="AA25" s="25"/>
      <c r="AB25" s="25"/>
    </row>
    <row r="26" ht="15.0" customHeight="1">
      <c r="A26" s="47" t="s">
        <v>819</v>
      </c>
      <c r="B26" s="126">
        <f t="shared" ref="B26:S26" si="16">B24*$B157*$B148*$B151</f>
        <v>1.14802747</v>
      </c>
      <c r="C26" s="126">
        <f t="shared" si="16"/>
        <v>2.038245807</v>
      </c>
      <c r="D26" s="126">
        <f t="shared" si="16"/>
        <v>2.313728609</v>
      </c>
      <c r="E26" s="126">
        <f t="shared" si="16"/>
        <v>2.927272043</v>
      </c>
      <c r="F26" s="126">
        <f t="shared" si="16"/>
        <v>2.310993166</v>
      </c>
      <c r="G26" s="126">
        <f t="shared" si="16"/>
        <v>2.186038264</v>
      </c>
      <c r="H26" s="126">
        <f t="shared" si="16"/>
        <v>2.503616958</v>
      </c>
      <c r="I26" s="126">
        <f t="shared" si="16"/>
        <v>3.207179121</v>
      </c>
      <c r="J26" s="126">
        <f t="shared" si="16"/>
        <v>3.162656673</v>
      </c>
      <c r="K26" s="126">
        <f t="shared" si="16"/>
        <v>5.120049417</v>
      </c>
      <c r="L26" s="126">
        <f t="shared" si="16"/>
        <v>4.710986083</v>
      </c>
      <c r="M26" s="126">
        <f t="shared" si="16"/>
        <v>5.230597592</v>
      </c>
      <c r="N26" s="126">
        <f t="shared" si="16"/>
        <v>5.343867731</v>
      </c>
      <c r="O26" s="126">
        <f t="shared" si="16"/>
        <v>4.532826758</v>
      </c>
      <c r="P26" s="126">
        <f t="shared" si="16"/>
        <v>4.532826758</v>
      </c>
      <c r="Q26" s="126">
        <f t="shared" si="16"/>
        <v>4.532826758</v>
      </c>
      <c r="R26" s="126">
        <f t="shared" si="16"/>
        <v>4.532826758</v>
      </c>
      <c r="S26" s="126">
        <f t="shared" si="16"/>
        <v>4.532826758</v>
      </c>
      <c r="T26" s="25"/>
      <c r="U26" s="25"/>
      <c r="V26" s="25"/>
      <c r="W26" s="25"/>
      <c r="X26" s="25"/>
      <c r="Y26" s="25"/>
      <c r="Z26" s="25"/>
      <c r="AA26" s="25"/>
      <c r="AB26" s="25"/>
    </row>
    <row r="27" ht="15.0" customHeight="1">
      <c r="A27" s="25" t="s">
        <v>820</v>
      </c>
      <c r="B27" s="112">
        <f t="shared" ref="B27:S27" si="17">($B158*B24*$B148)</f>
        <v>0.04797198487</v>
      </c>
      <c r="C27" s="112">
        <f t="shared" si="17"/>
        <v>0.08517104299</v>
      </c>
      <c r="D27" s="112">
        <f t="shared" si="17"/>
        <v>0.09668248949</v>
      </c>
      <c r="E27" s="112">
        <f t="shared" si="17"/>
        <v>0.1223202874</v>
      </c>
      <c r="F27" s="112">
        <f t="shared" si="17"/>
        <v>0.09656818506</v>
      </c>
      <c r="G27" s="112">
        <f t="shared" si="17"/>
        <v>0.09134676411</v>
      </c>
      <c r="H27" s="112">
        <f t="shared" si="17"/>
        <v>0.1046172482</v>
      </c>
      <c r="I27" s="112">
        <f t="shared" si="17"/>
        <v>0.1340166087</v>
      </c>
      <c r="J27" s="112">
        <f t="shared" si="17"/>
        <v>0.1321561739</v>
      </c>
      <c r="K27" s="112">
        <f t="shared" si="17"/>
        <v>0.213948655</v>
      </c>
      <c r="L27" s="112">
        <f t="shared" si="17"/>
        <v>0.1968553531</v>
      </c>
      <c r="M27" s="112">
        <f t="shared" si="17"/>
        <v>0.21856807</v>
      </c>
      <c r="N27" s="112">
        <f t="shared" si="17"/>
        <v>0.2233012263</v>
      </c>
      <c r="O27" s="112">
        <f t="shared" si="17"/>
        <v>0.1894107086</v>
      </c>
      <c r="P27" s="112">
        <f t="shared" si="17"/>
        <v>0.1894107086</v>
      </c>
      <c r="Q27" s="112">
        <f t="shared" si="17"/>
        <v>0.1894107086</v>
      </c>
      <c r="R27" s="112">
        <f t="shared" si="17"/>
        <v>0.1894107086</v>
      </c>
      <c r="S27" s="112">
        <f t="shared" si="17"/>
        <v>0.1894107086</v>
      </c>
      <c r="T27" s="25"/>
      <c r="U27" s="25"/>
      <c r="V27" s="25"/>
      <c r="W27" s="25"/>
      <c r="X27" s="25"/>
      <c r="Y27" s="25"/>
      <c r="Z27" s="25"/>
      <c r="AA27" s="25"/>
      <c r="AB27" s="25"/>
    </row>
    <row r="28" ht="15.0" customHeight="1">
      <c r="A28" s="47" t="s">
        <v>821</v>
      </c>
      <c r="B28" s="119">
        <f t="shared" ref="B28:S28" si="18">B24*$B158*$B148*$B152</f>
        <v>14.87131531</v>
      </c>
      <c r="C28" s="119">
        <f t="shared" si="18"/>
        <v>26.40302333</v>
      </c>
      <c r="D28" s="119">
        <f t="shared" si="18"/>
        <v>29.97157174</v>
      </c>
      <c r="E28" s="119">
        <f t="shared" si="18"/>
        <v>37.9192891</v>
      </c>
      <c r="F28" s="119">
        <f t="shared" si="18"/>
        <v>29.93613737</v>
      </c>
      <c r="G28" s="119">
        <f t="shared" si="18"/>
        <v>28.31749687</v>
      </c>
      <c r="H28" s="119">
        <f t="shared" si="18"/>
        <v>32.43134694</v>
      </c>
      <c r="I28" s="119">
        <f t="shared" si="18"/>
        <v>41.5451487</v>
      </c>
      <c r="J28" s="119">
        <f t="shared" si="18"/>
        <v>40.96841392</v>
      </c>
      <c r="K28" s="119">
        <f t="shared" si="18"/>
        <v>66.32408304</v>
      </c>
      <c r="L28" s="119">
        <f t="shared" si="18"/>
        <v>61.02515947</v>
      </c>
      <c r="M28" s="119">
        <f t="shared" si="18"/>
        <v>67.75610171</v>
      </c>
      <c r="N28" s="119">
        <f t="shared" si="18"/>
        <v>69.22338015</v>
      </c>
      <c r="O28" s="119">
        <f t="shared" si="18"/>
        <v>58.71731966</v>
      </c>
      <c r="P28" s="119">
        <f t="shared" si="18"/>
        <v>58.71731966</v>
      </c>
      <c r="Q28" s="119">
        <f t="shared" si="18"/>
        <v>58.71731966</v>
      </c>
      <c r="R28" s="119">
        <f t="shared" si="18"/>
        <v>58.71731966</v>
      </c>
      <c r="S28" s="119">
        <f t="shared" si="18"/>
        <v>58.71731966</v>
      </c>
      <c r="T28" s="25"/>
      <c r="U28" s="25"/>
      <c r="V28" s="25"/>
      <c r="W28" s="25"/>
      <c r="X28" s="25"/>
      <c r="Y28" s="25"/>
      <c r="Z28" s="25"/>
      <c r="AA28" s="25"/>
      <c r="AB28" s="25"/>
    </row>
    <row r="29" ht="12.75" customHeight="1">
      <c r="A29" s="120" t="s">
        <v>822</v>
      </c>
      <c r="B29" s="121">
        <f t="shared" ref="B29:S29" si="19">ROUND(B22+B26+B28,1)</f>
        <v>225.8</v>
      </c>
      <c r="C29" s="121">
        <f t="shared" si="19"/>
        <v>401</v>
      </c>
      <c r="D29" s="121">
        <f t="shared" si="19"/>
        <v>455.2</v>
      </c>
      <c r="E29" s="121">
        <f t="shared" si="19"/>
        <v>575.9</v>
      </c>
      <c r="F29" s="121">
        <f t="shared" si="19"/>
        <v>454.6</v>
      </c>
      <c r="G29" s="121">
        <f t="shared" si="19"/>
        <v>430.1</v>
      </c>
      <c r="H29" s="121">
        <f t="shared" si="19"/>
        <v>492.5</v>
      </c>
      <c r="I29" s="121">
        <f t="shared" si="19"/>
        <v>631</v>
      </c>
      <c r="J29" s="121">
        <f t="shared" si="19"/>
        <v>622.2</v>
      </c>
      <c r="K29" s="121">
        <f t="shared" si="19"/>
        <v>1007.3</v>
      </c>
      <c r="L29" s="121">
        <f t="shared" si="19"/>
        <v>926.8</v>
      </c>
      <c r="M29" s="121">
        <f t="shared" si="19"/>
        <v>983.5</v>
      </c>
      <c r="N29" s="121">
        <f t="shared" si="19"/>
        <v>1004.9</v>
      </c>
      <c r="O29" s="121">
        <f t="shared" si="19"/>
        <v>852.4</v>
      </c>
      <c r="P29" s="121">
        <f t="shared" si="19"/>
        <v>852.4</v>
      </c>
      <c r="Q29" s="121">
        <f t="shared" si="19"/>
        <v>852.4</v>
      </c>
      <c r="R29" s="121">
        <f t="shared" si="19"/>
        <v>852.4</v>
      </c>
      <c r="S29" s="121">
        <f t="shared" si="19"/>
        <v>852.4</v>
      </c>
      <c r="T29" s="25"/>
      <c r="U29" s="25"/>
      <c r="V29" s="25"/>
      <c r="W29" s="25"/>
      <c r="X29" s="25"/>
      <c r="Y29" s="25"/>
      <c r="Z29" s="25"/>
      <c r="AA29" s="25"/>
      <c r="AB29" s="25"/>
    </row>
    <row r="30" ht="12.75" customHeight="1">
      <c r="A30" s="47"/>
      <c r="B30" s="78"/>
      <c r="C30" s="25"/>
      <c r="D30" s="25"/>
    </row>
    <row r="31" ht="15.75" customHeight="1">
      <c r="A31" s="92" t="s">
        <v>823</v>
      </c>
      <c r="B31" s="25"/>
      <c r="C31" s="25"/>
      <c r="D31" s="25"/>
      <c r="H31" s="25"/>
      <c r="I31" s="25"/>
      <c r="J31" s="25"/>
    </row>
    <row r="32" ht="12.75" customHeight="1">
      <c r="A32" s="47"/>
      <c r="B32" s="25"/>
      <c r="C32" s="25"/>
      <c r="D32" s="25"/>
    </row>
    <row r="33" ht="13.5" customHeight="1">
      <c r="A33" s="65" t="s">
        <v>195</v>
      </c>
      <c r="B33" s="71" t="s">
        <v>76</v>
      </c>
      <c r="C33" s="71" t="s">
        <v>77</v>
      </c>
      <c r="D33" s="71" t="s">
        <v>78</v>
      </c>
      <c r="E33" s="67" t="s">
        <v>79</v>
      </c>
      <c r="F33" s="67" t="s">
        <v>80</v>
      </c>
      <c r="G33" s="71" t="s">
        <v>81</v>
      </c>
      <c r="H33" s="71" t="s">
        <v>82</v>
      </c>
      <c r="I33" s="71" t="s">
        <v>83</v>
      </c>
      <c r="J33" s="71" t="s">
        <v>84</v>
      </c>
      <c r="K33" s="71" t="s">
        <v>824</v>
      </c>
      <c r="L33" s="71" t="s">
        <v>85</v>
      </c>
      <c r="M33" s="71" t="s">
        <v>185</v>
      </c>
      <c r="N33" s="71" t="s">
        <v>186</v>
      </c>
      <c r="O33" s="71" t="s">
        <v>187</v>
      </c>
      <c r="P33" s="71" t="s">
        <v>188</v>
      </c>
      <c r="Q33" s="71" t="s">
        <v>71</v>
      </c>
      <c r="R33" s="71" t="s">
        <v>190</v>
      </c>
      <c r="S33" s="284" t="s">
        <v>191</v>
      </c>
    </row>
    <row r="34" ht="12.75" customHeight="1">
      <c r="A34" s="55" t="s">
        <v>825</v>
      </c>
      <c r="B34" s="286">
        <v>121401.0</v>
      </c>
      <c r="C34" s="286">
        <v>119960.43</v>
      </c>
      <c r="D34" s="294">
        <v>98291.0</v>
      </c>
      <c r="E34" s="286">
        <v>98964.0</v>
      </c>
      <c r="F34" s="286">
        <v>108947.0</v>
      </c>
      <c r="G34" s="286">
        <v>171327.0</v>
      </c>
      <c r="H34" s="286">
        <v>155368.0</v>
      </c>
      <c r="I34" s="286">
        <v>191578.62000000002</v>
      </c>
      <c r="J34" s="286">
        <v>228761.0</v>
      </c>
      <c r="K34" s="286">
        <v>0.0</v>
      </c>
      <c r="L34" s="286">
        <v>190422.0</v>
      </c>
      <c r="M34" s="286">
        <v>230142.93999999994</v>
      </c>
      <c r="N34" s="286">
        <v>270295.02</v>
      </c>
      <c r="O34" s="286">
        <v>189553.56</v>
      </c>
      <c r="P34" s="286">
        <v>189553.56</v>
      </c>
      <c r="Q34" s="286">
        <v>189553.56</v>
      </c>
      <c r="R34" s="286">
        <v>189553.56</v>
      </c>
      <c r="S34" s="286">
        <v>189553.56</v>
      </c>
      <c r="T34" s="25"/>
      <c r="U34" s="25"/>
      <c r="V34" s="25"/>
      <c r="W34" s="25"/>
      <c r="X34" s="25"/>
      <c r="Y34" s="25"/>
      <c r="Z34" s="25"/>
      <c r="AA34" s="25"/>
      <c r="AB34" s="25"/>
    </row>
    <row r="35" ht="12.75" customHeight="1">
      <c r="A35" s="65" t="s">
        <v>826</v>
      </c>
      <c r="B35" s="289"/>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ht="12.75" customHeight="1">
      <c r="A36" s="57" t="s">
        <v>827</v>
      </c>
      <c r="B36" s="295">
        <v>25.0</v>
      </c>
      <c r="C36" s="296">
        <v>25.0</v>
      </c>
      <c r="D36" s="296">
        <v>25.0</v>
      </c>
      <c r="E36" s="296">
        <v>25.0</v>
      </c>
      <c r="F36" s="296">
        <v>25.0</v>
      </c>
      <c r="G36" s="296">
        <v>25.0</v>
      </c>
      <c r="H36" s="296">
        <v>25.0</v>
      </c>
      <c r="I36" s="296">
        <v>25.0</v>
      </c>
      <c r="J36" s="296">
        <v>25.0</v>
      </c>
      <c r="K36" s="296">
        <v>25.0</v>
      </c>
      <c r="L36" s="296">
        <v>25.0</v>
      </c>
      <c r="M36" s="296">
        <v>25.0</v>
      </c>
      <c r="N36" s="296">
        <v>25.0</v>
      </c>
      <c r="O36" s="296">
        <v>25.0</v>
      </c>
      <c r="P36" s="296">
        <v>25.0</v>
      </c>
      <c r="Q36" s="296">
        <v>25.0</v>
      </c>
      <c r="R36" s="296">
        <v>25.0</v>
      </c>
      <c r="S36" s="296">
        <v>25.0</v>
      </c>
      <c r="T36" s="25"/>
      <c r="U36" s="25"/>
      <c r="V36" s="25"/>
      <c r="W36" s="25"/>
      <c r="X36" s="25"/>
      <c r="Y36" s="25"/>
      <c r="Z36" s="25"/>
      <c r="AA36" s="25"/>
      <c r="AB36" s="25"/>
    </row>
    <row r="37" ht="12.75" customHeight="1">
      <c r="A37" s="57" t="s">
        <v>828</v>
      </c>
      <c r="B37" s="297">
        <v>6.0</v>
      </c>
      <c r="C37" s="57">
        <v>6.0</v>
      </c>
      <c r="D37" s="57">
        <v>6.0</v>
      </c>
      <c r="E37" s="57">
        <v>6.0</v>
      </c>
      <c r="F37" s="57">
        <v>6.0</v>
      </c>
      <c r="G37" s="57">
        <v>6.0</v>
      </c>
      <c r="H37" s="57">
        <v>6.0</v>
      </c>
      <c r="I37" s="57">
        <v>6.0</v>
      </c>
      <c r="J37" s="57">
        <v>6.0</v>
      </c>
      <c r="K37" s="57">
        <v>6.0</v>
      </c>
      <c r="L37" s="57">
        <v>6.0</v>
      </c>
      <c r="M37" s="57">
        <v>6.0</v>
      </c>
      <c r="N37" s="57">
        <v>6.0</v>
      </c>
      <c r="O37" s="57">
        <v>6.0</v>
      </c>
      <c r="P37" s="57">
        <v>6.0</v>
      </c>
      <c r="Q37" s="57">
        <v>6.0</v>
      </c>
      <c r="R37" s="57">
        <v>6.0</v>
      </c>
      <c r="S37" s="57">
        <v>6.0</v>
      </c>
      <c r="T37" s="25"/>
      <c r="U37" s="25"/>
      <c r="V37" s="25"/>
      <c r="W37" s="25"/>
      <c r="X37" s="25"/>
      <c r="Y37" s="25"/>
      <c r="Z37" s="25"/>
      <c r="AA37" s="25"/>
      <c r="AB37" s="25"/>
    </row>
    <row r="38" ht="12.75" customHeight="1">
      <c r="A38" s="57" t="s">
        <v>829</v>
      </c>
      <c r="B38" s="298">
        <f>B36*B37</f>
        <v>150</v>
      </c>
      <c r="C38" s="298">
        <v>150.0</v>
      </c>
      <c r="D38" s="298">
        <v>150.0</v>
      </c>
      <c r="E38" s="298">
        <v>150.0</v>
      </c>
      <c r="F38" s="298">
        <v>150.0</v>
      </c>
      <c r="G38" s="298">
        <v>150.0</v>
      </c>
      <c r="H38" s="298">
        <v>150.0</v>
      </c>
      <c r="I38" s="298">
        <v>150.0</v>
      </c>
      <c r="J38" s="298">
        <v>150.0</v>
      </c>
      <c r="K38" s="298">
        <v>150.0</v>
      </c>
      <c r="L38" s="298">
        <v>150.0</v>
      </c>
      <c r="M38" s="298">
        <v>150.0</v>
      </c>
      <c r="N38" s="298">
        <v>150.0</v>
      </c>
      <c r="O38" s="298">
        <v>150.0</v>
      </c>
      <c r="P38" s="298">
        <v>150.0</v>
      </c>
      <c r="Q38" s="298">
        <v>150.0</v>
      </c>
      <c r="R38" s="298">
        <v>150.0</v>
      </c>
      <c r="S38" s="298">
        <v>150.0</v>
      </c>
      <c r="T38" s="25"/>
      <c r="U38" s="25"/>
      <c r="V38" s="25"/>
      <c r="W38" s="25"/>
      <c r="X38" s="25"/>
      <c r="Y38" s="25"/>
      <c r="Z38" s="25"/>
      <c r="AA38" s="25"/>
      <c r="AB38" s="25"/>
    </row>
    <row r="39" ht="12.75" customHeight="1">
      <c r="A39" s="25" t="s">
        <v>830</v>
      </c>
      <c r="B39" s="97">
        <v>40.0</v>
      </c>
      <c r="C39" s="97">
        <v>40.0</v>
      </c>
      <c r="D39" s="97">
        <v>40.0</v>
      </c>
      <c r="E39" s="97">
        <v>40.0</v>
      </c>
      <c r="F39" s="97">
        <v>41.0</v>
      </c>
      <c r="G39" s="97">
        <v>41.0</v>
      </c>
      <c r="H39" s="97">
        <v>41.0</v>
      </c>
      <c r="I39" s="97">
        <v>41.0</v>
      </c>
      <c r="J39" s="97">
        <v>41.0</v>
      </c>
      <c r="K39" s="97">
        <v>41.0</v>
      </c>
      <c r="L39" s="97">
        <v>41.0</v>
      </c>
      <c r="M39" s="97">
        <v>42.0</v>
      </c>
      <c r="N39" s="97">
        <v>42.0</v>
      </c>
      <c r="O39" s="97">
        <v>42.0</v>
      </c>
      <c r="P39" s="97">
        <v>42.0</v>
      </c>
      <c r="Q39" s="97">
        <v>42.0</v>
      </c>
      <c r="R39" s="97">
        <v>42.0</v>
      </c>
      <c r="S39" s="97">
        <v>42.0</v>
      </c>
      <c r="T39" s="25"/>
      <c r="U39" s="25"/>
      <c r="V39" s="25"/>
      <c r="W39" s="25"/>
      <c r="X39" s="25"/>
      <c r="Y39" s="25"/>
      <c r="Z39" s="25"/>
      <c r="AA39" s="25"/>
      <c r="AB39" s="25"/>
    </row>
    <row r="40" ht="12.75" customHeight="1">
      <c r="A40" s="25" t="s">
        <v>831</v>
      </c>
      <c r="B40" s="97">
        <f t="shared" ref="B40:S40" si="20">(B34/B38)*B39</f>
        <v>32373.6</v>
      </c>
      <c r="C40" s="97">
        <f t="shared" si="20"/>
        <v>31989.448</v>
      </c>
      <c r="D40" s="97">
        <f t="shared" si="20"/>
        <v>26210.93333</v>
      </c>
      <c r="E40" s="97">
        <f t="shared" si="20"/>
        <v>26390.4</v>
      </c>
      <c r="F40" s="97">
        <f t="shared" si="20"/>
        <v>29778.84667</v>
      </c>
      <c r="G40" s="97">
        <f t="shared" si="20"/>
        <v>46829.38</v>
      </c>
      <c r="H40" s="97">
        <f t="shared" si="20"/>
        <v>42467.25333</v>
      </c>
      <c r="I40" s="97">
        <f t="shared" si="20"/>
        <v>52364.8228</v>
      </c>
      <c r="J40" s="97">
        <f t="shared" si="20"/>
        <v>62528.00667</v>
      </c>
      <c r="K40" s="97">
        <f t="shared" si="20"/>
        <v>0</v>
      </c>
      <c r="L40" s="97">
        <f t="shared" si="20"/>
        <v>52048.68</v>
      </c>
      <c r="M40" s="97">
        <f t="shared" si="20"/>
        <v>64440.0232</v>
      </c>
      <c r="N40" s="97">
        <f t="shared" si="20"/>
        <v>75682.6056</v>
      </c>
      <c r="O40" s="97">
        <f t="shared" si="20"/>
        <v>53074.9968</v>
      </c>
      <c r="P40" s="97">
        <f t="shared" si="20"/>
        <v>53074.9968</v>
      </c>
      <c r="Q40" s="97">
        <f t="shared" si="20"/>
        <v>53074.9968</v>
      </c>
      <c r="R40" s="97">
        <f t="shared" si="20"/>
        <v>53074.9968</v>
      </c>
      <c r="S40" s="97">
        <f t="shared" si="20"/>
        <v>53074.9968</v>
      </c>
      <c r="T40" s="25"/>
      <c r="U40" s="25"/>
      <c r="V40" s="25"/>
      <c r="W40" s="25"/>
      <c r="X40" s="25"/>
      <c r="Y40" s="25"/>
      <c r="Z40" s="25"/>
      <c r="AA40" s="25"/>
      <c r="AB40" s="25"/>
    </row>
    <row r="41" ht="12.75" customHeight="1">
      <c r="A41" s="57" t="s">
        <v>832</v>
      </c>
      <c r="B41" s="297">
        <v>15.0</v>
      </c>
      <c r="C41" s="57">
        <v>15.0</v>
      </c>
      <c r="D41" s="57">
        <v>15.0</v>
      </c>
      <c r="E41" s="57">
        <v>15.0</v>
      </c>
      <c r="F41" s="57">
        <v>16.0</v>
      </c>
      <c r="G41" s="57">
        <v>16.0</v>
      </c>
      <c r="H41" s="57">
        <v>16.0</v>
      </c>
      <c r="I41" s="57">
        <v>16.0</v>
      </c>
      <c r="J41" s="57">
        <v>16.0</v>
      </c>
      <c r="K41" s="57">
        <v>16.0</v>
      </c>
      <c r="L41" s="57">
        <v>16.0</v>
      </c>
      <c r="M41" s="57">
        <v>17.0</v>
      </c>
      <c r="N41" s="57">
        <v>17.0</v>
      </c>
      <c r="O41" s="57">
        <v>17.0</v>
      </c>
      <c r="P41" s="57">
        <v>17.0</v>
      </c>
      <c r="Q41" s="57">
        <v>17.0</v>
      </c>
      <c r="R41" s="57">
        <v>17.0</v>
      </c>
      <c r="S41" s="57">
        <v>17.0</v>
      </c>
      <c r="T41" s="25"/>
      <c r="U41" s="25"/>
      <c r="V41" s="25"/>
      <c r="W41" s="25"/>
      <c r="X41" s="25"/>
      <c r="Y41" s="25"/>
      <c r="Z41" s="25"/>
      <c r="AA41" s="25"/>
      <c r="AB41" s="25"/>
    </row>
    <row r="42" ht="12.75" customHeight="1">
      <c r="A42" s="25" t="s">
        <v>833</v>
      </c>
      <c r="B42" s="97">
        <f t="shared" ref="B42:S42" si="21">B40/B41</f>
        <v>2158.24</v>
      </c>
      <c r="C42" s="97">
        <f t="shared" si="21"/>
        <v>2132.629867</v>
      </c>
      <c r="D42" s="97">
        <f t="shared" si="21"/>
        <v>1747.395556</v>
      </c>
      <c r="E42" s="97">
        <f t="shared" si="21"/>
        <v>1759.36</v>
      </c>
      <c r="F42" s="97">
        <f t="shared" si="21"/>
        <v>1861.177917</v>
      </c>
      <c r="G42" s="97">
        <f t="shared" si="21"/>
        <v>2926.83625</v>
      </c>
      <c r="H42" s="97">
        <f t="shared" si="21"/>
        <v>2654.203333</v>
      </c>
      <c r="I42" s="97">
        <f t="shared" si="21"/>
        <v>3272.801425</v>
      </c>
      <c r="J42" s="97">
        <f t="shared" si="21"/>
        <v>3908.000417</v>
      </c>
      <c r="K42" s="97">
        <f t="shared" si="21"/>
        <v>0</v>
      </c>
      <c r="L42" s="97">
        <f t="shared" si="21"/>
        <v>3253.0425</v>
      </c>
      <c r="M42" s="97">
        <f t="shared" si="21"/>
        <v>3790.5896</v>
      </c>
      <c r="N42" s="97">
        <f t="shared" si="21"/>
        <v>4451.917976</v>
      </c>
      <c r="O42" s="97">
        <f t="shared" si="21"/>
        <v>3122.058635</v>
      </c>
      <c r="P42" s="97">
        <f t="shared" si="21"/>
        <v>3122.058635</v>
      </c>
      <c r="Q42" s="97">
        <f t="shared" si="21"/>
        <v>3122.058635</v>
      </c>
      <c r="R42" s="97">
        <f t="shared" si="21"/>
        <v>3122.058635</v>
      </c>
      <c r="S42" s="97">
        <f t="shared" si="21"/>
        <v>3122.058635</v>
      </c>
    </row>
    <row r="43" ht="12.75" customHeight="1">
      <c r="A43" s="25" t="s">
        <v>197</v>
      </c>
      <c r="B43" s="73">
        <f t="shared" ref="B43:S43" si="22">ROUND(B42*$B165,1)</f>
        <v>269.9</v>
      </c>
      <c r="C43" s="73">
        <f t="shared" si="22"/>
        <v>266.7</v>
      </c>
      <c r="D43" s="73">
        <f t="shared" si="22"/>
        <v>218.5</v>
      </c>
      <c r="E43" s="73">
        <f t="shared" si="22"/>
        <v>220</v>
      </c>
      <c r="F43" s="73">
        <f t="shared" si="22"/>
        <v>232.8</v>
      </c>
      <c r="G43" s="73">
        <f t="shared" si="22"/>
        <v>366.1</v>
      </c>
      <c r="H43" s="73">
        <f t="shared" si="22"/>
        <v>332</v>
      </c>
      <c r="I43" s="73">
        <f t="shared" si="22"/>
        <v>409.3</v>
      </c>
      <c r="J43" s="73">
        <f t="shared" si="22"/>
        <v>488.8</v>
      </c>
      <c r="K43" s="73">
        <f t="shared" si="22"/>
        <v>0</v>
      </c>
      <c r="L43" s="73">
        <f t="shared" si="22"/>
        <v>406.9</v>
      </c>
      <c r="M43" s="73">
        <f t="shared" si="22"/>
        <v>474.1</v>
      </c>
      <c r="N43" s="73">
        <f t="shared" si="22"/>
        <v>556.8</v>
      </c>
      <c r="O43" s="73">
        <f t="shared" si="22"/>
        <v>390.5</v>
      </c>
      <c r="P43" s="73">
        <f t="shared" si="22"/>
        <v>390.5</v>
      </c>
      <c r="Q43" s="73">
        <f t="shared" si="22"/>
        <v>390.5</v>
      </c>
      <c r="R43" s="73">
        <f t="shared" si="22"/>
        <v>390.5</v>
      </c>
      <c r="S43" s="73">
        <f t="shared" si="22"/>
        <v>390.5</v>
      </c>
    </row>
    <row r="44" ht="15.0" customHeight="1">
      <c r="A44" s="47" t="s">
        <v>834</v>
      </c>
      <c r="B44" s="78">
        <f t="shared" ref="B44:S44" si="23">ROUND(B42*$B166,1)</f>
        <v>18.9</v>
      </c>
      <c r="C44" s="78">
        <f t="shared" si="23"/>
        <v>18.7</v>
      </c>
      <c r="D44" s="78">
        <f t="shared" si="23"/>
        <v>15.3</v>
      </c>
      <c r="E44" s="78">
        <f t="shared" si="23"/>
        <v>15.4</v>
      </c>
      <c r="F44" s="78">
        <f t="shared" si="23"/>
        <v>16.3</v>
      </c>
      <c r="G44" s="78">
        <f t="shared" si="23"/>
        <v>25.7</v>
      </c>
      <c r="H44" s="78">
        <f t="shared" si="23"/>
        <v>23.3</v>
      </c>
      <c r="I44" s="78">
        <f t="shared" si="23"/>
        <v>28.7</v>
      </c>
      <c r="J44" s="78">
        <f t="shared" si="23"/>
        <v>34.3</v>
      </c>
      <c r="K44" s="78">
        <f t="shared" si="23"/>
        <v>0</v>
      </c>
      <c r="L44" s="78">
        <f t="shared" si="23"/>
        <v>28.5</v>
      </c>
      <c r="M44" s="78">
        <f t="shared" si="23"/>
        <v>33.3</v>
      </c>
      <c r="N44" s="78">
        <f t="shared" si="23"/>
        <v>39.1</v>
      </c>
      <c r="O44" s="78">
        <f t="shared" si="23"/>
        <v>27.4</v>
      </c>
      <c r="P44" s="78">
        <f t="shared" si="23"/>
        <v>27.4</v>
      </c>
      <c r="Q44" s="78">
        <f t="shared" si="23"/>
        <v>27.4</v>
      </c>
      <c r="R44" s="78">
        <f t="shared" si="23"/>
        <v>27.4</v>
      </c>
      <c r="S44" s="78">
        <f t="shared" si="23"/>
        <v>27.4</v>
      </c>
    </row>
    <row r="45" ht="15.0" customHeight="1">
      <c r="A45" s="25" t="s">
        <v>835</v>
      </c>
      <c r="B45" s="112">
        <f t="shared" ref="B45:S45" si="24">($B167*B40*$B148)</f>
        <v>0.00642292224</v>
      </c>
      <c r="C45" s="112">
        <f t="shared" si="24"/>
        <v>0.006346706483</v>
      </c>
      <c r="D45" s="112">
        <f t="shared" si="24"/>
        <v>0.005200249173</v>
      </c>
      <c r="E45" s="112">
        <f t="shared" si="24"/>
        <v>0.00523585536</v>
      </c>
      <c r="F45" s="112">
        <f t="shared" si="24"/>
        <v>0.005908123179</v>
      </c>
      <c r="G45" s="112">
        <f t="shared" si="24"/>
        <v>0.009290948992</v>
      </c>
      <c r="H45" s="112">
        <f t="shared" si="24"/>
        <v>0.008425503061</v>
      </c>
      <c r="I45" s="112">
        <f t="shared" si="24"/>
        <v>0.01038918084</v>
      </c>
      <c r="J45" s="112">
        <f t="shared" si="24"/>
        <v>0.01240555652</v>
      </c>
      <c r="K45" s="112">
        <f t="shared" si="24"/>
        <v>0</v>
      </c>
      <c r="L45" s="112">
        <f t="shared" si="24"/>
        <v>0.01032645811</v>
      </c>
      <c r="M45" s="112">
        <f t="shared" si="24"/>
        <v>0.0127849006</v>
      </c>
      <c r="N45" s="112">
        <f t="shared" si="24"/>
        <v>0.01501542895</v>
      </c>
      <c r="O45" s="112">
        <f t="shared" si="24"/>
        <v>0.01053007937</v>
      </c>
      <c r="P45" s="112">
        <f t="shared" si="24"/>
        <v>0.01053007937</v>
      </c>
      <c r="Q45" s="112">
        <f t="shared" si="24"/>
        <v>0.01053007937</v>
      </c>
      <c r="R45" s="112">
        <f t="shared" si="24"/>
        <v>0.01053007937</v>
      </c>
      <c r="S45" s="112">
        <f t="shared" si="24"/>
        <v>0.01053007937</v>
      </c>
    </row>
    <row r="46" ht="15.0" customHeight="1">
      <c r="A46" s="47" t="s">
        <v>836</v>
      </c>
      <c r="B46" s="126">
        <f t="shared" ref="B46:S46" si="25">B40*$B167*$B148*$B151</f>
        <v>0.134881367</v>
      </c>
      <c r="C46" s="126">
        <f t="shared" si="25"/>
        <v>0.1332808361</v>
      </c>
      <c r="D46" s="126">
        <f t="shared" si="25"/>
        <v>0.1092052326</v>
      </c>
      <c r="E46" s="126">
        <f t="shared" si="25"/>
        <v>0.1099529626</v>
      </c>
      <c r="F46" s="126">
        <f t="shared" si="25"/>
        <v>0.1240705868</v>
      </c>
      <c r="G46" s="126">
        <f t="shared" si="25"/>
        <v>0.1951099288</v>
      </c>
      <c r="H46" s="126">
        <f t="shared" si="25"/>
        <v>0.1769355643</v>
      </c>
      <c r="I46" s="126">
        <f t="shared" si="25"/>
        <v>0.2181727977</v>
      </c>
      <c r="J46" s="126">
        <f t="shared" si="25"/>
        <v>0.260516687</v>
      </c>
      <c r="K46" s="126">
        <f t="shared" si="25"/>
        <v>0</v>
      </c>
      <c r="L46" s="126">
        <f t="shared" si="25"/>
        <v>0.2168556204</v>
      </c>
      <c r="M46" s="126">
        <f t="shared" si="25"/>
        <v>0.2684829127</v>
      </c>
      <c r="N46" s="126">
        <f t="shared" si="25"/>
        <v>0.315324008</v>
      </c>
      <c r="O46" s="126">
        <f t="shared" si="25"/>
        <v>0.2211316667</v>
      </c>
      <c r="P46" s="126">
        <f t="shared" si="25"/>
        <v>0.2211316667</v>
      </c>
      <c r="Q46" s="126">
        <f t="shared" si="25"/>
        <v>0.2211316667</v>
      </c>
      <c r="R46" s="126">
        <f t="shared" si="25"/>
        <v>0.2211316667</v>
      </c>
      <c r="S46" s="126">
        <f t="shared" si="25"/>
        <v>0.2211316667</v>
      </c>
    </row>
    <row r="47" ht="15.0" customHeight="1">
      <c r="A47" s="25" t="s">
        <v>837</v>
      </c>
      <c r="B47" s="112">
        <f t="shared" ref="B47:S47" si="26">($B168*B40*$B148)</f>
        <v>0.00491107512</v>
      </c>
      <c r="C47" s="112">
        <f t="shared" si="26"/>
        <v>0.004852799262</v>
      </c>
      <c r="D47" s="112">
        <f t="shared" si="26"/>
        <v>0.003976198587</v>
      </c>
      <c r="E47" s="112">
        <f t="shared" si="26"/>
        <v>0.00400342368</v>
      </c>
      <c r="F47" s="112">
        <f t="shared" si="26"/>
        <v>0.004517451039</v>
      </c>
      <c r="G47" s="112">
        <f t="shared" si="26"/>
        <v>0.007104016946</v>
      </c>
      <c r="H47" s="112">
        <f t="shared" si="26"/>
        <v>0.006442282331</v>
      </c>
      <c r="I47" s="112">
        <f t="shared" si="26"/>
        <v>0.007943743619</v>
      </c>
      <c r="J47" s="112">
        <f t="shared" si="26"/>
        <v>0.009485498611</v>
      </c>
      <c r="K47" s="112">
        <f t="shared" si="26"/>
        <v>0</v>
      </c>
      <c r="L47" s="112">
        <f t="shared" si="26"/>
        <v>0.007895784756</v>
      </c>
      <c r="M47" s="112">
        <f t="shared" si="26"/>
        <v>0.009775551519</v>
      </c>
      <c r="N47" s="112">
        <f t="shared" si="26"/>
        <v>0.01148105127</v>
      </c>
      <c r="O47" s="112">
        <f t="shared" si="26"/>
        <v>0.008051477015</v>
      </c>
      <c r="P47" s="112">
        <f t="shared" si="26"/>
        <v>0.008051477015</v>
      </c>
      <c r="Q47" s="112">
        <f t="shared" si="26"/>
        <v>0.008051477015</v>
      </c>
      <c r="R47" s="112">
        <f t="shared" si="26"/>
        <v>0.008051477015</v>
      </c>
      <c r="S47" s="112">
        <f t="shared" si="26"/>
        <v>0.008051477015</v>
      </c>
    </row>
    <row r="48" ht="15.0" customHeight="1">
      <c r="A48" s="47" t="s">
        <v>838</v>
      </c>
      <c r="B48" s="119">
        <f t="shared" ref="B48:S48" si="27">B40*$B168*$B148*$B152</f>
        <v>1.522433287</v>
      </c>
      <c r="C48" s="119">
        <f t="shared" si="27"/>
        <v>1.504367771</v>
      </c>
      <c r="D48" s="119">
        <f t="shared" si="27"/>
        <v>1.232621562</v>
      </c>
      <c r="E48" s="119">
        <f t="shared" si="27"/>
        <v>1.241061341</v>
      </c>
      <c r="F48" s="119">
        <f t="shared" si="27"/>
        <v>1.400409822</v>
      </c>
      <c r="G48" s="119">
        <f t="shared" si="27"/>
        <v>2.202245253</v>
      </c>
      <c r="H48" s="119">
        <f t="shared" si="27"/>
        <v>1.997107523</v>
      </c>
      <c r="I48" s="119">
        <f t="shared" si="27"/>
        <v>2.462560522</v>
      </c>
      <c r="J48" s="119">
        <f t="shared" si="27"/>
        <v>2.94050457</v>
      </c>
      <c r="K48" s="119">
        <f t="shared" si="27"/>
        <v>0</v>
      </c>
      <c r="L48" s="119">
        <f t="shared" si="27"/>
        <v>2.447693274</v>
      </c>
      <c r="M48" s="119">
        <f t="shared" si="27"/>
        <v>3.030420971</v>
      </c>
      <c r="N48" s="119">
        <f t="shared" si="27"/>
        <v>3.559125894</v>
      </c>
      <c r="O48" s="119">
        <f t="shared" si="27"/>
        <v>2.495957875</v>
      </c>
      <c r="P48" s="119">
        <f t="shared" si="27"/>
        <v>2.495957875</v>
      </c>
      <c r="Q48" s="119">
        <f t="shared" si="27"/>
        <v>2.495957875</v>
      </c>
      <c r="R48" s="119">
        <f t="shared" si="27"/>
        <v>2.495957875</v>
      </c>
      <c r="S48" s="119">
        <f t="shared" si="27"/>
        <v>2.495957875</v>
      </c>
    </row>
    <row r="49" ht="12.75" customHeight="1">
      <c r="A49" s="299" t="s">
        <v>839</v>
      </c>
      <c r="B49" s="300">
        <f t="shared" ref="B49:S49" si="28">ROUND(B44+B46+B48,1)</f>
        <v>20.6</v>
      </c>
      <c r="C49" s="300">
        <f t="shared" si="28"/>
        <v>20.3</v>
      </c>
      <c r="D49" s="300">
        <f t="shared" si="28"/>
        <v>16.6</v>
      </c>
      <c r="E49" s="300">
        <f t="shared" si="28"/>
        <v>16.8</v>
      </c>
      <c r="F49" s="300">
        <f t="shared" si="28"/>
        <v>17.8</v>
      </c>
      <c r="G49" s="300">
        <f t="shared" si="28"/>
        <v>28.1</v>
      </c>
      <c r="H49" s="300">
        <f t="shared" si="28"/>
        <v>25.5</v>
      </c>
      <c r="I49" s="300">
        <f t="shared" si="28"/>
        <v>31.4</v>
      </c>
      <c r="J49" s="300">
        <f t="shared" si="28"/>
        <v>37.5</v>
      </c>
      <c r="K49" s="300">
        <f t="shared" si="28"/>
        <v>0</v>
      </c>
      <c r="L49" s="300">
        <f t="shared" si="28"/>
        <v>31.2</v>
      </c>
      <c r="M49" s="300">
        <f t="shared" si="28"/>
        <v>36.6</v>
      </c>
      <c r="N49" s="300">
        <f t="shared" si="28"/>
        <v>43</v>
      </c>
      <c r="O49" s="300">
        <f t="shared" si="28"/>
        <v>30.1</v>
      </c>
      <c r="P49" s="300">
        <f t="shared" si="28"/>
        <v>30.1</v>
      </c>
      <c r="Q49" s="300">
        <f t="shared" si="28"/>
        <v>30.1</v>
      </c>
      <c r="R49" s="300">
        <f t="shared" si="28"/>
        <v>30.1</v>
      </c>
      <c r="S49" s="300">
        <f t="shared" si="28"/>
        <v>30.1</v>
      </c>
    </row>
    <row r="50" ht="12.75" customHeight="1">
      <c r="A50" s="25"/>
      <c r="B50" s="25"/>
      <c r="C50" s="25"/>
      <c r="D50" s="25"/>
      <c r="E50" s="25"/>
      <c r="F50" s="25"/>
      <c r="G50" s="25"/>
      <c r="H50" s="25"/>
      <c r="I50" s="25"/>
      <c r="J50" s="25"/>
    </row>
    <row r="51" ht="88.5" customHeight="1">
      <c r="A51" s="301" t="s">
        <v>840</v>
      </c>
      <c r="B51" s="90"/>
      <c r="C51" s="90"/>
      <c r="D51" s="90"/>
      <c r="E51" s="90"/>
      <c r="F51" s="90"/>
      <c r="G51" s="91"/>
      <c r="H51" s="302"/>
      <c r="I51" s="302"/>
      <c r="J51" s="302"/>
      <c r="K51" s="302"/>
      <c r="L51" s="302"/>
      <c r="M51" s="302"/>
      <c r="N51" s="302"/>
      <c r="O51" s="302"/>
      <c r="P51" s="302"/>
      <c r="Q51" s="302"/>
      <c r="R51" s="302"/>
      <c r="S51" s="302"/>
      <c r="T51" s="302"/>
      <c r="U51" s="302"/>
      <c r="V51" s="302"/>
      <c r="W51" s="302"/>
      <c r="X51" s="302"/>
      <c r="Y51" s="302"/>
      <c r="Z51" s="302"/>
      <c r="AA51" s="302"/>
      <c r="AB51" s="302"/>
    </row>
    <row r="52" ht="12.75" customHeight="1">
      <c r="A52" s="302"/>
      <c r="B52" s="302"/>
      <c r="C52" s="302"/>
      <c r="D52" s="302"/>
      <c r="E52" s="302"/>
      <c r="F52" s="302"/>
      <c r="G52" s="302"/>
      <c r="H52" s="302"/>
      <c r="I52" s="302"/>
      <c r="J52" s="302"/>
      <c r="K52" s="302"/>
      <c r="L52" s="302"/>
      <c r="M52" s="302"/>
      <c r="N52" s="302"/>
      <c r="O52" s="302"/>
      <c r="P52" s="302"/>
      <c r="Q52" s="302"/>
      <c r="R52" s="302"/>
      <c r="S52" s="302"/>
      <c r="T52" s="302"/>
      <c r="U52" s="302"/>
      <c r="V52" s="302"/>
      <c r="W52" s="302"/>
      <c r="X52" s="302"/>
      <c r="Y52" s="302"/>
      <c r="Z52" s="302"/>
      <c r="AA52" s="302"/>
      <c r="AB52" s="302"/>
    </row>
    <row r="53" ht="15.75" customHeight="1">
      <c r="A53" s="92" t="s">
        <v>841</v>
      </c>
      <c r="B53" s="25"/>
      <c r="C53" s="25"/>
      <c r="D53" s="25"/>
      <c r="E53" s="25"/>
      <c r="F53" s="25"/>
      <c r="G53" s="25"/>
      <c r="H53" s="25"/>
      <c r="I53" s="25"/>
      <c r="J53" s="25"/>
    </row>
    <row r="54" ht="12.75" customHeight="1">
      <c r="A54" s="47"/>
      <c r="B54" s="65" t="s">
        <v>55</v>
      </c>
      <c r="C54" s="25"/>
      <c r="D54" s="25"/>
      <c r="E54" s="25"/>
      <c r="F54" s="25"/>
      <c r="G54" s="25"/>
      <c r="H54" s="25"/>
      <c r="I54" s="25"/>
      <c r="J54" s="25"/>
    </row>
    <row r="55" ht="13.5" customHeight="1">
      <c r="A55" s="65" t="s">
        <v>195</v>
      </c>
      <c r="B55" s="86" t="s">
        <v>76</v>
      </c>
      <c r="C55" s="86" t="s">
        <v>77</v>
      </c>
      <c r="D55" s="86" t="s">
        <v>78</v>
      </c>
      <c r="E55" s="86" t="s">
        <v>79</v>
      </c>
      <c r="F55" s="86" t="s">
        <v>80</v>
      </c>
      <c r="G55" s="86" t="s">
        <v>81</v>
      </c>
      <c r="H55" s="86" t="s">
        <v>63</v>
      </c>
      <c r="I55" s="86" t="s">
        <v>64</v>
      </c>
      <c r="J55" s="86" t="s">
        <v>84</v>
      </c>
      <c r="K55" s="86" t="s">
        <v>824</v>
      </c>
      <c r="L55" s="86" t="s">
        <v>85</v>
      </c>
      <c r="M55" s="71" t="s">
        <v>185</v>
      </c>
      <c r="N55" s="71" t="s">
        <v>186</v>
      </c>
      <c r="O55" s="71" t="s">
        <v>187</v>
      </c>
      <c r="P55" s="71" t="s">
        <v>188</v>
      </c>
      <c r="Q55" s="71" t="s">
        <v>189</v>
      </c>
      <c r="R55" s="71" t="s">
        <v>190</v>
      </c>
      <c r="S55" s="284" t="s">
        <v>191</v>
      </c>
    </row>
    <row r="56" ht="13.5" customHeight="1">
      <c r="A56" s="55" t="s">
        <v>842</v>
      </c>
      <c r="B56" s="286">
        <v>278265.0</v>
      </c>
      <c r="C56" s="286">
        <v>281232.68</v>
      </c>
      <c r="D56" s="294">
        <v>263807.0</v>
      </c>
      <c r="E56" s="303">
        <v>303160.0</v>
      </c>
      <c r="F56" s="303">
        <v>369243.0</v>
      </c>
      <c r="G56" s="303">
        <v>463534.0</v>
      </c>
      <c r="H56" s="303">
        <v>459053.0</v>
      </c>
      <c r="I56" s="303">
        <v>477637.74</v>
      </c>
      <c r="J56" s="303">
        <v>502938.0</v>
      </c>
      <c r="K56" s="303">
        <v>0.0</v>
      </c>
      <c r="L56" s="303">
        <v>509327.0</v>
      </c>
      <c r="M56" s="303">
        <v>558054.3099999998</v>
      </c>
      <c r="N56" s="303">
        <v>436828.74999999994</v>
      </c>
      <c r="O56" s="304">
        <v>459714.95000000007</v>
      </c>
      <c r="P56" s="304">
        <v>459714.95000000007</v>
      </c>
      <c r="Q56" s="304">
        <v>459714.95000000007</v>
      </c>
      <c r="R56" s="304">
        <v>459714.95000000007</v>
      </c>
      <c r="S56" s="304">
        <v>459714.95000000007</v>
      </c>
      <c r="T56" s="25"/>
      <c r="U56" s="25"/>
      <c r="V56" s="25"/>
      <c r="W56" s="25"/>
      <c r="X56" s="25"/>
      <c r="Y56" s="25"/>
      <c r="Z56" s="25"/>
      <c r="AA56" s="25"/>
      <c r="AB56" s="25"/>
    </row>
    <row r="57" ht="12.75" customHeight="1">
      <c r="A57" s="57" t="s">
        <v>843</v>
      </c>
      <c r="B57" s="305">
        <v>55.0</v>
      </c>
      <c r="C57" s="305">
        <v>55.0</v>
      </c>
      <c r="D57" s="305">
        <v>55.0</v>
      </c>
      <c r="E57" s="305">
        <v>55.0</v>
      </c>
      <c r="F57" s="305">
        <v>55.0</v>
      </c>
      <c r="G57" s="305">
        <v>55.0</v>
      </c>
      <c r="H57" s="305">
        <v>55.0</v>
      </c>
      <c r="I57" s="305">
        <v>55.0</v>
      </c>
      <c r="J57" s="305">
        <v>55.0</v>
      </c>
      <c r="K57" s="305">
        <v>55.0</v>
      </c>
      <c r="L57" s="305">
        <v>55.0</v>
      </c>
      <c r="M57" s="305">
        <v>56.0</v>
      </c>
      <c r="N57" s="305">
        <v>56.0</v>
      </c>
      <c r="O57" s="305">
        <v>56.0</v>
      </c>
      <c r="P57" s="305">
        <v>56.0</v>
      </c>
      <c r="Q57" s="305">
        <v>56.0</v>
      </c>
      <c r="R57" s="305">
        <v>56.0</v>
      </c>
      <c r="S57" s="305">
        <v>56.0</v>
      </c>
      <c r="T57" s="25"/>
      <c r="U57" s="25"/>
      <c r="V57" s="25"/>
      <c r="W57" s="25"/>
      <c r="X57" s="25"/>
      <c r="Y57" s="25"/>
      <c r="Z57" s="25"/>
      <c r="AA57" s="25"/>
      <c r="AB57" s="25"/>
    </row>
    <row r="58" ht="12.75" customHeight="1">
      <c r="A58" s="57" t="s">
        <v>844</v>
      </c>
      <c r="B58" s="298">
        <v>101.0</v>
      </c>
      <c r="C58" s="306">
        <v>101.0</v>
      </c>
      <c r="D58" s="306">
        <v>101.0</v>
      </c>
      <c r="E58" s="306">
        <v>101.0</v>
      </c>
      <c r="F58" s="306">
        <v>101.0</v>
      </c>
      <c r="G58" s="306">
        <v>101.0</v>
      </c>
      <c r="H58" s="306">
        <v>101.0</v>
      </c>
      <c r="I58" s="306">
        <v>101.0</v>
      </c>
      <c r="J58" s="306">
        <v>101.0</v>
      </c>
      <c r="K58" s="306">
        <v>101.0</v>
      </c>
      <c r="L58" s="306">
        <v>101.0</v>
      </c>
      <c r="M58" s="306">
        <v>101.0</v>
      </c>
      <c r="N58" s="306">
        <v>101.0</v>
      </c>
      <c r="O58" s="306">
        <v>101.0</v>
      </c>
      <c r="P58" s="306">
        <v>101.0</v>
      </c>
      <c r="Q58" s="306">
        <v>101.0</v>
      </c>
      <c r="R58" s="306">
        <v>101.0</v>
      </c>
      <c r="S58" s="306">
        <v>101.0</v>
      </c>
      <c r="T58" s="25"/>
      <c r="U58" s="25"/>
      <c r="V58" s="25"/>
      <c r="W58" s="25"/>
      <c r="X58" s="25"/>
      <c r="Y58" s="25"/>
      <c r="Z58" s="25"/>
      <c r="AA58" s="25"/>
      <c r="AB58" s="25"/>
    </row>
    <row r="59" ht="12.75" customHeight="1">
      <c r="A59" s="57" t="s">
        <v>845</v>
      </c>
      <c r="B59" s="295">
        <v>3.55</v>
      </c>
      <c r="C59" s="296">
        <v>3.55</v>
      </c>
      <c r="D59" s="296">
        <v>3.55</v>
      </c>
      <c r="E59" s="296">
        <v>3.55</v>
      </c>
      <c r="F59" s="296">
        <v>3.55</v>
      </c>
      <c r="G59" s="296">
        <v>3.55</v>
      </c>
      <c r="H59" s="296">
        <v>3.55</v>
      </c>
      <c r="I59" s="296">
        <v>3.55</v>
      </c>
      <c r="J59" s="296">
        <v>3.55</v>
      </c>
      <c r="K59" s="296">
        <v>3.55</v>
      </c>
      <c r="L59" s="296">
        <v>3.55</v>
      </c>
      <c r="M59" s="296">
        <v>3.55</v>
      </c>
      <c r="N59" s="296">
        <v>3.55</v>
      </c>
      <c r="O59" s="296">
        <v>3.55</v>
      </c>
      <c r="P59" s="296">
        <v>3.55</v>
      </c>
      <c r="Q59" s="296">
        <v>3.55</v>
      </c>
      <c r="R59" s="296">
        <v>3.55</v>
      </c>
      <c r="S59" s="296">
        <v>3.55</v>
      </c>
      <c r="T59" s="25"/>
      <c r="U59" s="25"/>
      <c r="V59" s="25"/>
      <c r="W59" s="25"/>
      <c r="X59" s="25"/>
      <c r="Y59" s="25"/>
      <c r="Z59" s="25"/>
      <c r="AA59" s="25"/>
      <c r="AB59" s="25"/>
    </row>
    <row r="60" ht="12.75" customHeight="1">
      <c r="A60" s="57" t="s">
        <v>846</v>
      </c>
      <c r="B60" s="295">
        <v>3.55</v>
      </c>
      <c r="C60" s="296">
        <v>3.55</v>
      </c>
      <c r="D60" s="296">
        <v>3.55</v>
      </c>
      <c r="E60" s="296">
        <v>3.55</v>
      </c>
      <c r="F60" s="296">
        <v>3.55</v>
      </c>
      <c r="G60" s="296">
        <v>3.55</v>
      </c>
      <c r="H60" s="296">
        <v>3.55</v>
      </c>
      <c r="I60" s="296">
        <v>3.55</v>
      </c>
      <c r="J60" s="296">
        <v>3.55</v>
      </c>
      <c r="K60" s="296">
        <v>3.55</v>
      </c>
      <c r="L60" s="296">
        <v>3.55</v>
      </c>
      <c r="M60" s="296">
        <v>3.55</v>
      </c>
      <c r="N60" s="296">
        <v>3.55</v>
      </c>
      <c r="O60" s="296">
        <v>3.55</v>
      </c>
      <c r="P60" s="296">
        <v>3.55</v>
      </c>
      <c r="Q60" s="296">
        <v>3.55</v>
      </c>
      <c r="R60" s="296">
        <v>3.55</v>
      </c>
      <c r="S60" s="296">
        <v>3.55</v>
      </c>
      <c r="T60" s="25"/>
      <c r="U60" s="25"/>
      <c r="V60" s="25"/>
      <c r="W60" s="25"/>
      <c r="X60" s="25"/>
      <c r="Y60" s="25"/>
      <c r="Z60" s="25"/>
      <c r="AA60" s="25"/>
      <c r="AB60" s="25"/>
    </row>
    <row r="61" ht="12.75" customHeight="1">
      <c r="A61" s="65" t="s">
        <v>847</v>
      </c>
      <c r="B61" s="307"/>
      <c r="C61" s="25"/>
      <c r="D61" s="25"/>
    </row>
    <row r="62" ht="12.75" customHeight="1">
      <c r="A62" s="25" t="s">
        <v>848</v>
      </c>
      <c r="B62" s="106">
        <f t="shared" ref="B62:S62" si="29">$B183/$B185</f>
        <v>56.18181818</v>
      </c>
      <c r="C62" s="106">
        <f t="shared" si="29"/>
        <v>56.18181818</v>
      </c>
      <c r="D62" s="106">
        <f t="shared" si="29"/>
        <v>56.18181818</v>
      </c>
      <c r="E62" s="106">
        <f t="shared" si="29"/>
        <v>56.18181818</v>
      </c>
      <c r="F62" s="106">
        <f t="shared" si="29"/>
        <v>56.18181818</v>
      </c>
      <c r="G62" s="106">
        <f t="shared" si="29"/>
        <v>56.18181818</v>
      </c>
      <c r="H62" s="106">
        <f t="shared" si="29"/>
        <v>56.18181818</v>
      </c>
      <c r="I62" s="106">
        <f t="shared" si="29"/>
        <v>56.18181818</v>
      </c>
      <c r="J62" s="106">
        <f t="shared" si="29"/>
        <v>56.18181818</v>
      </c>
      <c r="K62" s="106">
        <f t="shared" si="29"/>
        <v>56.18181818</v>
      </c>
      <c r="L62" s="106">
        <f t="shared" si="29"/>
        <v>56.18181818</v>
      </c>
      <c r="M62" s="106">
        <f t="shared" si="29"/>
        <v>56.18181818</v>
      </c>
      <c r="N62" s="106">
        <f t="shared" si="29"/>
        <v>56.18181818</v>
      </c>
      <c r="O62" s="106">
        <f t="shared" si="29"/>
        <v>56.18181818</v>
      </c>
      <c r="P62" s="106">
        <f t="shared" si="29"/>
        <v>56.18181818</v>
      </c>
      <c r="Q62" s="106">
        <f t="shared" si="29"/>
        <v>56.18181818</v>
      </c>
      <c r="R62" s="106">
        <f t="shared" si="29"/>
        <v>56.18181818</v>
      </c>
      <c r="S62" s="106">
        <f t="shared" si="29"/>
        <v>56.18181818</v>
      </c>
    </row>
    <row r="63" ht="12.75" customHeight="1">
      <c r="A63" s="25" t="s">
        <v>849</v>
      </c>
      <c r="B63" s="106">
        <f t="shared" ref="B63:S63" si="30">$B184/$B186</f>
        <v>40.43346539</v>
      </c>
      <c r="C63" s="106">
        <f t="shared" si="30"/>
        <v>40.43346539</v>
      </c>
      <c r="D63" s="106">
        <f t="shared" si="30"/>
        <v>40.43346539</v>
      </c>
      <c r="E63" s="106">
        <f t="shared" si="30"/>
        <v>40.43346539</v>
      </c>
      <c r="F63" s="106">
        <f t="shared" si="30"/>
        <v>40.43346539</v>
      </c>
      <c r="G63" s="106">
        <f t="shared" si="30"/>
        <v>40.43346539</v>
      </c>
      <c r="H63" s="106">
        <f t="shared" si="30"/>
        <v>40.43346539</v>
      </c>
      <c r="I63" s="106">
        <f t="shared" si="30"/>
        <v>40.43346539</v>
      </c>
      <c r="J63" s="106">
        <f t="shared" si="30"/>
        <v>40.43346539</v>
      </c>
      <c r="K63" s="106">
        <f t="shared" si="30"/>
        <v>40.43346539</v>
      </c>
      <c r="L63" s="106">
        <f t="shared" si="30"/>
        <v>40.43346539</v>
      </c>
      <c r="M63" s="106">
        <f t="shared" si="30"/>
        <v>40.43346539</v>
      </c>
      <c r="N63" s="106">
        <f t="shared" si="30"/>
        <v>40.43346539</v>
      </c>
      <c r="O63" s="106">
        <f t="shared" si="30"/>
        <v>40.43346539</v>
      </c>
      <c r="P63" s="106">
        <f t="shared" si="30"/>
        <v>40.43346539</v>
      </c>
      <c r="Q63" s="106">
        <f t="shared" si="30"/>
        <v>40.43346539</v>
      </c>
      <c r="R63" s="106">
        <f t="shared" si="30"/>
        <v>40.43346539</v>
      </c>
      <c r="S63" s="106">
        <f t="shared" si="30"/>
        <v>40.43346539</v>
      </c>
    </row>
    <row r="64" ht="12.75" customHeight="1">
      <c r="A64" s="25" t="s">
        <v>850</v>
      </c>
      <c r="B64" s="289">
        <f t="shared" ref="B64:S64" si="31">((SUM($B185:$B187))*B58+($B183*B59)+($B184*B60))</f>
        <v>4128.6264</v>
      </c>
      <c r="C64" s="289">
        <f t="shared" si="31"/>
        <v>4128.6264</v>
      </c>
      <c r="D64" s="289">
        <f t="shared" si="31"/>
        <v>4128.6264</v>
      </c>
      <c r="E64" s="289">
        <f t="shared" si="31"/>
        <v>4128.6264</v>
      </c>
      <c r="F64" s="289">
        <f t="shared" si="31"/>
        <v>4128.6264</v>
      </c>
      <c r="G64" s="289">
        <f t="shared" si="31"/>
        <v>4128.6264</v>
      </c>
      <c r="H64" s="289">
        <f t="shared" si="31"/>
        <v>4128.6264</v>
      </c>
      <c r="I64" s="289">
        <f t="shared" si="31"/>
        <v>4128.6264</v>
      </c>
      <c r="J64" s="289">
        <f t="shared" si="31"/>
        <v>4128.6264</v>
      </c>
      <c r="K64" s="289">
        <f t="shared" si="31"/>
        <v>4128.6264</v>
      </c>
      <c r="L64" s="289">
        <f t="shared" si="31"/>
        <v>4128.6264</v>
      </c>
      <c r="M64" s="289">
        <f t="shared" si="31"/>
        <v>4128.6264</v>
      </c>
      <c r="N64" s="289">
        <f t="shared" si="31"/>
        <v>4128.6264</v>
      </c>
      <c r="O64" s="289">
        <f t="shared" si="31"/>
        <v>4128.6264</v>
      </c>
      <c r="P64" s="289">
        <f t="shared" si="31"/>
        <v>4128.6264</v>
      </c>
      <c r="Q64" s="289">
        <f t="shared" si="31"/>
        <v>4128.6264</v>
      </c>
      <c r="R64" s="289">
        <f t="shared" si="31"/>
        <v>4128.6264</v>
      </c>
      <c r="S64" s="289">
        <f t="shared" si="31"/>
        <v>4128.6264</v>
      </c>
    </row>
    <row r="65" ht="12.75" customHeight="1">
      <c r="A65" s="25" t="s">
        <v>851</v>
      </c>
      <c r="B65" s="73">
        <f t="shared" ref="B65:S65" si="32">(SUM($B183:$B184))*$B188</f>
        <v>99.60426</v>
      </c>
      <c r="C65" s="73">
        <f t="shared" si="32"/>
        <v>99.60426</v>
      </c>
      <c r="D65" s="73">
        <f t="shared" si="32"/>
        <v>99.60426</v>
      </c>
      <c r="E65" s="73">
        <f t="shared" si="32"/>
        <v>99.60426</v>
      </c>
      <c r="F65" s="73">
        <f t="shared" si="32"/>
        <v>99.60426</v>
      </c>
      <c r="G65" s="73">
        <f t="shared" si="32"/>
        <v>99.60426</v>
      </c>
      <c r="H65" s="73">
        <f t="shared" si="32"/>
        <v>99.60426</v>
      </c>
      <c r="I65" s="73">
        <f t="shared" si="32"/>
        <v>99.60426</v>
      </c>
      <c r="J65" s="73">
        <f t="shared" si="32"/>
        <v>99.60426</v>
      </c>
      <c r="K65" s="73">
        <f t="shared" si="32"/>
        <v>99.60426</v>
      </c>
      <c r="L65" s="73">
        <f t="shared" si="32"/>
        <v>99.60426</v>
      </c>
      <c r="M65" s="73">
        <f t="shared" si="32"/>
        <v>99.60426</v>
      </c>
      <c r="N65" s="73">
        <f t="shared" si="32"/>
        <v>99.60426</v>
      </c>
      <c r="O65" s="73">
        <f t="shared" si="32"/>
        <v>99.60426</v>
      </c>
      <c r="P65" s="73">
        <f t="shared" si="32"/>
        <v>99.60426</v>
      </c>
      <c r="Q65" s="73">
        <f t="shared" si="32"/>
        <v>99.60426</v>
      </c>
      <c r="R65" s="73">
        <f t="shared" si="32"/>
        <v>99.60426</v>
      </c>
      <c r="S65" s="73">
        <f t="shared" si="32"/>
        <v>99.60426</v>
      </c>
    </row>
    <row r="66" ht="12.75" customHeight="1">
      <c r="A66" s="25" t="s">
        <v>852</v>
      </c>
      <c r="B66" s="308">
        <f t="shared" ref="B66:S66" si="33">B65/B64</f>
        <v>0.02412527808</v>
      </c>
      <c r="C66" s="308">
        <f t="shared" si="33"/>
        <v>0.02412527808</v>
      </c>
      <c r="D66" s="308">
        <f t="shared" si="33"/>
        <v>0.02412527808</v>
      </c>
      <c r="E66" s="308">
        <f t="shared" si="33"/>
        <v>0.02412527808</v>
      </c>
      <c r="F66" s="308">
        <f t="shared" si="33"/>
        <v>0.02412527808</v>
      </c>
      <c r="G66" s="308">
        <f t="shared" si="33"/>
        <v>0.02412527808</v>
      </c>
      <c r="H66" s="308">
        <f t="shared" si="33"/>
        <v>0.02412527808</v>
      </c>
      <c r="I66" s="308">
        <f t="shared" si="33"/>
        <v>0.02412527808</v>
      </c>
      <c r="J66" s="308">
        <f t="shared" si="33"/>
        <v>0.02412527808</v>
      </c>
      <c r="K66" s="308">
        <f t="shared" si="33"/>
        <v>0.02412527808</v>
      </c>
      <c r="L66" s="308">
        <f t="shared" si="33"/>
        <v>0.02412527808</v>
      </c>
      <c r="M66" s="308">
        <f t="shared" si="33"/>
        <v>0.02412527808</v>
      </c>
      <c r="N66" s="308">
        <f t="shared" si="33"/>
        <v>0.02412527808</v>
      </c>
      <c r="O66" s="308">
        <f t="shared" si="33"/>
        <v>0.02412527808</v>
      </c>
      <c r="P66" s="308">
        <f t="shared" si="33"/>
        <v>0.02412527808</v>
      </c>
      <c r="Q66" s="308">
        <f t="shared" si="33"/>
        <v>0.02412527808</v>
      </c>
      <c r="R66" s="308">
        <f t="shared" si="33"/>
        <v>0.02412527808</v>
      </c>
      <c r="S66" s="308">
        <f t="shared" si="33"/>
        <v>0.02412527808</v>
      </c>
    </row>
    <row r="67" ht="12.75" customHeight="1">
      <c r="A67" s="25" t="s">
        <v>458</v>
      </c>
      <c r="B67" s="97">
        <f t="shared" ref="B67:S67" si="34">B56*B66</f>
        <v>6713.220506</v>
      </c>
      <c r="C67" s="97">
        <f t="shared" si="34"/>
        <v>6784.816611</v>
      </c>
      <c r="D67" s="97">
        <f t="shared" si="34"/>
        <v>6364.417235</v>
      </c>
      <c r="E67" s="97">
        <f t="shared" si="34"/>
        <v>7313.819304</v>
      </c>
      <c r="F67" s="97">
        <f t="shared" si="34"/>
        <v>8908.090055</v>
      </c>
      <c r="G67" s="97">
        <f t="shared" si="34"/>
        <v>11182.88665</v>
      </c>
      <c r="H67" s="97">
        <f t="shared" si="34"/>
        <v>11074.78128</v>
      </c>
      <c r="I67" s="97">
        <f t="shared" si="34"/>
        <v>11523.1433</v>
      </c>
      <c r="J67" s="97">
        <f t="shared" si="34"/>
        <v>12133.51911</v>
      </c>
      <c r="K67" s="97">
        <f t="shared" si="34"/>
        <v>0</v>
      </c>
      <c r="L67" s="97">
        <f t="shared" si="34"/>
        <v>12287.65551</v>
      </c>
      <c r="M67" s="97">
        <f t="shared" si="34"/>
        <v>13463.21541</v>
      </c>
      <c r="N67" s="97">
        <f t="shared" si="34"/>
        <v>10538.61507</v>
      </c>
      <c r="O67" s="97">
        <f t="shared" si="34"/>
        <v>11090.75101</v>
      </c>
      <c r="P67" s="97">
        <f t="shared" si="34"/>
        <v>11090.75101</v>
      </c>
      <c r="Q67" s="97">
        <f t="shared" si="34"/>
        <v>11090.75101</v>
      </c>
      <c r="R67" s="97">
        <f t="shared" si="34"/>
        <v>11090.75101</v>
      </c>
      <c r="S67" s="97">
        <f t="shared" si="34"/>
        <v>11090.75101</v>
      </c>
    </row>
    <row r="68" ht="12.75" customHeight="1">
      <c r="A68" s="25" t="s">
        <v>197</v>
      </c>
      <c r="B68" s="73">
        <f t="shared" ref="B68:S68" si="35">ROUND(B67*$B175,1)</f>
        <v>931.1</v>
      </c>
      <c r="C68" s="73">
        <f t="shared" si="35"/>
        <v>941</v>
      </c>
      <c r="D68" s="73">
        <f t="shared" si="35"/>
        <v>882.7</v>
      </c>
      <c r="E68" s="73">
        <f t="shared" si="35"/>
        <v>1014.4</v>
      </c>
      <c r="F68" s="73">
        <f t="shared" si="35"/>
        <v>1235.5</v>
      </c>
      <c r="G68" s="73">
        <f t="shared" si="35"/>
        <v>1551</v>
      </c>
      <c r="H68" s="73">
        <f t="shared" si="35"/>
        <v>1536</v>
      </c>
      <c r="I68" s="73">
        <f t="shared" si="35"/>
        <v>1598.2</v>
      </c>
      <c r="J68" s="73">
        <f t="shared" si="35"/>
        <v>1682.8</v>
      </c>
      <c r="K68" s="73">
        <f t="shared" si="35"/>
        <v>0</v>
      </c>
      <c r="L68" s="73">
        <f t="shared" si="35"/>
        <v>1704.2</v>
      </c>
      <c r="M68" s="73">
        <f t="shared" si="35"/>
        <v>1867.2</v>
      </c>
      <c r="N68" s="73">
        <f t="shared" si="35"/>
        <v>1461.6</v>
      </c>
      <c r="O68" s="73">
        <f t="shared" si="35"/>
        <v>1538.2</v>
      </c>
      <c r="P68" s="73">
        <f t="shared" si="35"/>
        <v>1538.2</v>
      </c>
      <c r="Q68" s="73">
        <f t="shared" si="35"/>
        <v>1538.2</v>
      </c>
      <c r="R68" s="73">
        <f t="shared" si="35"/>
        <v>1538.2</v>
      </c>
      <c r="S68" s="73">
        <f t="shared" si="35"/>
        <v>1538.2</v>
      </c>
    </row>
    <row r="69" ht="15.0" customHeight="1">
      <c r="A69" s="47" t="s">
        <v>853</v>
      </c>
      <c r="B69" s="78">
        <f t="shared" ref="B69:S69" si="36">ROUND(B67*$B176,1)</f>
        <v>67.4</v>
      </c>
      <c r="C69" s="78">
        <f t="shared" si="36"/>
        <v>68.1</v>
      </c>
      <c r="D69" s="78">
        <f t="shared" si="36"/>
        <v>63.9</v>
      </c>
      <c r="E69" s="78">
        <f t="shared" si="36"/>
        <v>73.4</v>
      </c>
      <c r="F69" s="78">
        <f t="shared" si="36"/>
        <v>89.4</v>
      </c>
      <c r="G69" s="78">
        <f t="shared" si="36"/>
        <v>112.2</v>
      </c>
      <c r="H69" s="78">
        <f t="shared" si="36"/>
        <v>111.2</v>
      </c>
      <c r="I69" s="78">
        <f t="shared" si="36"/>
        <v>115.7</v>
      </c>
      <c r="J69" s="78">
        <f t="shared" si="36"/>
        <v>121.8</v>
      </c>
      <c r="K69" s="78">
        <f t="shared" si="36"/>
        <v>0</v>
      </c>
      <c r="L69" s="78">
        <f t="shared" si="36"/>
        <v>123.3</v>
      </c>
      <c r="M69" s="78">
        <f t="shared" si="36"/>
        <v>135.1</v>
      </c>
      <c r="N69" s="78">
        <f t="shared" si="36"/>
        <v>105.8</v>
      </c>
      <c r="O69" s="78">
        <f t="shared" si="36"/>
        <v>111.3</v>
      </c>
      <c r="P69" s="78">
        <f t="shared" si="36"/>
        <v>111.3</v>
      </c>
      <c r="Q69" s="78">
        <f t="shared" si="36"/>
        <v>111.3</v>
      </c>
      <c r="R69" s="78">
        <f t="shared" si="36"/>
        <v>111.3</v>
      </c>
      <c r="S69" s="78">
        <f t="shared" si="36"/>
        <v>111.3</v>
      </c>
    </row>
    <row r="70" ht="12.75" customHeight="1">
      <c r="A70" s="25" t="s">
        <v>448</v>
      </c>
      <c r="B70" s="97">
        <f t="shared" ref="B70:S70" si="37">B67*$B189</f>
        <v>46330.02419</v>
      </c>
      <c r="C70" s="97">
        <f t="shared" si="37"/>
        <v>46824.1312</v>
      </c>
      <c r="D70" s="97">
        <f t="shared" si="37"/>
        <v>43922.82426</v>
      </c>
      <c r="E70" s="97">
        <f t="shared" si="37"/>
        <v>50474.94343</v>
      </c>
      <c r="F70" s="97">
        <f t="shared" si="37"/>
        <v>61477.50211</v>
      </c>
      <c r="G70" s="97">
        <f t="shared" si="37"/>
        <v>77176.58144</v>
      </c>
      <c r="H70" s="97">
        <f t="shared" si="37"/>
        <v>76430.51263</v>
      </c>
      <c r="I70" s="97">
        <f t="shared" si="37"/>
        <v>79524.79848</v>
      </c>
      <c r="J70" s="97">
        <f t="shared" si="37"/>
        <v>83737.19191</v>
      </c>
      <c r="K70" s="97">
        <f t="shared" si="37"/>
        <v>0</v>
      </c>
      <c r="L70" s="97">
        <f t="shared" si="37"/>
        <v>84800.9352</v>
      </c>
      <c r="M70" s="97">
        <f t="shared" si="37"/>
        <v>92913.83999</v>
      </c>
      <c r="N70" s="97">
        <f t="shared" si="37"/>
        <v>72730.26272</v>
      </c>
      <c r="O70" s="97">
        <f t="shared" si="37"/>
        <v>76540.72469</v>
      </c>
      <c r="P70" s="97">
        <f t="shared" si="37"/>
        <v>76540.72469</v>
      </c>
      <c r="Q70" s="97">
        <f t="shared" si="37"/>
        <v>76540.72469</v>
      </c>
      <c r="R70" s="97">
        <f t="shared" si="37"/>
        <v>76540.72469</v>
      </c>
      <c r="S70" s="97">
        <f t="shared" si="37"/>
        <v>76540.72469</v>
      </c>
    </row>
    <row r="71" ht="15.0" customHeight="1">
      <c r="A71" s="25" t="s">
        <v>854</v>
      </c>
      <c r="B71" s="112">
        <f t="shared" ref="B71:S71" si="38">($B177*B70*$B148)</f>
        <v>0.004475480337</v>
      </c>
      <c r="C71" s="112">
        <f t="shared" si="38"/>
        <v>0.004523211074</v>
      </c>
      <c r="D71" s="112">
        <f t="shared" si="38"/>
        <v>0.004242944823</v>
      </c>
      <c r="E71" s="112">
        <f t="shared" si="38"/>
        <v>0.004875879536</v>
      </c>
      <c r="F71" s="112">
        <f t="shared" si="38"/>
        <v>0.005938726703</v>
      </c>
      <c r="G71" s="112">
        <f t="shared" si="38"/>
        <v>0.007455257767</v>
      </c>
      <c r="H71" s="112">
        <f t="shared" si="38"/>
        <v>0.00738318752</v>
      </c>
      <c r="I71" s="112">
        <f t="shared" si="38"/>
        <v>0.007682095534</v>
      </c>
      <c r="J71" s="112">
        <f t="shared" si="38"/>
        <v>0.008089012739</v>
      </c>
      <c r="K71" s="112">
        <f t="shared" si="38"/>
        <v>0</v>
      </c>
      <c r="L71" s="112">
        <f t="shared" si="38"/>
        <v>0.00819177034</v>
      </c>
      <c r="M71" s="112">
        <f t="shared" si="38"/>
        <v>0.008975476943</v>
      </c>
      <c r="N71" s="112">
        <f t="shared" si="38"/>
        <v>0.007025743379</v>
      </c>
      <c r="O71" s="112">
        <f t="shared" si="38"/>
        <v>0.007393834005</v>
      </c>
      <c r="P71" s="112">
        <f t="shared" si="38"/>
        <v>0.007393834005</v>
      </c>
      <c r="Q71" s="112">
        <f t="shared" si="38"/>
        <v>0.007393834005</v>
      </c>
      <c r="R71" s="112">
        <f t="shared" si="38"/>
        <v>0.007393834005</v>
      </c>
      <c r="S71" s="112">
        <f t="shared" si="38"/>
        <v>0.007393834005</v>
      </c>
    </row>
    <row r="72" ht="15.0" customHeight="1">
      <c r="A72" s="47" t="s">
        <v>855</v>
      </c>
      <c r="B72" s="93">
        <f t="shared" ref="B72:S72" si="39">B70*$B177*$B148*$B151</f>
        <v>0.09398508708</v>
      </c>
      <c r="C72" s="93">
        <f t="shared" si="39"/>
        <v>0.09498743255</v>
      </c>
      <c r="D72" s="93">
        <f t="shared" si="39"/>
        <v>0.08910184129</v>
      </c>
      <c r="E72" s="93">
        <f t="shared" si="39"/>
        <v>0.1023934703</v>
      </c>
      <c r="F72" s="93">
        <f t="shared" si="39"/>
        <v>0.1247132608</v>
      </c>
      <c r="G72" s="93">
        <f t="shared" si="39"/>
        <v>0.1565604131</v>
      </c>
      <c r="H72" s="93">
        <f t="shared" si="39"/>
        <v>0.1550469379</v>
      </c>
      <c r="I72" s="93">
        <f t="shared" si="39"/>
        <v>0.1613240062</v>
      </c>
      <c r="J72" s="93">
        <f t="shared" si="39"/>
        <v>0.1698692675</v>
      </c>
      <c r="K72" s="93">
        <f t="shared" si="39"/>
        <v>0</v>
      </c>
      <c r="L72" s="93">
        <f t="shared" si="39"/>
        <v>0.1720271771</v>
      </c>
      <c r="M72" s="93">
        <f t="shared" si="39"/>
        <v>0.1884850158</v>
      </c>
      <c r="N72" s="93">
        <f t="shared" si="39"/>
        <v>0.147540611</v>
      </c>
      <c r="O72" s="93">
        <f t="shared" si="39"/>
        <v>0.1552705141</v>
      </c>
      <c r="P72" s="93">
        <f t="shared" si="39"/>
        <v>0.1552705141</v>
      </c>
      <c r="Q72" s="93">
        <f t="shared" si="39"/>
        <v>0.1552705141</v>
      </c>
      <c r="R72" s="93">
        <f t="shared" si="39"/>
        <v>0.1552705141</v>
      </c>
      <c r="S72" s="93">
        <f t="shared" si="39"/>
        <v>0.1552705141</v>
      </c>
    </row>
    <row r="73" ht="15.0" customHeight="1">
      <c r="A73" s="25" t="s">
        <v>856</v>
      </c>
      <c r="B73" s="112">
        <f t="shared" ref="B73:S73" si="40">($B178*B70*$B148)</f>
        <v>0.002237740169</v>
      </c>
      <c r="C73" s="112">
        <f t="shared" si="40"/>
        <v>0.002261605537</v>
      </c>
      <c r="D73" s="112">
        <f t="shared" si="40"/>
        <v>0.002121472412</v>
      </c>
      <c r="E73" s="112">
        <f t="shared" si="40"/>
        <v>0.002437939768</v>
      </c>
      <c r="F73" s="112">
        <f t="shared" si="40"/>
        <v>0.002969363352</v>
      </c>
      <c r="G73" s="112">
        <f t="shared" si="40"/>
        <v>0.003727628884</v>
      </c>
      <c r="H73" s="112">
        <f t="shared" si="40"/>
        <v>0.00369159376</v>
      </c>
      <c r="I73" s="112">
        <f t="shared" si="40"/>
        <v>0.003841047767</v>
      </c>
      <c r="J73" s="112">
        <f t="shared" si="40"/>
        <v>0.004044506369</v>
      </c>
      <c r="K73" s="112">
        <f t="shared" si="40"/>
        <v>0</v>
      </c>
      <c r="L73" s="112">
        <f t="shared" si="40"/>
        <v>0.00409588517</v>
      </c>
      <c r="M73" s="112">
        <f t="shared" si="40"/>
        <v>0.004487738471</v>
      </c>
      <c r="N73" s="112">
        <f t="shared" si="40"/>
        <v>0.003512871689</v>
      </c>
      <c r="O73" s="112">
        <f t="shared" si="40"/>
        <v>0.003696917003</v>
      </c>
      <c r="P73" s="112">
        <f t="shared" si="40"/>
        <v>0.003696917003</v>
      </c>
      <c r="Q73" s="112">
        <f t="shared" si="40"/>
        <v>0.003696917003</v>
      </c>
      <c r="R73" s="112">
        <f t="shared" si="40"/>
        <v>0.003696917003</v>
      </c>
      <c r="S73" s="112">
        <f t="shared" si="40"/>
        <v>0.003696917003</v>
      </c>
    </row>
    <row r="74" ht="15.0" customHeight="1">
      <c r="A74" s="47" t="s">
        <v>857</v>
      </c>
      <c r="B74" s="126">
        <f t="shared" ref="B74:S74" si="41">B70*$B178*$B148*$B152</f>
        <v>0.6936994523</v>
      </c>
      <c r="C74" s="126">
        <f t="shared" si="41"/>
        <v>0.7010977165</v>
      </c>
      <c r="D74" s="126">
        <f t="shared" si="41"/>
        <v>0.6576564476</v>
      </c>
      <c r="E74" s="126">
        <f t="shared" si="41"/>
        <v>0.755761328</v>
      </c>
      <c r="F74" s="126">
        <f t="shared" si="41"/>
        <v>0.920502639</v>
      </c>
      <c r="G74" s="126">
        <f t="shared" si="41"/>
        <v>1.155564954</v>
      </c>
      <c r="H74" s="126">
        <f t="shared" si="41"/>
        <v>1.144394066</v>
      </c>
      <c r="I74" s="126">
        <f t="shared" si="41"/>
        <v>1.190724808</v>
      </c>
      <c r="J74" s="126">
        <f t="shared" si="41"/>
        <v>1.253796975</v>
      </c>
      <c r="K74" s="126">
        <f t="shared" si="41"/>
        <v>0</v>
      </c>
      <c r="L74" s="126">
        <f t="shared" si="41"/>
        <v>1.269724403</v>
      </c>
      <c r="M74" s="126">
        <f t="shared" si="41"/>
        <v>1.391198926</v>
      </c>
      <c r="N74" s="126">
        <f t="shared" si="41"/>
        <v>1.088990224</v>
      </c>
      <c r="O74" s="126">
        <f t="shared" si="41"/>
        <v>1.146044271</v>
      </c>
      <c r="P74" s="126">
        <f t="shared" si="41"/>
        <v>1.146044271</v>
      </c>
      <c r="Q74" s="126">
        <f t="shared" si="41"/>
        <v>1.146044271</v>
      </c>
      <c r="R74" s="126">
        <f t="shared" si="41"/>
        <v>1.146044271</v>
      </c>
      <c r="S74" s="126">
        <f t="shared" si="41"/>
        <v>1.146044271</v>
      </c>
    </row>
    <row r="75" ht="12.75" customHeight="1">
      <c r="A75" s="120" t="s">
        <v>858</v>
      </c>
      <c r="B75" s="121">
        <f t="shared" ref="B75:S75" si="42">ROUND(B69+B72+B74,1)</f>
        <v>68.2</v>
      </c>
      <c r="C75" s="121">
        <f t="shared" si="42"/>
        <v>68.9</v>
      </c>
      <c r="D75" s="121">
        <f t="shared" si="42"/>
        <v>64.6</v>
      </c>
      <c r="E75" s="121">
        <f t="shared" si="42"/>
        <v>74.3</v>
      </c>
      <c r="F75" s="121">
        <f t="shared" si="42"/>
        <v>90.4</v>
      </c>
      <c r="G75" s="121">
        <f t="shared" si="42"/>
        <v>113.5</v>
      </c>
      <c r="H75" s="121">
        <f t="shared" si="42"/>
        <v>112.5</v>
      </c>
      <c r="I75" s="121">
        <f t="shared" si="42"/>
        <v>117.1</v>
      </c>
      <c r="J75" s="121">
        <f t="shared" si="42"/>
        <v>123.2</v>
      </c>
      <c r="K75" s="121">
        <f t="shared" si="42"/>
        <v>0</v>
      </c>
      <c r="L75" s="121">
        <f t="shared" si="42"/>
        <v>124.7</v>
      </c>
      <c r="M75" s="121">
        <f t="shared" si="42"/>
        <v>136.7</v>
      </c>
      <c r="N75" s="121">
        <f t="shared" si="42"/>
        <v>107</v>
      </c>
      <c r="O75" s="121">
        <f t="shared" si="42"/>
        <v>112.6</v>
      </c>
      <c r="P75" s="121">
        <f t="shared" si="42"/>
        <v>112.6</v>
      </c>
      <c r="Q75" s="121">
        <f t="shared" si="42"/>
        <v>112.6</v>
      </c>
      <c r="R75" s="121">
        <f t="shared" si="42"/>
        <v>112.6</v>
      </c>
      <c r="S75" s="121">
        <f t="shared" si="42"/>
        <v>112.6</v>
      </c>
    </row>
    <row r="76" ht="12.75" customHeight="1">
      <c r="A76" s="47"/>
      <c r="B76" s="78"/>
      <c r="C76" s="78"/>
      <c r="D76" s="78"/>
      <c r="E76" s="78"/>
      <c r="F76" s="78"/>
      <c r="G76" s="78"/>
      <c r="H76" s="25"/>
      <c r="I76" s="309"/>
      <c r="J76" s="309"/>
    </row>
    <row r="77" ht="12.75" customHeight="1">
      <c r="A77" s="47"/>
      <c r="B77" s="78"/>
      <c r="C77" s="78"/>
      <c r="D77" s="78"/>
      <c r="E77" s="78"/>
      <c r="F77" s="78"/>
      <c r="G77" s="78"/>
      <c r="H77" s="25"/>
      <c r="I77" s="25"/>
      <c r="J77" s="25"/>
    </row>
    <row r="78" ht="15.75" customHeight="1">
      <c r="A78" s="92" t="s">
        <v>859</v>
      </c>
      <c r="B78" s="25"/>
      <c r="C78" s="25"/>
      <c r="D78" s="25"/>
      <c r="E78" s="25"/>
      <c r="F78" s="25"/>
      <c r="G78" s="25"/>
      <c r="H78" s="25"/>
      <c r="I78" s="25"/>
      <c r="J78" s="25"/>
      <c r="O78" s="56" t="s">
        <v>860</v>
      </c>
      <c r="P78" s="310">
        <v>1027809.1399999994</v>
      </c>
      <c r="Q78" s="310">
        <v>1027809.1399999994</v>
      </c>
      <c r="R78" s="310">
        <v>1366986.1561999994</v>
      </c>
      <c r="S78" s="310">
        <v>1818091.5877459992</v>
      </c>
    </row>
    <row r="79" ht="12.75" customHeight="1">
      <c r="A79" s="47"/>
      <c r="B79" s="65" t="s">
        <v>55</v>
      </c>
      <c r="C79" s="25"/>
      <c r="D79" s="25"/>
      <c r="E79" s="25"/>
      <c r="F79" s="25"/>
      <c r="G79" s="25"/>
      <c r="H79" s="25"/>
      <c r="I79" s="25"/>
      <c r="J79" s="25"/>
      <c r="O79" s="56" t="s">
        <v>861</v>
      </c>
      <c r="P79" s="310">
        <v>1240762.9100000039</v>
      </c>
      <c r="Q79" s="310">
        <v>81311.0</v>
      </c>
      <c r="R79" s="310">
        <v>765004.0</v>
      </c>
      <c r="S79" s="310">
        <v>1579957.609999999</v>
      </c>
    </row>
    <row r="80" ht="22.5" customHeight="1">
      <c r="A80" s="65" t="s">
        <v>195</v>
      </c>
      <c r="B80" s="86" t="s">
        <v>76</v>
      </c>
      <c r="C80" s="86" t="s">
        <v>77</v>
      </c>
      <c r="D80" s="86" t="s">
        <v>78</v>
      </c>
      <c r="E80" s="86" t="s">
        <v>79</v>
      </c>
      <c r="F80" s="86" t="s">
        <v>80</v>
      </c>
      <c r="G80" s="86" t="s">
        <v>81</v>
      </c>
      <c r="H80" s="86" t="s">
        <v>63</v>
      </c>
      <c r="I80" s="86" t="s">
        <v>64</v>
      </c>
      <c r="J80" s="86" t="s">
        <v>84</v>
      </c>
      <c r="K80" s="311" t="s">
        <v>813</v>
      </c>
      <c r="L80" s="86" t="s">
        <v>85</v>
      </c>
      <c r="M80" s="71" t="s">
        <v>185</v>
      </c>
      <c r="N80" s="71" t="s">
        <v>186</v>
      </c>
      <c r="O80" s="71" t="s">
        <v>187</v>
      </c>
      <c r="P80" s="71" t="s">
        <v>188</v>
      </c>
      <c r="Q80" s="71" t="s">
        <v>189</v>
      </c>
      <c r="R80" s="71" t="s">
        <v>190</v>
      </c>
      <c r="S80" s="284" t="s">
        <v>191</v>
      </c>
    </row>
    <row r="81" ht="12.75" customHeight="1">
      <c r="A81" s="55" t="s">
        <v>862</v>
      </c>
      <c r="B81" s="286">
        <v>1128023.0</v>
      </c>
      <c r="C81" s="286">
        <v>1176172.46</v>
      </c>
      <c r="D81" s="294">
        <v>733091.0</v>
      </c>
      <c r="E81" s="303">
        <v>878018.0</v>
      </c>
      <c r="F81" s="303">
        <v>1057210.0</v>
      </c>
      <c r="G81" s="312">
        <v>1221116.0</v>
      </c>
      <c r="H81" s="312">
        <v>1391213.2000000002</v>
      </c>
      <c r="I81" s="312">
        <v>1710216.41</v>
      </c>
      <c r="J81" s="313">
        <v>1815846.01</v>
      </c>
      <c r="K81" s="313">
        <v>1815846.01</v>
      </c>
      <c r="L81" s="314">
        <v>1494675.0</v>
      </c>
      <c r="M81" s="314">
        <v>1842630.3800000008</v>
      </c>
      <c r="N81" s="315">
        <v>1851407.0</v>
      </c>
      <c r="O81" s="315">
        <v>2055618.2799999989</v>
      </c>
      <c r="P81" s="316">
        <v>1027809.0</v>
      </c>
      <c r="Q81" s="315">
        <v>1027809.0</v>
      </c>
      <c r="R81" s="315">
        <v>1366986.0</v>
      </c>
      <c r="S81" s="315">
        <v>1818092.0</v>
      </c>
      <c r="T81" s="25"/>
      <c r="U81" s="25"/>
      <c r="V81" s="25" t="s">
        <v>863</v>
      </c>
      <c r="W81" s="25"/>
      <c r="X81" s="25"/>
      <c r="Y81" s="25"/>
      <c r="Z81" s="25"/>
      <c r="AA81" s="25"/>
      <c r="AB81" s="25"/>
    </row>
    <row r="82" ht="12.75" customHeight="1">
      <c r="A82" s="317" t="s">
        <v>864</v>
      </c>
      <c r="B82" s="318">
        <v>0.9</v>
      </c>
      <c r="C82" s="318">
        <v>0.7</v>
      </c>
      <c r="D82" s="318">
        <v>0.56</v>
      </c>
      <c r="E82" s="318">
        <v>0.56</v>
      </c>
      <c r="F82" s="318">
        <v>0.56</v>
      </c>
      <c r="G82" s="318">
        <v>0.56</v>
      </c>
      <c r="H82" s="318">
        <v>0.56</v>
      </c>
      <c r="I82" s="318">
        <v>0.56</v>
      </c>
      <c r="J82" s="318">
        <v>0.56</v>
      </c>
      <c r="K82" s="318">
        <v>0.56</v>
      </c>
      <c r="L82" s="318">
        <v>0.56</v>
      </c>
      <c r="M82" s="318">
        <v>0.56</v>
      </c>
      <c r="N82" s="318">
        <v>0.56</v>
      </c>
      <c r="O82" s="318">
        <v>0.56</v>
      </c>
      <c r="P82" s="318">
        <v>0.56</v>
      </c>
      <c r="Q82" s="318">
        <v>0.56</v>
      </c>
      <c r="R82" s="318">
        <v>0.56</v>
      </c>
      <c r="S82" s="318">
        <v>0.56</v>
      </c>
      <c r="T82" s="25"/>
      <c r="U82" s="25"/>
      <c r="V82" s="25"/>
      <c r="W82" s="25"/>
      <c r="X82" s="25"/>
      <c r="Y82" s="25"/>
      <c r="Z82" s="25"/>
      <c r="AA82" s="25"/>
      <c r="AB82" s="25"/>
    </row>
    <row r="83" ht="12.75" customHeight="1">
      <c r="A83" s="57" t="s">
        <v>865</v>
      </c>
      <c r="B83" s="298">
        <v>289.0</v>
      </c>
      <c r="C83" s="306">
        <v>307.0</v>
      </c>
      <c r="D83" s="306">
        <v>164.0</v>
      </c>
      <c r="E83" s="306">
        <v>206.0</v>
      </c>
      <c r="F83" s="306">
        <v>149.0</v>
      </c>
      <c r="G83" s="306">
        <v>149.0</v>
      </c>
      <c r="H83" s="306">
        <v>149.0</v>
      </c>
      <c r="I83" s="306">
        <v>149.0</v>
      </c>
      <c r="J83" s="306">
        <v>149.0</v>
      </c>
      <c r="K83" s="306">
        <v>179.0</v>
      </c>
      <c r="L83" s="306">
        <v>179.0</v>
      </c>
      <c r="M83" s="306">
        <v>179.0</v>
      </c>
      <c r="N83" s="306">
        <v>179.0</v>
      </c>
      <c r="O83" s="306">
        <v>179.0</v>
      </c>
      <c r="P83" s="306">
        <v>179.0</v>
      </c>
      <c r="Q83" s="306">
        <v>179.0</v>
      </c>
      <c r="R83" s="306">
        <v>179.0</v>
      </c>
      <c r="S83" s="306">
        <v>179.0</v>
      </c>
      <c r="T83" s="25"/>
      <c r="U83" s="25"/>
      <c r="V83" s="25"/>
      <c r="W83" s="25"/>
      <c r="X83" s="25"/>
      <c r="Y83" s="25"/>
      <c r="Z83" s="25"/>
      <c r="AA83" s="25"/>
      <c r="AB83" s="25"/>
    </row>
    <row r="84" ht="12.75" customHeight="1">
      <c r="A84" s="57" t="s">
        <v>866</v>
      </c>
      <c r="B84" s="57">
        <v>304.0</v>
      </c>
      <c r="C84" s="297">
        <v>304.0</v>
      </c>
      <c r="D84" s="297">
        <v>304.0</v>
      </c>
      <c r="E84" s="297">
        <v>304.0</v>
      </c>
      <c r="F84" s="297">
        <v>304.0</v>
      </c>
      <c r="G84" s="297">
        <v>304.0</v>
      </c>
      <c r="H84" s="297">
        <v>304.0</v>
      </c>
      <c r="I84" s="297">
        <v>304.0</v>
      </c>
      <c r="J84" s="297">
        <v>304.0</v>
      </c>
      <c r="K84" s="297">
        <v>304.0</v>
      </c>
      <c r="L84" s="297">
        <v>304.0</v>
      </c>
      <c r="M84" s="297">
        <v>304.0</v>
      </c>
      <c r="N84" s="297">
        <v>304.0</v>
      </c>
      <c r="O84" s="297">
        <v>304.0</v>
      </c>
      <c r="P84" s="297">
        <v>304.0</v>
      </c>
      <c r="Q84" s="297">
        <v>304.0</v>
      </c>
      <c r="R84" s="297">
        <v>304.0</v>
      </c>
      <c r="S84" s="297">
        <v>304.0</v>
      </c>
      <c r="T84" s="25"/>
      <c r="U84" s="25"/>
      <c r="V84" s="25"/>
      <c r="W84" s="25"/>
      <c r="X84" s="25"/>
      <c r="Y84" s="25"/>
      <c r="Z84" s="25"/>
      <c r="AA84" s="25"/>
      <c r="AB84" s="25"/>
    </row>
    <row r="85" ht="12.75" customHeight="1">
      <c r="A85" s="317" t="s">
        <v>867</v>
      </c>
      <c r="B85" s="319">
        <f t="shared" ref="B85:S85" si="43">B83/B84</f>
        <v>0.9506578947</v>
      </c>
      <c r="C85" s="319">
        <f t="shared" si="43"/>
        <v>1.009868421</v>
      </c>
      <c r="D85" s="319">
        <f t="shared" si="43"/>
        <v>0.5394736842</v>
      </c>
      <c r="E85" s="319">
        <f t="shared" si="43"/>
        <v>0.6776315789</v>
      </c>
      <c r="F85" s="319">
        <f t="shared" si="43"/>
        <v>0.4901315789</v>
      </c>
      <c r="G85" s="319">
        <f t="shared" si="43"/>
        <v>0.4901315789</v>
      </c>
      <c r="H85" s="319">
        <f t="shared" si="43"/>
        <v>0.4901315789</v>
      </c>
      <c r="I85" s="319">
        <f t="shared" si="43"/>
        <v>0.4901315789</v>
      </c>
      <c r="J85" s="319">
        <f t="shared" si="43"/>
        <v>0.4901315789</v>
      </c>
      <c r="K85" s="319">
        <f t="shared" si="43"/>
        <v>0.5888157895</v>
      </c>
      <c r="L85" s="319">
        <f t="shared" si="43"/>
        <v>0.5888157895</v>
      </c>
      <c r="M85" s="319">
        <f t="shared" si="43"/>
        <v>0.5888157895</v>
      </c>
      <c r="N85" s="319">
        <f t="shared" si="43"/>
        <v>0.5888157895</v>
      </c>
      <c r="O85" s="319">
        <f t="shared" si="43"/>
        <v>0.5888157895</v>
      </c>
      <c r="P85" s="319">
        <f t="shared" si="43"/>
        <v>0.5888157895</v>
      </c>
      <c r="Q85" s="319">
        <f t="shared" si="43"/>
        <v>0.5888157895</v>
      </c>
      <c r="R85" s="319">
        <f t="shared" si="43"/>
        <v>0.5888157895</v>
      </c>
      <c r="S85" s="319">
        <f t="shared" si="43"/>
        <v>0.5888157895</v>
      </c>
      <c r="T85" s="25"/>
      <c r="U85" s="25"/>
      <c r="V85" s="25"/>
      <c r="W85" s="25"/>
      <c r="X85" s="25"/>
      <c r="Y85" s="25"/>
      <c r="Z85" s="25"/>
      <c r="AA85" s="25"/>
      <c r="AB85" s="25"/>
    </row>
    <row r="86" ht="18.0" customHeight="1">
      <c r="A86" s="57" t="s">
        <v>868</v>
      </c>
      <c r="B86" s="298">
        <v>641.0</v>
      </c>
      <c r="C86" s="306">
        <v>492.0</v>
      </c>
      <c r="D86" s="306">
        <v>450.0</v>
      </c>
      <c r="E86" s="298">
        <v>451.8</v>
      </c>
      <c r="F86" s="298">
        <v>540.0</v>
      </c>
      <c r="G86" s="298">
        <v>540.0</v>
      </c>
      <c r="H86" s="298">
        <v>540.0</v>
      </c>
      <c r="I86" s="298">
        <v>540.0</v>
      </c>
      <c r="J86" s="298">
        <v>540.0</v>
      </c>
      <c r="K86" s="298">
        <v>553.66</v>
      </c>
      <c r="L86" s="298">
        <v>553.66</v>
      </c>
      <c r="M86" s="298">
        <v>553.66</v>
      </c>
      <c r="N86" s="298">
        <v>553.66</v>
      </c>
      <c r="O86" s="298">
        <v>553.66</v>
      </c>
      <c r="P86" s="298">
        <v>553.66</v>
      </c>
      <c r="Q86" s="298">
        <v>553.66</v>
      </c>
      <c r="R86" s="298">
        <v>553.66</v>
      </c>
      <c r="S86" s="298">
        <v>553.66</v>
      </c>
      <c r="T86" s="25"/>
      <c r="U86" s="25"/>
      <c r="V86" s="320" t="s">
        <v>869</v>
      </c>
      <c r="W86" s="25"/>
      <c r="X86" s="25"/>
      <c r="Y86" s="25"/>
      <c r="Z86" s="25"/>
      <c r="AA86" s="25"/>
      <c r="AB86" s="25"/>
    </row>
    <row r="87" ht="12.75" customHeight="1">
      <c r="A87" s="57" t="s">
        <v>870</v>
      </c>
      <c r="B87" s="297">
        <v>2870.0</v>
      </c>
      <c r="C87" s="297">
        <v>2870.0</v>
      </c>
      <c r="D87" s="297">
        <v>2870.0</v>
      </c>
      <c r="E87" s="297">
        <v>2870.0</v>
      </c>
      <c r="F87" s="297">
        <v>2870.0</v>
      </c>
      <c r="G87" s="297">
        <v>2870.0</v>
      </c>
      <c r="H87" s="297">
        <v>2870.0</v>
      </c>
      <c r="I87" s="297">
        <v>2870.0</v>
      </c>
      <c r="J87" s="297">
        <v>2870.0</v>
      </c>
      <c r="K87" s="297">
        <v>2870.0</v>
      </c>
      <c r="L87" s="297">
        <v>2870.0</v>
      </c>
      <c r="M87" s="297">
        <v>2870.0</v>
      </c>
      <c r="N87" s="297">
        <v>2870.0</v>
      </c>
      <c r="O87" s="297">
        <v>2870.0</v>
      </c>
      <c r="P87" s="297">
        <v>2870.0</v>
      </c>
      <c r="Q87" s="297">
        <v>2870.0</v>
      </c>
      <c r="R87" s="297">
        <v>2870.0</v>
      </c>
      <c r="S87" s="297">
        <v>2870.0</v>
      </c>
      <c r="T87" s="25"/>
      <c r="U87" s="25"/>
      <c r="V87" s="25"/>
      <c r="W87" s="25"/>
      <c r="X87" s="25"/>
      <c r="Y87" s="25"/>
      <c r="Z87" s="25"/>
      <c r="AA87" s="25"/>
      <c r="AB87" s="25"/>
    </row>
    <row r="88" ht="12.75" customHeight="1">
      <c r="A88" s="317" t="s">
        <v>871</v>
      </c>
      <c r="B88" s="319">
        <f t="shared" ref="B88:S88" si="44">B86/B87</f>
        <v>0.2233449477</v>
      </c>
      <c r="C88" s="319">
        <f t="shared" si="44"/>
        <v>0.1714285714</v>
      </c>
      <c r="D88" s="319">
        <f t="shared" si="44"/>
        <v>0.1567944251</v>
      </c>
      <c r="E88" s="319">
        <f t="shared" si="44"/>
        <v>0.1574216028</v>
      </c>
      <c r="F88" s="319">
        <f t="shared" si="44"/>
        <v>0.1881533101</v>
      </c>
      <c r="G88" s="319">
        <f t="shared" si="44"/>
        <v>0.1881533101</v>
      </c>
      <c r="H88" s="319">
        <f t="shared" si="44"/>
        <v>0.1881533101</v>
      </c>
      <c r="I88" s="319">
        <f t="shared" si="44"/>
        <v>0.1881533101</v>
      </c>
      <c r="J88" s="319">
        <f t="shared" si="44"/>
        <v>0.1881533101</v>
      </c>
      <c r="K88" s="319">
        <f t="shared" si="44"/>
        <v>0.192912892</v>
      </c>
      <c r="L88" s="319">
        <f t="shared" si="44"/>
        <v>0.192912892</v>
      </c>
      <c r="M88" s="319">
        <f t="shared" si="44"/>
        <v>0.192912892</v>
      </c>
      <c r="N88" s="319">
        <f t="shared" si="44"/>
        <v>0.192912892</v>
      </c>
      <c r="O88" s="319">
        <f t="shared" si="44"/>
        <v>0.192912892</v>
      </c>
      <c r="P88" s="319">
        <f t="shared" si="44"/>
        <v>0.192912892</v>
      </c>
      <c r="Q88" s="319">
        <f t="shared" si="44"/>
        <v>0.192912892</v>
      </c>
      <c r="R88" s="319">
        <f t="shared" si="44"/>
        <v>0.192912892</v>
      </c>
      <c r="S88" s="319">
        <f t="shared" si="44"/>
        <v>0.192912892</v>
      </c>
      <c r="T88" s="25"/>
      <c r="U88" s="25"/>
      <c r="V88" s="25"/>
      <c r="W88" s="25"/>
      <c r="X88" s="25"/>
      <c r="Y88" s="25"/>
      <c r="Z88" s="25"/>
      <c r="AA88" s="25"/>
      <c r="AB88" s="25"/>
    </row>
    <row r="89" ht="12.75" customHeight="1">
      <c r="A89" s="57" t="s">
        <v>872</v>
      </c>
      <c r="B89" s="298">
        <v>945.0</v>
      </c>
      <c r="C89" s="306">
        <v>1633.0</v>
      </c>
      <c r="D89" s="306">
        <v>2271.0</v>
      </c>
      <c r="E89" s="298">
        <v>2298.6</v>
      </c>
      <c r="F89" s="298">
        <v>1453.7</v>
      </c>
      <c r="G89" s="298">
        <v>1453.7</v>
      </c>
      <c r="H89" s="298">
        <v>1453.7</v>
      </c>
      <c r="I89" s="298">
        <v>1453.7</v>
      </c>
      <c r="J89" s="298">
        <v>1453.7</v>
      </c>
      <c r="K89" s="298">
        <v>1452.0</v>
      </c>
      <c r="L89" s="298">
        <v>1452.0</v>
      </c>
      <c r="M89" s="298">
        <v>1452.0</v>
      </c>
      <c r="N89" s="298">
        <v>1452.0</v>
      </c>
      <c r="O89" s="298">
        <v>1452.0</v>
      </c>
      <c r="P89" s="298">
        <v>1452.0</v>
      </c>
      <c r="Q89" s="298">
        <v>1452.0</v>
      </c>
      <c r="R89" s="298">
        <v>1452.0</v>
      </c>
      <c r="S89" s="298">
        <v>1452.0</v>
      </c>
      <c r="T89" s="25"/>
      <c r="U89" s="25"/>
      <c r="V89" s="25"/>
      <c r="W89" s="25"/>
      <c r="X89" s="25"/>
      <c r="Y89" s="25"/>
      <c r="Z89" s="25"/>
      <c r="AA89" s="25"/>
      <c r="AB89" s="25"/>
    </row>
    <row r="90" ht="12.75" customHeight="1">
      <c r="A90" s="57" t="s">
        <v>873</v>
      </c>
      <c r="B90" s="297">
        <v>4180.0</v>
      </c>
      <c r="C90" s="297">
        <v>4180.0</v>
      </c>
      <c r="D90" s="297">
        <v>4180.0</v>
      </c>
      <c r="E90" s="297">
        <v>4180.0</v>
      </c>
      <c r="F90" s="297">
        <v>4180.0</v>
      </c>
      <c r="G90" s="297">
        <v>4180.0</v>
      </c>
      <c r="H90" s="297">
        <v>4180.0</v>
      </c>
      <c r="I90" s="297">
        <v>4180.0</v>
      </c>
      <c r="J90" s="297">
        <v>4180.0</v>
      </c>
      <c r="K90" s="297">
        <v>4180.0</v>
      </c>
      <c r="L90" s="297">
        <v>4180.0</v>
      </c>
      <c r="M90" s="297">
        <v>4180.0</v>
      </c>
      <c r="N90" s="297">
        <v>4180.0</v>
      </c>
      <c r="O90" s="297">
        <v>4180.0</v>
      </c>
      <c r="P90" s="297">
        <v>4180.0</v>
      </c>
      <c r="Q90" s="297">
        <v>4180.0</v>
      </c>
      <c r="R90" s="297">
        <v>4180.0</v>
      </c>
      <c r="S90" s="297">
        <v>4180.0</v>
      </c>
      <c r="T90" s="25"/>
      <c r="U90" s="25"/>
      <c r="V90" s="25"/>
      <c r="W90" s="25"/>
      <c r="X90" s="25"/>
      <c r="Y90" s="25"/>
      <c r="Z90" s="25"/>
      <c r="AA90" s="25"/>
      <c r="AB90" s="25"/>
    </row>
    <row r="91" ht="12.75" customHeight="1">
      <c r="A91" s="317" t="s">
        <v>874</v>
      </c>
      <c r="B91" s="319">
        <f t="shared" ref="B91:S91" si="45">B89/B90</f>
        <v>0.226076555</v>
      </c>
      <c r="C91" s="319">
        <f t="shared" si="45"/>
        <v>0.3906698565</v>
      </c>
      <c r="D91" s="319">
        <f t="shared" si="45"/>
        <v>0.5433014354</v>
      </c>
      <c r="E91" s="319">
        <f t="shared" si="45"/>
        <v>0.5499043062</v>
      </c>
      <c r="F91" s="319">
        <f t="shared" si="45"/>
        <v>0.3477751196</v>
      </c>
      <c r="G91" s="319">
        <f t="shared" si="45"/>
        <v>0.3477751196</v>
      </c>
      <c r="H91" s="319">
        <f t="shared" si="45"/>
        <v>0.3477751196</v>
      </c>
      <c r="I91" s="319">
        <f t="shared" si="45"/>
        <v>0.3477751196</v>
      </c>
      <c r="J91" s="319">
        <f t="shared" si="45"/>
        <v>0.3477751196</v>
      </c>
      <c r="K91" s="319">
        <f t="shared" si="45"/>
        <v>0.3473684211</v>
      </c>
      <c r="L91" s="319">
        <f t="shared" si="45"/>
        <v>0.3473684211</v>
      </c>
      <c r="M91" s="319">
        <f t="shared" si="45"/>
        <v>0.3473684211</v>
      </c>
      <c r="N91" s="319">
        <f t="shared" si="45"/>
        <v>0.3473684211</v>
      </c>
      <c r="O91" s="319">
        <f t="shared" si="45"/>
        <v>0.3473684211</v>
      </c>
      <c r="P91" s="319">
        <f t="shared" si="45"/>
        <v>0.3473684211</v>
      </c>
      <c r="Q91" s="319">
        <f t="shared" si="45"/>
        <v>0.3473684211</v>
      </c>
      <c r="R91" s="319">
        <f t="shared" si="45"/>
        <v>0.3473684211</v>
      </c>
      <c r="S91" s="319">
        <f t="shared" si="45"/>
        <v>0.3473684211</v>
      </c>
      <c r="T91" s="25"/>
      <c r="U91" s="25"/>
      <c r="V91" s="25"/>
      <c r="W91" s="25"/>
      <c r="X91" s="25"/>
      <c r="Y91" s="25"/>
      <c r="Z91" s="25"/>
      <c r="AA91" s="25"/>
      <c r="AB91" s="25"/>
    </row>
    <row r="92" ht="12.75" customHeight="1">
      <c r="A92" s="317" t="s">
        <v>875</v>
      </c>
      <c r="B92" s="319">
        <f t="shared" ref="B92:S92" si="46">AVERAGE(B85,B88)</f>
        <v>0.5870014212</v>
      </c>
      <c r="C92" s="319">
        <f t="shared" si="46"/>
        <v>0.5906484962</v>
      </c>
      <c r="D92" s="319">
        <f t="shared" si="46"/>
        <v>0.3481340546</v>
      </c>
      <c r="E92" s="319">
        <f t="shared" si="46"/>
        <v>0.4175265909</v>
      </c>
      <c r="F92" s="319">
        <f t="shared" si="46"/>
        <v>0.3391424445</v>
      </c>
      <c r="G92" s="319">
        <f t="shared" si="46"/>
        <v>0.3391424445</v>
      </c>
      <c r="H92" s="319">
        <f t="shared" si="46"/>
        <v>0.3391424445</v>
      </c>
      <c r="I92" s="319">
        <f t="shared" si="46"/>
        <v>0.3391424445</v>
      </c>
      <c r="J92" s="319">
        <f t="shared" si="46"/>
        <v>0.3391424445</v>
      </c>
      <c r="K92" s="319">
        <f t="shared" si="46"/>
        <v>0.3908643407</v>
      </c>
      <c r="L92" s="319">
        <f t="shared" si="46"/>
        <v>0.3908643407</v>
      </c>
      <c r="M92" s="319">
        <f t="shared" si="46"/>
        <v>0.3908643407</v>
      </c>
      <c r="N92" s="319">
        <f t="shared" si="46"/>
        <v>0.3908643407</v>
      </c>
      <c r="O92" s="319">
        <f t="shared" si="46"/>
        <v>0.3908643407</v>
      </c>
      <c r="P92" s="319">
        <f t="shared" si="46"/>
        <v>0.3908643407</v>
      </c>
      <c r="Q92" s="319">
        <f t="shared" si="46"/>
        <v>0.3908643407</v>
      </c>
      <c r="R92" s="319">
        <f t="shared" si="46"/>
        <v>0.3908643407</v>
      </c>
      <c r="S92" s="319">
        <f t="shared" si="46"/>
        <v>0.3908643407</v>
      </c>
      <c r="T92" s="25"/>
      <c r="U92" s="25"/>
      <c r="V92" s="25"/>
      <c r="W92" s="25"/>
      <c r="X92" s="25" t="s">
        <v>876</v>
      </c>
      <c r="Y92" s="25"/>
      <c r="Z92" s="25"/>
      <c r="AA92" s="25"/>
      <c r="AB92" s="25"/>
    </row>
    <row r="93" ht="12.75" customHeight="1">
      <c r="A93" s="317" t="s">
        <v>877</v>
      </c>
      <c r="B93" s="319">
        <f t="shared" ref="B93:S93" si="47">B91</f>
        <v>0.226076555</v>
      </c>
      <c r="C93" s="319">
        <f t="shared" si="47"/>
        <v>0.3906698565</v>
      </c>
      <c r="D93" s="319">
        <f t="shared" si="47"/>
        <v>0.5433014354</v>
      </c>
      <c r="E93" s="319">
        <f t="shared" si="47"/>
        <v>0.5499043062</v>
      </c>
      <c r="F93" s="319">
        <f t="shared" si="47"/>
        <v>0.3477751196</v>
      </c>
      <c r="G93" s="319">
        <f t="shared" si="47"/>
        <v>0.3477751196</v>
      </c>
      <c r="H93" s="319">
        <f t="shared" si="47"/>
        <v>0.3477751196</v>
      </c>
      <c r="I93" s="319">
        <f t="shared" si="47"/>
        <v>0.3477751196</v>
      </c>
      <c r="J93" s="319">
        <f t="shared" si="47"/>
        <v>0.3477751196</v>
      </c>
      <c r="K93" s="319">
        <f t="shared" si="47"/>
        <v>0.3473684211</v>
      </c>
      <c r="L93" s="319">
        <f t="shared" si="47"/>
        <v>0.3473684211</v>
      </c>
      <c r="M93" s="319">
        <f t="shared" si="47"/>
        <v>0.3473684211</v>
      </c>
      <c r="N93" s="319">
        <f t="shared" si="47"/>
        <v>0.3473684211</v>
      </c>
      <c r="O93" s="319">
        <f t="shared" si="47"/>
        <v>0.3473684211</v>
      </c>
      <c r="P93" s="319">
        <f t="shared" si="47"/>
        <v>0.3473684211</v>
      </c>
      <c r="Q93" s="319">
        <f t="shared" si="47"/>
        <v>0.3473684211</v>
      </c>
      <c r="R93" s="319">
        <f t="shared" si="47"/>
        <v>0.3473684211</v>
      </c>
      <c r="S93" s="319">
        <f t="shared" si="47"/>
        <v>0.3473684211</v>
      </c>
      <c r="T93" s="25"/>
      <c r="U93" s="25"/>
      <c r="V93" s="25">
        <v>166.9</v>
      </c>
      <c r="W93" s="25" t="s">
        <v>878</v>
      </c>
      <c r="X93" s="56" t="s">
        <v>879</v>
      </c>
      <c r="Y93" s="25"/>
      <c r="Z93" s="25"/>
      <c r="AA93" s="25"/>
      <c r="AB93" s="25"/>
    </row>
    <row r="94" ht="12.75" customHeight="1">
      <c r="A94" s="25" t="s">
        <v>880</v>
      </c>
      <c r="B94" s="97">
        <f t="shared" ref="B94:S94" si="48">ROUND((B82*B81)/B92,-4)</f>
        <v>1730000</v>
      </c>
      <c r="C94" s="97">
        <f t="shared" si="48"/>
        <v>1390000</v>
      </c>
      <c r="D94" s="97">
        <f t="shared" si="48"/>
        <v>1180000</v>
      </c>
      <c r="E94" s="97">
        <f t="shared" si="48"/>
        <v>1180000</v>
      </c>
      <c r="F94" s="97">
        <f t="shared" si="48"/>
        <v>1750000</v>
      </c>
      <c r="G94" s="97">
        <f t="shared" si="48"/>
        <v>2020000</v>
      </c>
      <c r="H94" s="97">
        <f t="shared" si="48"/>
        <v>2300000</v>
      </c>
      <c r="I94" s="97">
        <f t="shared" si="48"/>
        <v>2820000</v>
      </c>
      <c r="J94" s="97">
        <f t="shared" si="48"/>
        <v>3000000</v>
      </c>
      <c r="K94" s="97">
        <f t="shared" si="48"/>
        <v>2600000</v>
      </c>
      <c r="L94" s="97">
        <f t="shared" si="48"/>
        <v>2140000</v>
      </c>
      <c r="M94" s="97">
        <f t="shared" si="48"/>
        <v>2640000</v>
      </c>
      <c r="N94" s="97">
        <f t="shared" si="48"/>
        <v>2650000</v>
      </c>
      <c r="O94" s="97">
        <f t="shared" si="48"/>
        <v>2950000</v>
      </c>
      <c r="P94" s="97">
        <f t="shared" si="48"/>
        <v>1470000</v>
      </c>
      <c r="Q94" s="97">
        <f t="shared" si="48"/>
        <v>1470000</v>
      </c>
      <c r="R94" s="97">
        <f t="shared" si="48"/>
        <v>1960000</v>
      </c>
      <c r="S94" s="97">
        <f t="shared" si="48"/>
        <v>2600000</v>
      </c>
      <c r="T94" s="25"/>
      <c r="U94" s="25"/>
      <c r="V94" s="97">
        <f>V93*1.6</f>
        <v>267.04</v>
      </c>
      <c r="W94" s="25" t="s">
        <v>881</v>
      </c>
      <c r="X94" s="56" t="s">
        <v>882</v>
      </c>
      <c r="Y94" s="25"/>
      <c r="Z94" s="25"/>
      <c r="AA94" s="25"/>
      <c r="AB94" s="25"/>
    </row>
    <row r="95" ht="12.75" customHeight="1">
      <c r="A95" s="25" t="s">
        <v>883</v>
      </c>
      <c r="B95" s="97">
        <f t="shared" ref="B95:S95" si="49">ROUND((B81*(1-B82))/B93,-4)</f>
        <v>500000</v>
      </c>
      <c r="C95" s="97">
        <f t="shared" si="49"/>
        <v>900000</v>
      </c>
      <c r="D95" s="97">
        <f t="shared" si="49"/>
        <v>590000</v>
      </c>
      <c r="E95" s="97">
        <f t="shared" si="49"/>
        <v>700000</v>
      </c>
      <c r="F95" s="97">
        <f t="shared" si="49"/>
        <v>1340000</v>
      </c>
      <c r="G95" s="97">
        <f t="shared" si="49"/>
        <v>1540000</v>
      </c>
      <c r="H95" s="97">
        <f t="shared" si="49"/>
        <v>1760000</v>
      </c>
      <c r="I95" s="97">
        <f t="shared" si="49"/>
        <v>2160000</v>
      </c>
      <c r="J95" s="97">
        <f t="shared" si="49"/>
        <v>2300000</v>
      </c>
      <c r="K95" s="97">
        <f t="shared" si="49"/>
        <v>2300000</v>
      </c>
      <c r="L95" s="97">
        <f t="shared" si="49"/>
        <v>1890000</v>
      </c>
      <c r="M95" s="97">
        <f t="shared" si="49"/>
        <v>2330000</v>
      </c>
      <c r="N95" s="97">
        <f t="shared" si="49"/>
        <v>2350000</v>
      </c>
      <c r="O95" s="97">
        <f t="shared" si="49"/>
        <v>2600000</v>
      </c>
      <c r="P95" s="97">
        <f t="shared" si="49"/>
        <v>1300000</v>
      </c>
      <c r="Q95" s="97">
        <f t="shared" si="49"/>
        <v>1300000</v>
      </c>
      <c r="R95" s="97">
        <f t="shared" si="49"/>
        <v>1730000</v>
      </c>
      <c r="S95" s="97">
        <f t="shared" si="49"/>
        <v>2300000</v>
      </c>
      <c r="T95" s="25"/>
      <c r="U95" s="25"/>
      <c r="V95" s="253">
        <f>V94/1000000</f>
        <v>0.00026704</v>
      </c>
      <c r="W95" s="56" t="s">
        <v>884</v>
      </c>
      <c r="X95" s="56" t="s">
        <v>885</v>
      </c>
      <c r="Y95" s="25"/>
      <c r="Z95" s="25"/>
      <c r="AA95" s="25"/>
      <c r="AB95" s="25"/>
    </row>
    <row r="96" ht="12.75" customHeight="1">
      <c r="A96" s="47" t="s">
        <v>886</v>
      </c>
      <c r="B96" s="97">
        <f t="shared" ref="B96:S96" si="50">ROUND(SUM(B94:B95),-3)</f>
        <v>2230000</v>
      </c>
      <c r="C96" s="97">
        <f t="shared" si="50"/>
        <v>2290000</v>
      </c>
      <c r="D96" s="97">
        <f t="shared" si="50"/>
        <v>1770000</v>
      </c>
      <c r="E96" s="97">
        <f t="shared" si="50"/>
        <v>1880000</v>
      </c>
      <c r="F96" s="97">
        <f t="shared" si="50"/>
        <v>3090000</v>
      </c>
      <c r="G96" s="97">
        <f t="shared" si="50"/>
        <v>3560000</v>
      </c>
      <c r="H96" s="97">
        <f t="shared" si="50"/>
        <v>4060000</v>
      </c>
      <c r="I96" s="97">
        <f t="shared" si="50"/>
        <v>4980000</v>
      </c>
      <c r="J96" s="97">
        <f t="shared" si="50"/>
        <v>5300000</v>
      </c>
      <c r="K96" s="97">
        <f t="shared" si="50"/>
        <v>4900000</v>
      </c>
      <c r="L96" s="97">
        <f t="shared" si="50"/>
        <v>4030000</v>
      </c>
      <c r="M96" s="97">
        <f t="shared" si="50"/>
        <v>4970000</v>
      </c>
      <c r="N96" s="97">
        <f t="shared" si="50"/>
        <v>5000000</v>
      </c>
      <c r="O96" s="97">
        <f t="shared" si="50"/>
        <v>5550000</v>
      </c>
      <c r="P96" s="97">
        <f t="shared" si="50"/>
        <v>2770000</v>
      </c>
      <c r="Q96" s="97">
        <f t="shared" si="50"/>
        <v>2770000</v>
      </c>
      <c r="R96" s="97">
        <f t="shared" si="50"/>
        <v>3690000</v>
      </c>
      <c r="S96" s="97">
        <f t="shared" si="50"/>
        <v>4900000</v>
      </c>
      <c r="T96" s="25"/>
      <c r="U96" s="25"/>
      <c r="V96" s="73">
        <f>V95*H96</f>
        <v>1084.1824</v>
      </c>
      <c r="W96" s="56" t="s">
        <v>887</v>
      </c>
      <c r="X96" s="56" t="s">
        <v>888</v>
      </c>
      <c r="Y96" s="25"/>
      <c r="Z96" s="25"/>
      <c r="AA96" s="25"/>
      <c r="AB96" s="25"/>
    </row>
    <row r="97" ht="12.75" customHeight="1">
      <c r="A97" s="317" t="s">
        <v>889</v>
      </c>
      <c r="B97" s="321">
        <v>3070.0</v>
      </c>
      <c r="C97" s="321">
        <v>3070.0</v>
      </c>
      <c r="D97" s="321">
        <v>3098.0</v>
      </c>
      <c r="E97" s="321">
        <v>2931.0</v>
      </c>
      <c r="F97" s="321">
        <v>2773.0</v>
      </c>
      <c r="G97" s="321">
        <v>2773.0</v>
      </c>
      <c r="H97" s="321">
        <v>2773.0</v>
      </c>
      <c r="I97" s="321">
        <v>2773.0</v>
      </c>
      <c r="J97" s="321">
        <v>2773.0</v>
      </c>
      <c r="K97" s="321">
        <v>2366.0</v>
      </c>
      <c r="L97" s="321">
        <v>2366.0</v>
      </c>
      <c r="M97" s="321">
        <v>2366.0</v>
      </c>
      <c r="N97" s="321">
        <v>2366.0</v>
      </c>
      <c r="O97" s="321">
        <v>2366.0</v>
      </c>
      <c r="P97" s="321">
        <v>2366.0</v>
      </c>
      <c r="Q97" s="321">
        <v>2366.0</v>
      </c>
      <c r="R97" s="321">
        <v>2366.0</v>
      </c>
      <c r="S97" s="321">
        <v>2366.0</v>
      </c>
      <c r="X97" s="56" t="s">
        <v>890</v>
      </c>
      <c r="AB97" s="56" t="s">
        <v>891</v>
      </c>
    </row>
    <row r="98" ht="12.75" customHeight="1">
      <c r="A98" s="317" t="s">
        <v>892</v>
      </c>
      <c r="B98" s="321">
        <v>3574.0</v>
      </c>
      <c r="C98" s="321">
        <v>3574.0</v>
      </c>
      <c r="D98" s="321">
        <v>3691.0</v>
      </c>
      <c r="E98" s="321">
        <v>3490.0</v>
      </c>
      <c r="F98" s="321">
        <v>3388.0</v>
      </c>
      <c r="G98" s="321">
        <v>3388.0</v>
      </c>
      <c r="H98" s="321">
        <v>3388.0</v>
      </c>
      <c r="I98" s="321">
        <v>3388.0</v>
      </c>
      <c r="J98" s="321">
        <v>3388.0</v>
      </c>
      <c r="K98" s="321">
        <v>3392.0</v>
      </c>
      <c r="L98" s="321">
        <v>3392.0</v>
      </c>
      <c r="M98" s="321">
        <v>3392.0</v>
      </c>
      <c r="N98" s="321">
        <v>3392.0</v>
      </c>
      <c r="O98" s="321">
        <v>3392.0</v>
      </c>
      <c r="P98" s="321">
        <v>3392.0</v>
      </c>
      <c r="Q98" s="321">
        <v>3392.0</v>
      </c>
      <c r="R98" s="321">
        <v>3392.0</v>
      </c>
      <c r="S98" s="321">
        <v>3392.0</v>
      </c>
    </row>
    <row r="99" ht="12.75" customHeight="1">
      <c r="A99" s="25" t="s">
        <v>893</v>
      </c>
      <c r="B99" s="307">
        <f t="shared" ref="B99:S99" si="51">((B94*B97*$B145)+(B95*B98*$B145))/B81</f>
        <v>0.006292513539</v>
      </c>
      <c r="C99" s="307">
        <f t="shared" si="51"/>
        <v>0.006362927423</v>
      </c>
      <c r="D99" s="307">
        <f t="shared" si="51"/>
        <v>0.007957170392</v>
      </c>
      <c r="E99" s="307">
        <f t="shared" si="51"/>
        <v>0.006721479514</v>
      </c>
      <c r="F99" s="307">
        <f t="shared" si="51"/>
        <v>0.008884393829</v>
      </c>
      <c r="G99" s="307">
        <f t="shared" si="51"/>
        <v>0.008859911753</v>
      </c>
      <c r="H99" s="307">
        <f t="shared" si="51"/>
        <v>0.008870516755</v>
      </c>
      <c r="I99" s="307">
        <f t="shared" si="51"/>
        <v>0.008851476288</v>
      </c>
      <c r="J99" s="307">
        <f t="shared" si="51"/>
        <v>0.008872668669</v>
      </c>
      <c r="K99" s="307">
        <f t="shared" si="51"/>
        <v>0.007684131762</v>
      </c>
      <c r="L99" s="307">
        <f t="shared" si="51"/>
        <v>0.007676665496</v>
      </c>
      <c r="M99" s="307">
        <f t="shared" si="51"/>
        <v>0.00767902242</v>
      </c>
      <c r="N99" s="307">
        <f t="shared" si="51"/>
        <v>0.007692041782</v>
      </c>
      <c r="O99" s="307">
        <f t="shared" si="51"/>
        <v>0.007685716825</v>
      </c>
      <c r="P99" s="307">
        <f t="shared" si="51"/>
        <v>0.007674207951</v>
      </c>
      <c r="Q99" s="307">
        <f t="shared" si="51"/>
        <v>0.007674207951</v>
      </c>
      <c r="R99" s="307">
        <f t="shared" si="51"/>
        <v>0.007685170148</v>
      </c>
      <c r="S99" s="307">
        <f t="shared" si="51"/>
        <v>0.007674639127</v>
      </c>
      <c r="V99" s="25">
        <f>V100/1.6</f>
        <v>173.125</v>
      </c>
      <c r="W99" s="25" t="s">
        <v>894</v>
      </c>
      <c r="X99" s="56">
        <v>11000.0</v>
      </c>
      <c r="Y99" s="56" t="s">
        <v>895</v>
      </c>
      <c r="AB99" s="56">
        <f>2.2*0.22</f>
        <v>0.484</v>
      </c>
    </row>
    <row r="100" ht="15.0" customHeight="1">
      <c r="A100" s="25" t="s">
        <v>896</v>
      </c>
      <c r="B100" s="307">
        <f t="shared" ref="B100:S100" si="52">(B101*$B195*$B196*$B197*$B147)/B81</f>
        <v>0.0004412383754</v>
      </c>
      <c r="C100" s="307">
        <f t="shared" si="52"/>
        <v>0.0004461758789</v>
      </c>
      <c r="D100" s="307">
        <f t="shared" si="52"/>
        <v>0.0005579631824</v>
      </c>
      <c r="E100" s="307">
        <f t="shared" si="52"/>
        <v>0.0004713195662</v>
      </c>
      <c r="F100" s="307">
        <f t="shared" si="52"/>
        <v>0.0006229860287</v>
      </c>
      <c r="G100" s="307">
        <f t="shared" si="52"/>
        <v>0.0006212684757</v>
      </c>
      <c r="H100" s="307">
        <f t="shared" si="52"/>
        <v>0.0006220119703</v>
      </c>
      <c r="I100" s="307">
        <f t="shared" si="52"/>
        <v>0.0006206741825</v>
      </c>
      <c r="J100" s="307">
        <f t="shared" si="52"/>
        <v>0.000622161857</v>
      </c>
      <c r="K100" s="307">
        <f t="shared" si="52"/>
        <v>0.0005388202653</v>
      </c>
      <c r="L100" s="307">
        <f t="shared" si="52"/>
        <v>0.0005382957838</v>
      </c>
      <c r="M100" s="307">
        <f t="shared" si="52"/>
        <v>0.0005384619923</v>
      </c>
      <c r="N100" s="307">
        <f t="shared" si="52"/>
        <v>0.0005393749252</v>
      </c>
      <c r="O100" s="307">
        <f t="shared" si="52"/>
        <v>0.0005389314118</v>
      </c>
      <c r="P100" s="307">
        <f t="shared" si="52"/>
        <v>0.0005381230317</v>
      </c>
      <c r="Q100" s="307">
        <f t="shared" si="52"/>
        <v>0.0005381230317</v>
      </c>
      <c r="R100" s="307">
        <f t="shared" si="52"/>
        <v>0.0005388920522</v>
      </c>
      <c r="S100" s="307">
        <f t="shared" si="52"/>
        <v>0.0005381546307</v>
      </c>
      <c r="V100" s="56">
        <f>V101/0.001</f>
        <v>277</v>
      </c>
      <c r="W100" s="56" t="s">
        <v>881</v>
      </c>
      <c r="X100" s="56">
        <f>X99/1.6</f>
        <v>6875</v>
      </c>
      <c r="Y100" s="56" t="s">
        <v>897</v>
      </c>
    </row>
    <row r="101" ht="12.75" customHeight="1">
      <c r="A101" s="25" t="s">
        <v>197</v>
      </c>
      <c r="B101" s="73">
        <f t="shared" ref="B101:S101" si="53">ROUND((B94*B97*$B145)+(B95*B98*$B145),1)</f>
        <v>7098.1</v>
      </c>
      <c r="C101" s="73">
        <f t="shared" si="53"/>
        <v>7483.9</v>
      </c>
      <c r="D101" s="73">
        <f t="shared" si="53"/>
        <v>5833.3</v>
      </c>
      <c r="E101" s="73">
        <f t="shared" si="53"/>
        <v>5901.6</v>
      </c>
      <c r="F101" s="73">
        <f t="shared" si="53"/>
        <v>9392.7</v>
      </c>
      <c r="G101" s="73">
        <f t="shared" si="53"/>
        <v>10819</v>
      </c>
      <c r="H101" s="73">
        <f t="shared" si="53"/>
        <v>12340.8</v>
      </c>
      <c r="I101" s="73">
        <f t="shared" si="53"/>
        <v>15137.9</v>
      </c>
      <c r="J101" s="73">
        <f t="shared" si="53"/>
        <v>16111.4</v>
      </c>
      <c r="K101" s="73">
        <f t="shared" si="53"/>
        <v>13953.2</v>
      </c>
      <c r="L101" s="73">
        <f t="shared" si="53"/>
        <v>11474.1</v>
      </c>
      <c r="M101" s="73">
        <f t="shared" si="53"/>
        <v>14149.6</v>
      </c>
      <c r="N101" s="73">
        <f t="shared" si="53"/>
        <v>14241.1</v>
      </c>
      <c r="O101" s="73">
        <f t="shared" si="53"/>
        <v>15798.9</v>
      </c>
      <c r="P101" s="73">
        <f t="shared" si="53"/>
        <v>7887.6</v>
      </c>
      <c r="Q101" s="73">
        <f t="shared" si="53"/>
        <v>7887.6</v>
      </c>
      <c r="R101" s="73">
        <f t="shared" si="53"/>
        <v>10505.5</v>
      </c>
      <c r="S101" s="73">
        <f t="shared" si="53"/>
        <v>13953.2</v>
      </c>
      <c r="V101" s="56">
        <v>0.277</v>
      </c>
      <c r="W101" s="56" t="s">
        <v>898</v>
      </c>
      <c r="X101" s="56">
        <v>5.0</v>
      </c>
      <c r="Y101" s="56" t="s">
        <v>899</v>
      </c>
    </row>
    <row r="102" ht="15.0" customHeight="1">
      <c r="A102" s="47" t="s">
        <v>900</v>
      </c>
      <c r="B102" s="78">
        <f t="shared" ref="B102:S102" si="54">ROUND(B101*$B195*$B196*$B197*$B147,1)</f>
        <v>497.7</v>
      </c>
      <c r="C102" s="78">
        <f t="shared" si="54"/>
        <v>524.8</v>
      </c>
      <c r="D102" s="78">
        <f t="shared" si="54"/>
        <v>409</v>
      </c>
      <c r="E102" s="78">
        <f t="shared" si="54"/>
        <v>413.8</v>
      </c>
      <c r="F102" s="78">
        <f t="shared" si="54"/>
        <v>658.6</v>
      </c>
      <c r="G102" s="78">
        <f t="shared" si="54"/>
        <v>758.6</v>
      </c>
      <c r="H102" s="78">
        <f t="shared" si="54"/>
        <v>865.4</v>
      </c>
      <c r="I102" s="78">
        <f t="shared" si="54"/>
        <v>1061.5</v>
      </c>
      <c r="J102" s="78">
        <f t="shared" si="54"/>
        <v>1129.8</v>
      </c>
      <c r="K102" s="78">
        <f t="shared" si="54"/>
        <v>978.4</v>
      </c>
      <c r="L102" s="78">
        <f t="shared" si="54"/>
        <v>804.6</v>
      </c>
      <c r="M102" s="78">
        <f t="shared" si="54"/>
        <v>992.2</v>
      </c>
      <c r="N102" s="78">
        <f t="shared" si="54"/>
        <v>998.6</v>
      </c>
      <c r="O102" s="78">
        <f t="shared" si="54"/>
        <v>1107.8</v>
      </c>
      <c r="P102" s="78">
        <f t="shared" si="54"/>
        <v>553.1</v>
      </c>
      <c r="Q102" s="78">
        <f t="shared" si="54"/>
        <v>553.1</v>
      </c>
      <c r="R102" s="78">
        <f t="shared" si="54"/>
        <v>736.7</v>
      </c>
      <c r="S102" s="78">
        <f t="shared" si="54"/>
        <v>978.4</v>
      </c>
      <c r="V102" s="56">
        <f>V101/2200</f>
        <v>0.0001259090909</v>
      </c>
      <c r="W102" s="56" t="s">
        <v>901</v>
      </c>
      <c r="X102" s="56">
        <f>X101/X100</f>
        <v>0.0007272727273</v>
      </c>
      <c r="Y102" s="56" t="s">
        <v>901</v>
      </c>
    </row>
    <row r="103" ht="12.75" customHeight="1">
      <c r="A103" s="59" t="s">
        <v>902</v>
      </c>
      <c r="B103" s="322">
        <v>2.7</v>
      </c>
      <c r="C103" s="59">
        <v>2.7</v>
      </c>
      <c r="D103" s="59">
        <v>2.7</v>
      </c>
      <c r="E103" s="59">
        <v>2.7</v>
      </c>
      <c r="F103" s="59">
        <v>2.7</v>
      </c>
      <c r="G103" s="59">
        <v>2.7</v>
      </c>
      <c r="H103" s="59">
        <v>2.7</v>
      </c>
      <c r="I103" s="59">
        <v>2.7</v>
      </c>
      <c r="J103" s="59">
        <v>2.7</v>
      </c>
      <c r="K103" s="59">
        <v>2.7</v>
      </c>
      <c r="L103" s="59">
        <v>2.7</v>
      </c>
      <c r="M103" s="59">
        <v>2.7</v>
      </c>
      <c r="N103" s="59">
        <v>2.7</v>
      </c>
      <c r="O103" s="59">
        <v>2.7</v>
      </c>
      <c r="P103" s="59">
        <v>2.7</v>
      </c>
      <c r="Q103" s="59">
        <v>2.7</v>
      </c>
      <c r="R103" s="59">
        <v>2.7</v>
      </c>
      <c r="S103" s="59">
        <v>2.7</v>
      </c>
      <c r="T103" s="25"/>
      <c r="U103" s="25"/>
      <c r="V103" s="56">
        <v>4060000.0</v>
      </c>
      <c r="W103" s="56" t="s">
        <v>903</v>
      </c>
      <c r="X103" s="25">
        <v>0.25</v>
      </c>
      <c r="Y103" s="25" t="s">
        <v>904</v>
      </c>
      <c r="Z103" s="25"/>
      <c r="AA103" s="25"/>
      <c r="AB103" s="25"/>
    </row>
    <row r="104" ht="12.75" customHeight="1">
      <c r="A104" s="47" t="s">
        <v>905</v>
      </c>
      <c r="B104" s="78">
        <f t="shared" ref="B104:S104" si="55">ROUND(B102*B103,1)</f>
        <v>1343.8</v>
      </c>
      <c r="C104" s="78">
        <f t="shared" si="55"/>
        <v>1417</v>
      </c>
      <c r="D104" s="78">
        <f t="shared" si="55"/>
        <v>1104.3</v>
      </c>
      <c r="E104" s="78">
        <f t="shared" si="55"/>
        <v>1117.3</v>
      </c>
      <c r="F104" s="78">
        <f t="shared" si="55"/>
        <v>1778.2</v>
      </c>
      <c r="G104" s="78">
        <f t="shared" si="55"/>
        <v>2048.2</v>
      </c>
      <c r="H104" s="78">
        <f t="shared" si="55"/>
        <v>2336.6</v>
      </c>
      <c r="I104" s="78">
        <f t="shared" si="55"/>
        <v>2866.1</v>
      </c>
      <c r="J104" s="78">
        <f t="shared" si="55"/>
        <v>3050.5</v>
      </c>
      <c r="K104" s="78">
        <f t="shared" si="55"/>
        <v>2641.7</v>
      </c>
      <c r="L104" s="78">
        <f t="shared" si="55"/>
        <v>2172.4</v>
      </c>
      <c r="M104" s="78">
        <f t="shared" si="55"/>
        <v>2678.9</v>
      </c>
      <c r="N104" s="78">
        <f t="shared" si="55"/>
        <v>2696.2</v>
      </c>
      <c r="O104" s="78">
        <f t="shared" si="55"/>
        <v>2991.1</v>
      </c>
      <c r="P104" s="78">
        <f t="shared" si="55"/>
        <v>1493.4</v>
      </c>
      <c r="Q104" s="78">
        <f t="shared" si="55"/>
        <v>1493.4</v>
      </c>
      <c r="R104" s="78">
        <f t="shared" si="55"/>
        <v>1989.1</v>
      </c>
      <c r="S104" s="78">
        <f t="shared" si="55"/>
        <v>2641.7</v>
      </c>
      <c r="V104" s="56">
        <f>V103*V101</f>
        <v>1124620</v>
      </c>
      <c r="W104" s="56" t="s">
        <v>906</v>
      </c>
      <c r="X104" s="25">
        <f>(H96*X103)*X102</f>
        <v>738.1818182</v>
      </c>
    </row>
    <row r="105" ht="12.75" customHeight="1">
      <c r="A105" s="25" t="s">
        <v>907</v>
      </c>
      <c r="B105" s="97">
        <f t="shared" ref="B105:S105" si="56">(B101/$B194)/$B146</f>
        <v>52578.51852</v>
      </c>
      <c r="C105" s="97">
        <f t="shared" si="56"/>
        <v>55436.2963</v>
      </c>
      <c r="D105" s="97">
        <f t="shared" si="56"/>
        <v>43209.62963</v>
      </c>
      <c r="E105" s="97">
        <f t="shared" si="56"/>
        <v>43715.55556</v>
      </c>
      <c r="F105" s="97">
        <f t="shared" si="56"/>
        <v>69575.55556</v>
      </c>
      <c r="G105" s="97">
        <f t="shared" si="56"/>
        <v>80140.74074</v>
      </c>
      <c r="H105" s="97">
        <f t="shared" si="56"/>
        <v>91413.33333</v>
      </c>
      <c r="I105" s="97">
        <f t="shared" si="56"/>
        <v>112132.5926</v>
      </c>
      <c r="J105" s="97">
        <f t="shared" si="56"/>
        <v>119343.7037</v>
      </c>
      <c r="K105" s="97">
        <f t="shared" si="56"/>
        <v>103357.037</v>
      </c>
      <c r="L105" s="97">
        <f t="shared" si="56"/>
        <v>84993.33333</v>
      </c>
      <c r="M105" s="97">
        <f t="shared" si="56"/>
        <v>104811.8519</v>
      </c>
      <c r="N105" s="97">
        <f t="shared" si="56"/>
        <v>105489.6296</v>
      </c>
      <c r="O105" s="97">
        <f t="shared" si="56"/>
        <v>117028.8889</v>
      </c>
      <c r="P105" s="97">
        <f t="shared" si="56"/>
        <v>58426.66667</v>
      </c>
      <c r="Q105" s="97">
        <f t="shared" si="56"/>
        <v>58426.66667</v>
      </c>
      <c r="R105" s="97">
        <f t="shared" si="56"/>
        <v>77818.51852</v>
      </c>
      <c r="S105" s="97">
        <f t="shared" si="56"/>
        <v>103357.037</v>
      </c>
      <c r="V105" s="56">
        <f>V104*0.001</f>
        <v>1124.62</v>
      </c>
      <c r="W105" s="56" t="s">
        <v>908</v>
      </c>
    </row>
    <row r="106" ht="15.0" customHeight="1">
      <c r="A106" s="25" t="s">
        <v>909</v>
      </c>
      <c r="B106" s="112">
        <f t="shared" ref="B106:S106" si="57">(B101/$B194)*$B198*$B150*$B192*$B148</f>
        <v>0.01373425542</v>
      </c>
      <c r="C106" s="112">
        <f t="shared" si="57"/>
        <v>0.01448074755</v>
      </c>
      <c r="D106" s="112">
        <f t="shared" si="57"/>
        <v>0.01128696865</v>
      </c>
      <c r="E106" s="112">
        <f t="shared" si="57"/>
        <v>0.01141912368</v>
      </c>
      <c r="F106" s="112">
        <f t="shared" si="57"/>
        <v>0.01817412278</v>
      </c>
      <c r="G106" s="112">
        <f t="shared" si="57"/>
        <v>0.02093389913</v>
      </c>
      <c r="H106" s="112">
        <f t="shared" si="57"/>
        <v>0.02387846034</v>
      </c>
      <c r="I106" s="112">
        <f t="shared" si="57"/>
        <v>0.02929062498</v>
      </c>
      <c r="J106" s="112">
        <f t="shared" si="57"/>
        <v>0.03117426957</v>
      </c>
      <c r="K106" s="112">
        <f t="shared" si="57"/>
        <v>0.02699832529</v>
      </c>
      <c r="L106" s="112">
        <f t="shared" si="57"/>
        <v>0.0222014652</v>
      </c>
      <c r="M106" s="112">
        <f t="shared" si="57"/>
        <v>0.02737834358</v>
      </c>
      <c r="N106" s="112">
        <f t="shared" si="57"/>
        <v>0.02755538875</v>
      </c>
      <c r="O106" s="112">
        <f t="shared" si="57"/>
        <v>0.03056960708</v>
      </c>
      <c r="P106" s="112">
        <f t="shared" si="57"/>
        <v>0.01526187474</v>
      </c>
      <c r="Q106" s="112">
        <f t="shared" si="57"/>
        <v>0.01526187474</v>
      </c>
      <c r="R106" s="112">
        <f t="shared" si="57"/>
        <v>0.02032730172</v>
      </c>
      <c r="S106" s="112">
        <f t="shared" si="57"/>
        <v>0.02699832529</v>
      </c>
      <c r="X106" s="56" t="s">
        <v>879</v>
      </c>
    </row>
    <row r="107" ht="15.0" customHeight="1">
      <c r="A107" s="47" t="s">
        <v>910</v>
      </c>
      <c r="B107" s="126">
        <f t="shared" ref="B107:S107" si="58">$B151*B106</f>
        <v>0.2884193639</v>
      </c>
      <c r="C107" s="126">
        <f t="shared" si="58"/>
        <v>0.3040956985</v>
      </c>
      <c r="D107" s="126">
        <f t="shared" si="58"/>
        <v>0.2370263416</v>
      </c>
      <c r="E107" s="126">
        <f t="shared" si="58"/>
        <v>0.2398015973</v>
      </c>
      <c r="F107" s="126">
        <f t="shared" si="58"/>
        <v>0.3816565784</v>
      </c>
      <c r="G107" s="126">
        <f t="shared" si="58"/>
        <v>0.4396118817</v>
      </c>
      <c r="H107" s="126">
        <f t="shared" si="58"/>
        <v>0.5014476671</v>
      </c>
      <c r="I107" s="126">
        <f t="shared" si="58"/>
        <v>0.6151031246</v>
      </c>
      <c r="J107" s="126">
        <f t="shared" si="58"/>
        <v>0.6546596609</v>
      </c>
      <c r="K107" s="126">
        <f t="shared" si="58"/>
        <v>0.5669648312</v>
      </c>
      <c r="L107" s="126">
        <f t="shared" si="58"/>
        <v>0.4662307692</v>
      </c>
      <c r="M107" s="126">
        <f t="shared" si="58"/>
        <v>0.5749452151</v>
      </c>
      <c r="N107" s="126">
        <f t="shared" si="58"/>
        <v>0.5786631638</v>
      </c>
      <c r="O107" s="126">
        <f t="shared" si="58"/>
        <v>0.6419617486</v>
      </c>
      <c r="P107" s="126">
        <f t="shared" si="58"/>
        <v>0.3204993695</v>
      </c>
      <c r="Q107" s="126">
        <f t="shared" si="58"/>
        <v>0.3204993695</v>
      </c>
      <c r="R107" s="126">
        <f t="shared" si="58"/>
        <v>0.4268733361</v>
      </c>
      <c r="S107" s="126">
        <f t="shared" si="58"/>
        <v>0.5669648312</v>
      </c>
      <c r="X107" s="56" t="s">
        <v>911</v>
      </c>
    </row>
    <row r="108" ht="15.0" customHeight="1">
      <c r="A108" s="25" t="s">
        <v>912</v>
      </c>
      <c r="B108" s="112">
        <f t="shared" ref="B108:S108" si="59">(B101/$B194)*$B198*$B150*$B193*$B148</f>
        <v>0.01578650049</v>
      </c>
      <c r="C108" s="112">
        <f t="shared" si="59"/>
        <v>0.01664453741</v>
      </c>
      <c r="D108" s="112">
        <f t="shared" si="59"/>
        <v>0.01297352718</v>
      </c>
      <c r="E108" s="112">
        <f t="shared" si="59"/>
        <v>0.01312542952</v>
      </c>
      <c r="F108" s="112">
        <f t="shared" si="59"/>
        <v>0.0208897963</v>
      </c>
      <c r="G108" s="112">
        <f t="shared" si="59"/>
        <v>0.02406195302</v>
      </c>
      <c r="H108" s="112">
        <f t="shared" si="59"/>
        <v>0.02744650614</v>
      </c>
      <c r="I108" s="112">
        <f t="shared" si="59"/>
        <v>0.03366738503</v>
      </c>
      <c r="J108" s="112">
        <f t="shared" si="59"/>
        <v>0.03583249376</v>
      </c>
      <c r="K108" s="112">
        <f t="shared" si="59"/>
        <v>0.03103255781</v>
      </c>
      <c r="L108" s="112">
        <f t="shared" si="59"/>
        <v>0.02551892552</v>
      </c>
      <c r="M108" s="112">
        <f t="shared" si="59"/>
        <v>0.03146936043</v>
      </c>
      <c r="N108" s="112">
        <f t="shared" si="59"/>
        <v>0.03167286063</v>
      </c>
      <c r="O108" s="112">
        <f t="shared" si="59"/>
        <v>0.0351374794</v>
      </c>
      <c r="P108" s="112">
        <f t="shared" si="59"/>
        <v>0.01754238476</v>
      </c>
      <c r="Q108" s="112">
        <f t="shared" si="59"/>
        <v>0.01754238476</v>
      </c>
      <c r="R108" s="112">
        <f t="shared" si="59"/>
        <v>0.02336471462</v>
      </c>
      <c r="S108" s="112">
        <f t="shared" si="59"/>
        <v>0.03103255781</v>
      </c>
      <c r="V108" s="56">
        <v>0.15</v>
      </c>
      <c r="W108" s="56" t="s">
        <v>913</v>
      </c>
      <c r="X108" s="56" t="s">
        <v>914</v>
      </c>
    </row>
    <row r="109" ht="15.0" customHeight="1">
      <c r="A109" s="47" t="s">
        <v>915</v>
      </c>
      <c r="B109" s="119">
        <f t="shared" ref="B109:S109" si="60">$B152*B108</f>
        <v>4.893815151</v>
      </c>
      <c r="C109" s="119">
        <f t="shared" si="60"/>
        <v>5.159806597</v>
      </c>
      <c r="D109" s="119">
        <f t="shared" si="60"/>
        <v>4.021793426</v>
      </c>
      <c r="E109" s="119">
        <f t="shared" si="60"/>
        <v>4.068883151</v>
      </c>
      <c r="F109" s="119">
        <f t="shared" si="60"/>
        <v>6.475836853</v>
      </c>
      <c r="G109" s="119">
        <f t="shared" si="60"/>
        <v>7.459205437</v>
      </c>
      <c r="H109" s="119">
        <f t="shared" si="60"/>
        <v>8.508416902</v>
      </c>
      <c r="I109" s="119">
        <f t="shared" si="60"/>
        <v>10.43688936</v>
      </c>
      <c r="J109" s="119">
        <f t="shared" si="60"/>
        <v>11.10807306</v>
      </c>
      <c r="K109" s="119">
        <f t="shared" si="60"/>
        <v>9.620092921</v>
      </c>
      <c r="L109" s="119">
        <f t="shared" si="60"/>
        <v>7.910866911</v>
      </c>
      <c r="M109" s="119">
        <f t="shared" si="60"/>
        <v>9.755501734</v>
      </c>
      <c r="N109" s="119">
        <f t="shared" si="60"/>
        <v>9.818586797</v>
      </c>
      <c r="O109" s="119">
        <f t="shared" si="60"/>
        <v>10.89261861</v>
      </c>
      <c r="P109" s="119">
        <f t="shared" si="60"/>
        <v>5.438139274</v>
      </c>
      <c r="Q109" s="119">
        <f t="shared" si="60"/>
        <v>5.438139274</v>
      </c>
      <c r="R109" s="119">
        <f t="shared" si="60"/>
        <v>7.243061533</v>
      </c>
      <c r="S109" s="119">
        <f t="shared" si="60"/>
        <v>9.620092921</v>
      </c>
      <c r="V109" s="56">
        <v>0.44</v>
      </c>
      <c r="W109" s="56" t="s">
        <v>916</v>
      </c>
      <c r="X109" s="56" t="s">
        <v>917</v>
      </c>
    </row>
    <row r="110" ht="12.75" customHeight="1">
      <c r="A110" s="120" t="s">
        <v>918</v>
      </c>
      <c r="B110" s="121">
        <f t="shared" ref="B110:S110" si="61">ROUND(B104+B107+B109,1)</f>
        <v>1349</v>
      </c>
      <c r="C110" s="121">
        <f t="shared" si="61"/>
        <v>1422.5</v>
      </c>
      <c r="D110" s="121">
        <f t="shared" si="61"/>
        <v>1108.6</v>
      </c>
      <c r="E110" s="121">
        <f t="shared" si="61"/>
        <v>1121.6</v>
      </c>
      <c r="F110" s="121">
        <f t="shared" si="61"/>
        <v>1785.1</v>
      </c>
      <c r="G110" s="121">
        <f t="shared" si="61"/>
        <v>2056.1</v>
      </c>
      <c r="H110" s="121">
        <f t="shared" si="61"/>
        <v>2345.6</v>
      </c>
      <c r="I110" s="121">
        <f t="shared" si="61"/>
        <v>2877.2</v>
      </c>
      <c r="J110" s="121">
        <f t="shared" si="61"/>
        <v>3062.3</v>
      </c>
      <c r="K110" s="121">
        <f t="shared" si="61"/>
        <v>2651.9</v>
      </c>
      <c r="L110" s="121">
        <f t="shared" si="61"/>
        <v>2180.8</v>
      </c>
      <c r="M110" s="121">
        <f t="shared" si="61"/>
        <v>2689.2</v>
      </c>
      <c r="N110" s="121">
        <f t="shared" si="61"/>
        <v>2706.6</v>
      </c>
      <c r="O110" s="121">
        <f t="shared" si="61"/>
        <v>3002.6</v>
      </c>
      <c r="P110" s="121">
        <f t="shared" si="61"/>
        <v>1499.2</v>
      </c>
      <c r="Q110" s="121">
        <f t="shared" si="61"/>
        <v>1499.2</v>
      </c>
      <c r="R110" s="121">
        <f t="shared" si="61"/>
        <v>1996.8</v>
      </c>
      <c r="S110" s="121">
        <f t="shared" si="61"/>
        <v>2651.9</v>
      </c>
      <c r="V110" s="97">
        <f>H81</f>
        <v>1391213.2</v>
      </c>
      <c r="W110" s="56" t="s">
        <v>919</v>
      </c>
      <c r="X110" s="56" t="s">
        <v>920</v>
      </c>
    </row>
    <row r="111" ht="12.75" customHeight="1">
      <c r="A111" s="47"/>
      <c r="V111" s="56">
        <f>(V110/V108)*V109</f>
        <v>4080892.053</v>
      </c>
      <c r="W111" s="56" t="s">
        <v>921</v>
      </c>
    </row>
    <row r="112" ht="12.75" customHeight="1">
      <c r="A112" s="47"/>
    </row>
    <row r="113" ht="12.75" customHeight="1">
      <c r="A113" s="47"/>
    </row>
    <row r="114" ht="15.75" customHeight="1">
      <c r="A114" s="92" t="s">
        <v>922</v>
      </c>
      <c r="B114" s="25"/>
      <c r="C114" s="25"/>
      <c r="D114" s="25"/>
      <c r="E114" s="25"/>
      <c r="F114" s="25"/>
      <c r="G114" s="25"/>
      <c r="H114" s="25"/>
      <c r="I114" s="25"/>
      <c r="J114" s="25"/>
      <c r="V114" s="56">
        <v>2200.0</v>
      </c>
      <c r="W114" s="56" t="s">
        <v>923</v>
      </c>
      <c r="X114" s="56">
        <v>4136.0</v>
      </c>
      <c r="Y114" s="56" t="s">
        <v>895</v>
      </c>
    </row>
    <row r="115" ht="12.75" customHeight="1">
      <c r="A115" s="47"/>
      <c r="B115" s="65" t="s">
        <v>55</v>
      </c>
      <c r="C115" s="25"/>
      <c r="D115" s="25"/>
      <c r="E115" s="25"/>
      <c r="F115" s="25"/>
      <c r="G115" s="25"/>
      <c r="H115" s="25"/>
      <c r="I115" s="25"/>
      <c r="J115" s="25"/>
      <c r="X115" s="56">
        <f>X114/1.6</f>
        <v>2585</v>
      </c>
      <c r="Y115" s="56" t="s">
        <v>897</v>
      </c>
    </row>
    <row r="116" ht="24.75" customHeight="1">
      <c r="A116" s="65" t="s">
        <v>195</v>
      </c>
      <c r="B116" s="86" t="s">
        <v>76</v>
      </c>
      <c r="C116" s="86" t="s">
        <v>77</v>
      </c>
      <c r="D116" s="86" t="s">
        <v>78</v>
      </c>
      <c r="E116" s="86" t="s">
        <v>79</v>
      </c>
      <c r="F116" s="86" t="s">
        <v>80</v>
      </c>
      <c r="G116" s="86" t="s">
        <v>81</v>
      </c>
      <c r="H116" s="86" t="s">
        <v>63</v>
      </c>
      <c r="I116" s="86" t="s">
        <v>64</v>
      </c>
      <c r="J116" s="86" t="s">
        <v>84</v>
      </c>
      <c r="K116" s="311" t="s">
        <v>813</v>
      </c>
      <c r="L116" s="86" t="s">
        <v>66</v>
      </c>
      <c r="M116" s="71" t="s">
        <v>185</v>
      </c>
      <c r="N116" s="71" t="s">
        <v>186</v>
      </c>
      <c r="O116" s="71" t="s">
        <v>187</v>
      </c>
      <c r="P116" s="71" t="s">
        <v>188</v>
      </c>
      <c r="Q116" s="71" t="s">
        <v>189</v>
      </c>
      <c r="R116" s="71" t="s">
        <v>190</v>
      </c>
      <c r="S116" s="284" t="s">
        <v>191</v>
      </c>
      <c r="X116" s="56">
        <v>2.0</v>
      </c>
      <c r="Y116" s="56" t="s">
        <v>899</v>
      </c>
    </row>
    <row r="117" ht="12.75" customHeight="1">
      <c r="A117" s="55" t="s">
        <v>924</v>
      </c>
      <c r="B117" s="286">
        <v>33046.0</v>
      </c>
      <c r="C117" s="286">
        <v>32970.68</v>
      </c>
      <c r="D117" s="294">
        <v>29868.0</v>
      </c>
      <c r="E117" s="303">
        <v>42980.0</v>
      </c>
      <c r="F117" s="303">
        <v>25735.0</v>
      </c>
      <c r="G117" s="312">
        <v>60062.0</v>
      </c>
      <c r="H117" s="312">
        <v>52370.0</v>
      </c>
      <c r="I117" s="312">
        <v>50871.87</v>
      </c>
      <c r="J117" s="312">
        <v>57531.0</v>
      </c>
      <c r="K117" s="312">
        <v>57531.0</v>
      </c>
      <c r="L117" s="312">
        <v>48752.0</v>
      </c>
      <c r="M117" s="312">
        <v>49823.569999999985</v>
      </c>
      <c r="N117" s="312">
        <v>53595.969999999994</v>
      </c>
      <c r="O117" s="304">
        <v>38262.46000000001</v>
      </c>
      <c r="P117" s="304">
        <v>38262.46000000001</v>
      </c>
      <c r="Q117" s="304">
        <v>38262.46000000001</v>
      </c>
      <c r="R117" s="304">
        <v>38262.46000000001</v>
      </c>
      <c r="S117" s="304">
        <v>38262.46000000001</v>
      </c>
      <c r="T117" s="25"/>
      <c r="U117" s="25"/>
      <c r="V117" s="25"/>
      <c r="W117" s="25"/>
      <c r="X117" s="25">
        <f>X116/X115</f>
        <v>0.0007736943907</v>
      </c>
      <c r="Y117" s="25" t="s">
        <v>901</v>
      </c>
      <c r="Z117" s="25"/>
      <c r="AA117" s="25"/>
      <c r="AB117" s="25"/>
    </row>
    <row r="118" ht="12.75" customHeight="1">
      <c r="A118" s="317" t="s">
        <v>925</v>
      </c>
      <c r="B118" s="298">
        <v>18.0</v>
      </c>
      <c r="C118" s="306">
        <v>18.0</v>
      </c>
      <c r="D118" s="306">
        <v>18.0</v>
      </c>
      <c r="E118" s="306">
        <v>18.0</v>
      </c>
      <c r="F118" s="306">
        <v>18.0</v>
      </c>
      <c r="G118" s="306">
        <v>18.0</v>
      </c>
      <c r="H118" s="306">
        <v>18.0</v>
      </c>
      <c r="I118" s="306">
        <v>18.0</v>
      </c>
      <c r="J118" s="306">
        <v>18.0</v>
      </c>
      <c r="K118" s="306">
        <v>17.0</v>
      </c>
      <c r="L118" s="306">
        <v>17.0</v>
      </c>
      <c r="M118" s="306">
        <v>17.0</v>
      </c>
      <c r="N118" s="306">
        <v>17.0</v>
      </c>
      <c r="O118" s="306">
        <v>17.0</v>
      </c>
      <c r="P118" s="306">
        <v>17.0</v>
      </c>
      <c r="Q118" s="306">
        <v>17.0</v>
      </c>
      <c r="R118" s="306">
        <v>17.0</v>
      </c>
      <c r="S118" s="306">
        <v>17.0</v>
      </c>
      <c r="T118" s="25"/>
      <c r="U118" s="25"/>
      <c r="V118" s="25"/>
      <c r="W118" s="25"/>
      <c r="X118" s="25">
        <v>0.5</v>
      </c>
      <c r="Y118" s="25" t="s">
        <v>904</v>
      </c>
      <c r="Z118" s="25"/>
      <c r="AA118" s="25"/>
      <c r="AB118" s="25"/>
    </row>
    <row r="119" ht="12.75" customHeight="1">
      <c r="A119" s="57"/>
      <c r="B119" s="298"/>
      <c r="C119" s="306"/>
      <c r="D119" s="306"/>
      <c r="E119" s="306"/>
      <c r="F119" s="306"/>
      <c r="G119" s="306"/>
      <c r="H119" s="306"/>
      <c r="I119" s="306"/>
      <c r="J119" s="306"/>
      <c r="K119" s="306"/>
      <c r="L119" s="306"/>
      <c r="M119" s="306"/>
      <c r="N119" s="306"/>
      <c r="O119" s="306"/>
      <c r="P119" s="306"/>
      <c r="Q119" s="306"/>
      <c r="R119" s="306"/>
      <c r="S119" s="306"/>
      <c r="T119" s="25"/>
      <c r="U119" s="25"/>
      <c r="V119" s="25"/>
      <c r="W119" s="25"/>
      <c r="X119" s="25">
        <f>(H96*X118)*X117</f>
        <v>1570.599613</v>
      </c>
      <c r="Y119" s="25"/>
      <c r="Z119" s="25"/>
      <c r="AA119" s="25"/>
      <c r="AB119" s="25"/>
    </row>
    <row r="120" ht="12.75" customHeight="1">
      <c r="A120" s="57" t="s">
        <v>926</v>
      </c>
      <c r="B120" s="221">
        <f>2*29.5</f>
        <v>59</v>
      </c>
      <c r="C120" s="57">
        <v>59.0</v>
      </c>
      <c r="D120" s="57">
        <v>59.0</v>
      </c>
      <c r="E120" s="57">
        <v>59.0</v>
      </c>
      <c r="F120" s="57">
        <v>59.0</v>
      </c>
      <c r="G120" s="57">
        <v>59.0</v>
      </c>
      <c r="H120" s="57">
        <v>59.0</v>
      </c>
      <c r="I120" s="57">
        <v>59.0</v>
      </c>
      <c r="J120" s="57">
        <v>59.0</v>
      </c>
      <c r="K120" s="57">
        <v>59.0</v>
      </c>
      <c r="L120" s="57">
        <v>59.0</v>
      </c>
      <c r="M120" s="57">
        <v>59.0</v>
      </c>
      <c r="N120" s="57">
        <v>59.0</v>
      </c>
      <c r="O120" s="57">
        <v>59.0</v>
      </c>
      <c r="P120" s="57">
        <v>59.0</v>
      </c>
      <c r="Q120" s="57">
        <v>59.0</v>
      </c>
      <c r="R120" s="57">
        <v>59.0</v>
      </c>
      <c r="S120" s="57">
        <v>59.0</v>
      </c>
      <c r="T120" s="25"/>
      <c r="U120" s="25"/>
      <c r="V120" s="25"/>
      <c r="W120" s="25"/>
      <c r="X120" s="25"/>
      <c r="Y120" s="25"/>
      <c r="Z120" s="25"/>
      <c r="AA120" s="25"/>
      <c r="AB120" s="25"/>
    </row>
    <row r="121" ht="12.75" customHeight="1">
      <c r="A121" s="323" t="s">
        <v>927</v>
      </c>
      <c r="B121" s="319">
        <f t="shared" ref="B121:S121" si="62">B118/B120</f>
        <v>0.3050847458</v>
      </c>
      <c r="C121" s="319">
        <f t="shared" si="62"/>
        <v>0.3050847458</v>
      </c>
      <c r="D121" s="319">
        <f t="shared" si="62"/>
        <v>0.3050847458</v>
      </c>
      <c r="E121" s="319">
        <f t="shared" si="62"/>
        <v>0.3050847458</v>
      </c>
      <c r="F121" s="319">
        <f t="shared" si="62"/>
        <v>0.3050847458</v>
      </c>
      <c r="G121" s="319">
        <f t="shared" si="62"/>
        <v>0.3050847458</v>
      </c>
      <c r="H121" s="319">
        <f t="shared" si="62"/>
        <v>0.3050847458</v>
      </c>
      <c r="I121" s="319">
        <f t="shared" si="62"/>
        <v>0.3050847458</v>
      </c>
      <c r="J121" s="319">
        <f t="shared" si="62"/>
        <v>0.3050847458</v>
      </c>
      <c r="K121" s="319">
        <f t="shared" si="62"/>
        <v>0.2881355932</v>
      </c>
      <c r="L121" s="319">
        <f t="shared" si="62"/>
        <v>0.2881355932</v>
      </c>
      <c r="M121" s="319">
        <f t="shared" si="62"/>
        <v>0.2881355932</v>
      </c>
      <c r="N121" s="319">
        <f t="shared" si="62"/>
        <v>0.2881355932</v>
      </c>
      <c r="O121" s="319">
        <f t="shared" si="62"/>
        <v>0.2881355932</v>
      </c>
      <c r="P121" s="319">
        <f t="shared" si="62"/>
        <v>0.2881355932</v>
      </c>
      <c r="Q121" s="319">
        <f t="shared" si="62"/>
        <v>0.2881355932</v>
      </c>
      <c r="R121" s="319">
        <f t="shared" si="62"/>
        <v>0.2881355932</v>
      </c>
      <c r="S121" s="319">
        <f t="shared" si="62"/>
        <v>0.2881355932</v>
      </c>
      <c r="T121" s="25"/>
      <c r="U121" s="25"/>
      <c r="V121" s="25"/>
      <c r="W121" s="25"/>
      <c r="X121" s="56" t="s">
        <v>879</v>
      </c>
      <c r="Y121" s="25"/>
      <c r="Z121" s="25"/>
      <c r="AA121" s="25"/>
      <c r="AB121" s="25"/>
    </row>
    <row r="122" ht="12.75" customHeight="1">
      <c r="A122" s="317" t="s">
        <v>928</v>
      </c>
      <c r="B122" s="298">
        <v>89.0</v>
      </c>
      <c r="C122" s="306">
        <v>96.0</v>
      </c>
      <c r="D122" s="306">
        <v>96.0</v>
      </c>
      <c r="E122" s="306">
        <v>96.0</v>
      </c>
      <c r="F122" s="306">
        <v>96.0</v>
      </c>
      <c r="G122" s="306">
        <v>96.0</v>
      </c>
      <c r="H122" s="306">
        <v>96.0</v>
      </c>
      <c r="I122" s="306">
        <v>96.0</v>
      </c>
      <c r="J122" s="306">
        <v>96.0</v>
      </c>
      <c r="K122" s="306">
        <v>96.0</v>
      </c>
      <c r="L122" s="306">
        <v>96.0</v>
      </c>
      <c r="M122" s="306">
        <v>96.0</v>
      </c>
      <c r="N122" s="306">
        <v>96.0</v>
      </c>
      <c r="O122" s="306">
        <v>96.0</v>
      </c>
      <c r="P122" s="306">
        <v>96.0</v>
      </c>
      <c r="Q122" s="306">
        <v>96.0</v>
      </c>
      <c r="R122" s="306">
        <v>96.0</v>
      </c>
      <c r="S122" s="306">
        <v>96.0</v>
      </c>
      <c r="T122" s="25" t="s">
        <v>929</v>
      </c>
      <c r="U122" s="25"/>
      <c r="V122" s="25"/>
      <c r="W122" s="25"/>
      <c r="X122" s="56" t="s">
        <v>930</v>
      </c>
      <c r="Y122" s="25"/>
      <c r="Z122" s="25"/>
      <c r="AA122" s="25"/>
      <c r="AB122" s="25"/>
    </row>
    <row r="123" ht="12.75" customHeight="1">
      <c r="A123" s="57" t="s">
        <v>931</v>
      </c>
      <c r="B123" s="221">
        <f>2*310.1</f>
        <v>620.2</v>
      </c>
      <c r="C123" s="57">
        <v>620.2</v>
      </c>
      <c r="D123" s="57">
        <v>620.2</v>
      </c>
      <c r="E123" s="57">
        <v>620.2</v>
      </c>
      <c r="F123" s="57">
        <v>620.2</v>
      </c>
      <c r="G123" s="57">
        <v>620.2</v>
      </c>
      <c r="H123" s="57">
        <v>620.2</v>
      </c>
      <c r="I123" s="57">
        <v>620.2</v>
      </c>
      <c r="J123" s="57">
        <v>620.2</v>
      </c>
      <c r="K123" s="57">
        <v>620.2</v>
      </c>
      <c r="L123" s="57">
        <v>620.2</v>
      </c>
      <c r="M123" s="57">
        <v>620.2</v>
      </c>
      <c r="N123" s="57">
        <v>620.2</v>
      </c>
      <c r="O123" s="57">
        <v>620.2</v>
      </c>
      <c r="P123" s="57">
        <v>620.2</v>
      </c>
      <c r="Q123" s="57">
        <v>620.2</v>
      </c>
      <c r="R123" s="57">
        <v>620.2</v>
      </c>
      <c r="S123" s="57">
        <v>620.2</v>
      </c>
      <c r="T123" s="25"/>
      <c r="U123" s="25"/>
      <c r="V123" s="25"/>
      <c r="W123" s="25"/>
      <c r="X123" s="56" t="s">
        <v>932</v>
      </c>
      <c r="Y123" s="25"/>
      <c r="Z123" s="25"/>
      <c r="AA123" s="25"/>
      <c r="AB123" s="25"/>
    </row>
    <row r="124" ht="12.75" customHeight="1">
      <c r="A124" s="25" t="s">
        <v>933</v>
      </c>
      <c r="B124" s="319">
        <f t="shared" ref="B124:S124" si="63">B122/B123</f>
        <v>0.1435020961</v>
      </c>
      <c r="C124" s="319">
        <f t="shared" si="63"/>
        <v>0.1547887778</v>
      </c>
      <c r="D124" s="319">
        <f t="shared" si="63"/>
        <v>0.1547887778</v>
      </c>
      <c r="E124" s="319">
        <f t="shared" si="63"/>
        <v>0.1547887778</v>
      </c>
      <c r="F124" s="319">
        <f t="shared" si="63"/>
        <v>0.1547887778</v>
      </c>
      <c r="G124" s="319">
        <f t="shared" si="63"/>
        <v>0.1547887778</v>
      </c>
      <c r="H124" s="319">
        <f t="shared" si="63"/>
        <v>0.1547887778</v>
      </c>
      <c r="I124" s="319">
        <f t="shared" si="63"/>
        <v>0.1547887778</v>
      </c>
      <c r="J124" s="319">
        <f t="shared" si="63"/>
        <v>0.1547887778</v>
      </c>
      <c r="K124" s="319">
        <f t="shared" si="63"/>
        <v>0.1547887778</v>
      </c>
      <c r="L124" s="319">
        <f t="shared" si="63"/>
        <v>0.1547887778</v>
      </c>
      <c r="M124" s="319">
        <f t="shared" si="63"/>
        <v>0.1547887778</v>
      </c>
      <c r="N124" s="319">
        <f t="shared" si="63"/>
        <v>0.1547887778</v>
      </c>
      <c r="O124" s="319">
        <f t="shared" si="63"/>
        <v>0.1547887778</v>
      </c>
      <c r="P124" s="319">
        <f t="shared" si="63"/>
        <v>0.1547887778</v>
      </c>
      <c r="Q124" s="319">
        <f t="shared" si="63"/>
        <v>0.1547887778</v>
      </c>
      <c r="R124" s="319">
        <f t="shared" si="63"/>
        <v>0.1547887778</v>
      </c>
      <c r="S124" s="319">
        <f t="shared" si="63"/>
        <v>0.1547887778</v>
      </c>
      <c r="T124" s="25"/>
      <c r="U124" s="25"/>
      <c r="V124" s="25"/>
      <c r="W124" s="25"/>
      <c r="X124" s="56" t="s">
        <v>934</v>
      </c>
      <c r="Y124" s="25"/>
      <c r="Z124" s="25"/>
      <c r="AA124" s="25"/>
      <c r="AB124" s="25"/>
    </row>
    <row r="125" ht="12.75" customHeight="1">
      <c r="A125" s="317" t="s">
        <v>935</v>
      </c>
      <c r="B125" s="298">
        <v>142.0</v>
      </c>
      <c r="C125" s="306">
        <v>144.0</v>
      </c>
      <c r="D125" s="306">
        <v>144.0</v>
      </c>
      <c r="E125" s="306">
        <v>148.0</v>
      </c>
      <c r="F125" s="306">
        <v>156.0</v>
      </c>
      <c r="G125" s="306">
        <v>156.0</v>
      </c>
      <c r="H125" s="306">
        <v>156.0</v>
      </c>
      <c r="I125" s="306">
        <v>156.0</v>
      </c>
      <c r="J125" s="306">
        <v>156.0</v>
      </c>
      <c r="K125" s="306">
        <v>196.0</v>
      </c>
      <c r="L125" s="306">
        <v>196.0</v>
      </c>
      <c r="M125" s="306">
        <v>196.0</v>
      </c>
      <c r="N125" s="306">
        <v>196.0</v>
      </c>
      <c r="O125" s="306">
        <v>196.0</v>
      </c>
      <c r="P125" s="306">
        <v>196.0</v>
      </c>
      <c r="Q125" s="306">
        <v>196.0</v>
      </c>
      <c r="R125" s="306">
        <v>196.0</v>
      </c>
      <c r="S125" s="306">
        <v>196.0</v>
      </c>
      <c r="T125" s="25" t="s">
        <v>936</v>
      </c>
      <c r="U125" s="25"/>
      <c r="V125" s="25"/>
      <c r="W125" s="25"/>
      <c r="X125" s="56" t="s">
        <v>937</v>
      </c>
      <c r="Y125" s="25"/>
      <c r="Z125" s="25"/>
      <c r="AA125" s="25"/>
      <c r="AB125" s="25"/>
    </row>
    <row r="126" ht="12.75" customHeight="1">
      <c r="A126" s="57" t="s">
        <v>938</v>
      </c>
      <c r="B126" s="221">
        <f>2*526</f>
        <v>1052</v>
      </c>
      <c r="C126" s="324">
        <v>1052.0</v>
      </c>
      <c r="D126" s="324">
        <v>1052.0</v>
      </c>
      <c r="E126" s="324">
        <v>1052.0</v>
      </c>
      <c r="F126" s="324">
        <v>1052.0</v>
      </c>
      <c r="G126" s="324">
        <v>1052.0</v>
      </c>
      <c r="H126" s="324">
        <v>1052.0</v>
      </c>
      <c r="I126" s="324">
        <v>1052.0</v>
      </c>
      <c r="J126" s="324">
        <v>1052.0</v>
      </c>
      <c r="K126" s="324">
        <v>1052.0</v>
      </c>
      <c r="L126" s="324">
        <v>1052.0</v>
      </c>
      <c r="M126" s="324">
        <v>1052.0</v>
      </c>
      <c r="N126" s="324">
        <v>1052.0</v>
      </c>
      <c r="O126" s="324">
        <v>1052.0</v>
      </c>
      <c r="P126" s="324">
        <v>1052.0</v>
      </c>
      <c r="Q126" s="324">
        <v>1052.0</v>
      </c>
      <c r="R126" s="324">
        <v>1052.0</v>
      </c>
      <c r="S126" s="324">
        <v>1052.0</v>
      </c>
      <c r="T126" s="25"/>
      <c r="U126" s="25"/>
      <c r="V126" s="25"/>
      <c r="W126" s="25"/>
      <c r="X126" s="25"/>
      <c r="Y126" s="25"/>
      <c r="Z126" s="25"/>
      <c r="AA126" s="25"/>
      <c r="AB126" s="25"/>
    </row>
    <row r="127" ht="12.75" customHeight="1">
      <c r="A127" s="25" t="s">
        <v>939</v>
      </c>
      <c r="B127" s="319">
        <f t="shared" ref="B127:S127" si="64">B125/B126</f>
        <v>0.1349809886</v>
      </c>
      <c r="C127" s="319">
        <f t="shared" si="64"/>
        <v>0.1368821293</v>
      </c>
      <c r="D127" s="319">
        <f t="shared" si="64"/>
        <v>0.1368821293</v>
      </c>
      <c r="E127" s="319">
        <f t="shared" si="64"/>
        <v>0.1406844106</v>
      </c>
      <c r="F127" s="319">
        <f t="shared" si="64"/>
        <v>0.1482889734</v>
      </c>
      <c r="G127" s="319">
        <f t="shared" si="64"/>
        <v>0.1482889734</v>
      </c>
      <c r="H127" s="319">
        <f t="shared" si="64"/>
        <v>0.1482889734</v>
      </c>
      <c r="I127" s="319">
        <f t="shared" si="64"/>
        <v>0.1482889734</v>
      </c>
      <c r="J127" s="319">
        <f t="shared" si="64"/>
        <v>0.1482889734</v>
      </c>
      <c r="K127" s="319">
        <f t="shared" si="64"/>
        <v>0.1863117871</v>
      </c>
      <c r="L127" s="319">
        <f t="shared" si="64"/>
        <v>0.1863117871</v>
      </c>
      <c r="M127" s="319">
        <f t="shared" si="64"/>
        <v>0.1863117871</v>
      </c>
      <c r="N127" s="319">
        <f t="shared" si="64"/>
        <v>0.1863117871</v>
      </c>
      <c r="O127" s="319">
        <f t="shared" si="64"/>
        <v>0.1863117871</v>
      </c>
      <c r="P127" s="319">
        <f t="shared" si="64"/>
        <v>0.1863117871</v>
      </c>
      <c r="Q127" s="319">
        <f t="shared" si="64"/>
        <v>0.1863117871</v>
      </c>
      <c r="R127" s="319">
        <f t="shared" si="64"/>
        <v>0.1863117871</v>
      </c>
      <c r="S127" s="319">
        <f t="shared" si="64"/>
        <v>0.1863117871</v>
      </c>
      <c r="X127" s="25">
        <v>653.0</v>
      </c>
      <c r="Y127" s="25" t="s">
        <v>895</v>
      </c>
    </row>
    <row r="128" ht="12.75" customHeight="1">
      <c r="A128" s="25" t="s">
        <v>940</v>
      </c>
      <c r="B128" s="319">
        <f t="shared" ref="B128:S128" si="65">AVERAGE(B121,B124,B127)</f>
        <v>0.1945226102</v>
      </c>
      <c r="C128" s="319">
        <f t="shared" si="65"/>
        <v>0.198918551</v>
      </c>
      <c r="D128" s="319">
        <f t="shared" si="65"/>
        <v>0.198918551</v>
      </c>
      <c r="E128" s="319">
        <f t="shared" si="65"/>
        <v>0.2001859781</v>
      </c>
      <c r="F128" s="319">
        <f t="shared" si="65"/>
        <v>0.2027208323</v>
      </c>
      <c r="G128" s="319">
        <f t="shared" si="65"/>
        <v>0.2027208323</v>
      </c>
      <c r="H128" s="319">
        <f t="shared" si="65"/>
        <v>0.2027208323</v>
      </c>
      <c r="I128" s="319">
        <f t="shared" si="65"/>
        <v>0.2027208323</v>
      </c>
      <c r="J128" s="319">
        <f t="shared" si="65"/>
        <v>0.2027208323</v>
      </c>
      <c r="K128" s="319">
        <f t="shared" si="65"/>
        <v>0.209745386</v>
      </c>
      <c r="L128" s="319">
        <f t="shared" si="65"/>
        <v>0.209745386</v>
      </c>
      <c r="M128" s="319">
        <f t="shared" si="65"/>
        <v>0.209745386</v>
      </c>
      <c r="N128" s="319">
        <f t="shared" si="65"/>
        <v>0.209745386</v>
      </c>
      <c r="O128" s="319">
        <f t="shared" si="65"/>
        <v>0.209745386</v>
      </c>
      <c r="P128" s="319">
        <f t="shared" si="65"/>
        <v>0.209745386</v>
      </c>
      <c r="Q128" s="319">
        <f t="shared" si="65"/>
        <v>0.209745386</v>
      </c>
      <c r="R128" s="319">
        <f t="shared" si="65"/>
        <v>0.209745386</v>
      </c>
      <c r="S128" s="319">
        <f t="shared" si="65"/>
        <v>0.209745386</v>
      </c>
      <c r="X128" s="56">
        <f>X127/1.6</f>
        <v>408.125</v>
      </c>
      <c r="Y128" s="56" t="s">
        <v>897</v>
      </c>
    </row>
    <row r="129" ht="12.75" customHeight="1">
      <c r="A129" s="25" t="s">
        <v>941</v>
      </c>
      <c r="B129" s="97">
        <f t="shared" ref="B129:S129" si="66">ROUND((B117)/B128,-1)</f>
        <v>169880</v>
      </c>
      <c r="C129" s="97">
        <f t="shared" si="66"/>
        <v>165750</v>
      </c>
      <c r="D129" s="97">
        <f t="shared" si="66"/>
        <v>150150</v>
      </c>
      <c r="E129" s="97">
        <f t="shared" si="66"/>
        <v>214700</v>
      </c>
      <c r="F129" s="97">
        <f t="shared" si="66"/>
        <v>126950</v>
      </c>
      <c r="G129" s="97">
        <f t="shared" si="66"/>
        <v>296280</v>
      </c>
      <c r="H129" s="97">
        <f t="shared" si="66"/>
        <v>258340</v>
      </c>
      <c r="I129" s="97">
        <f t="shared" si="66"/>
        <v>250950</v>
      </c>
      <c r="J129" s="97">
        <f t="shared" si="66"/>
        <v>283790</v>
      </c>
      <c r="K129" s="97">
        <f t="shared" si="66"/>
        <v>274290</v>
      </c>
      <c r="L129" s="97">
        <f t="shared" si="66"/>
        <v>232430</v>
      </c>
      <c r="M129" s="97">
        <f t="shared" si="66"/>
        <v>237540</v>
      </c>
      <c r="N129" s="97">
        <f t="shared" si="66"/>
        <v>255530</v>
      </c>
      <c r="O129" s="97">
        <f t="shared" si="66"/>
        <v>182420</v>
      </c>
      <c r="P129" s="97">
        <f t="shared" si="66"/>
        <v>182420</v>
      </c>
      <c r="Q129" s="97">
        <f t="shared" si="66"/>
        <v>182420</v>
      </c>
      <c r="R129" s="97">
        <f t="shared" si="66"/>
        <v>182420</v>
      </c>
      <c r="S129" s="97">
        <f t="shared" si="66"/>
        <v>182420</v>
      </c>
      <c r="X129" s="56">
        <v>1.0</v>
      </c>
      <c r="Y129" s="56" t="s">
        <v>899</v>
      </c>
    </row>
    <row r="130" ht="12.75" customHeight="1">
      <c r="A130" s="317" t="s">
        <v>942</v>
      </c>
      <c r="B130" s="321">
        <v>2100.0</v>
      </c>
      <c r="C130" s="321">
        <v>2100.0</v>
      </c>
      <c r="D130" s="321">
        <v>2100.0</v>
      </c>
      <c r="E130" s="321">
        <v>2100.0</v>
      </c>
      <c r="F130" s="321">
        <v>2100.0</v>
      </c>
      <c r="G130" s="321">
        <v>2100.0</v>
      </c>
      <c r="H130" s="321">
        <v>2100.0</v>
      </c>
      <c r="I130" s="321">
        <v>2100.0</v>
      </c>
      <c r="J130" s="321">
        <v>2100.0</v>
      </c>
      <c r="K130" s="321">
        <v>1608.0</v>
      </c>
      <c r="L130" s="321">
        <v>1608.0</v>
      </c>
      <c r="M130" s="321">
        <v>1608.0</v>
      </c>
      <c r="N130" s="321">
        <v>1608.0</v>
      </c>
      <c r="O130" s="321">
        <v>1608.0</v>
      </c>
      <c r="P130" s="321">
        <v>1608.0</v>
      </c>
      <c r="Q130" s="321">
        <v>1608.0</v>
      </c>
      <c r="R130" s="321">
        <v>1608.0</v>
      </c>
      <c r="S130" s="321">
        <v>1608.0</v>
      </c>
      <c r="X130" s="56">
        <f>X129/X128</f>
        <v>0.002450229709</v>
      </c>
      <c r="Y130" s="56" t="s">
        <v>901</v>
      </c>
    </row>
    <row r="131" ht="12.75" customHeight="1">
      <c r="A131" s="25" t="s">
        <v>943</v>
      </c>
      <c r="B131" s="112">
        <f t="shared" ref="B131:J131" si="67">((B129*B130*$B145)/B117)</f>
        <v>0.01079549719</v>
      </c>
      <c r="C131" s="112">
        <f t="shared" si="67"/>
        <v>0.0105571071</v>
      </c>
      <c r="D131" s="112">
        <f t="shared" si="67"/>
        <v>0.01055695058</v>
      </c>
      <c r="E131" s="112">
        <f t="shared" si="67"/>
        <v>0.01049022801</v>
      </c>
      <c r="F131" s="112">
        <f t="shared" si="67"/>
        <v>0.01035923839</v>
      </c>
      <c r="G131" s="112">
        <f t="shared" si="67"/>
        <v>0.0103590956</v>
      </c>
      <c r="H131" s="112">
        <f t="shared" si="67"/>
        <v>0.01035925148</v>
      </c>
      <c r="I131" s="112">
        <f t="shared" si="67"/>
        <v>0.01035926142</v>
      </c>
      <c r="J131" s="112">
        <f t="shared" si="67"/>
        <v>0.01035891954</v>
      </c>
      <c r="K131" s="112">
        <f t="shared" ref="K131:S131" si="68">((J129*K130*$B145)/J117)</f>
        <v>0.007931972676</v>
      </c>
      <c r="L131" s="112">
        <f t="shared" si="68"/>
        <v>0.007666446264</v>
      </c>
      <c r="M131" s="112">
        <f t="shared" si="68"/>
        <v>0.007666299639</v>
      </c>
      <c r="N131" s="112">
        <f t="shared" si="68"/>
        <v>0.00766633784</v>
      </c>
      <c r="O131" s="112">
        <f t="shared" si="68"/>
        <v>0.007666476416</v>
      </c>
      <c r="P131" s="112">
        <f t="shared" si="68"/>
        <v>0.007666296417</v>
      </c>
      <c r="Q131" s="112">
        <f t="shared" si="68"/>
        <v>0.007666296417</v>
      </c>
      <c r="R131" s="112">
        <f t="shared" si="68"/>
        <v>0.007666296417</v>
      </c>
      <c r="S131" s="112">
        <f t="shared" si="68"/>
        <v>0.007666296417</v>
      </c>
      <c r="T131" s="25"/>
      <c r="U131" s="25"/>
      <c r="V131" s="25"/>
      <c r="W131" s="25"/>
      <c r="X131" s="25">
        <v>0.25</v>
      </c>
      <c r="Y131" s="56" t="s">
        <v>944</v>
      </c>
      <c r="Z131" s="25"/>
      <c r="AA131" s="25"/>
      <c r="AB131" s="25"/>
    </row>
    <row r="132" ht="15.0" customHeight="1">
      <c r="A132" s="25" t="s">
        <v>945</v>
      </c>
      <c r="B132" s="25">
        <f t="shared" ref="B132:J132" si="69">(B133*$B205*$B206*$B207*$B147)/B117</f>
        <v>0.0007568909788</v>
      </c>
      <c r="C132" s="25">
        <f t="shared" si="69"/>
        <v>0.0007403298104</v>
      </c>
      <c r="D132" s="25">
        <f t="shared" si="69"/>
        <v>0.0007402304502</v>
      </c>
      <c r="E132" s="25">
        <f t="shared" si="69"/>
        <v>0.0007356359459</v>
      </c>
      <c r="F132" s="25">
        <f t="shared" si="69"/>
        <v>0.0007264154803</v>
      </c>
      <c r="G132" s="25">
        <f t="shared" si="69"/>
        <v>0.0007264058538</v>
      </c>
      <c r="H132" s="25">
        <f t="shared" si="69"/>
        <v>0.000726384029</v>
      </c>
      <c r="I132" s="25">
        <f t="shared" si="69"/>
        <v>0.000726410363</v>
      </c>
      <c r="J132" s="25">
        <f t="shared" si="69"/>
        <v>0.0007264294709</v>
      </c>
      <c r="K132" s="325">
        <f t="shared" ref="K132:S132" si="70">(K133*$B205*$B206*$B207*$B147)/J117</f>
        <v>0.0005561573281</v>
      </c>
      <c r="L132" s="325">
        <f t="shared" si="70"/>
        <v>0.0005376309389</v>
      </c>
      <c r="M132" s="325">
        <f t="shared" si="70"/>
        <v>0.000537501622</v>
      </c>
      <c r="N132" s="325">
        <f t="shared" si="70"/>
        <v>0.0005376227504</v>
      </c>
      <c r="O132" s="325">
        <f t="shared" si="70"/>
        <v>0.0005375924046</v>
      </c>
      <c r="P132" s="325">
        <f t="shared" si="70"/>
        <v>0.0005375121587</v>
      </c>
      <c r="Q132" s="325">
        <f t="shared" si="70"/>
        <v>0.0005375121587</v>
      </c>
      <c r="R132" s="325">
        <f t="shared" si="70"/>
        <v>0.0005375121587</v>
      </c>
      <c r="S132" s="325">
        <f t="shared" si="70"/>
        <v>0.0005375121587</v>
      </c>
      <c r="T132" s="25"/>
      <c r="U132" s="25"/>
      <c r="V132" s="25"/>
      <c r="W132" s="25"/>
      <c r="X132" s="56">
        <f>(H96*X131)*X130</f>
        <v>2486.983155</v>
      </c>
      <c r="Y132" s="25"/>
      <c r="Z132" s="25"/>
      <c r="AA132" s="25"/>
      <c r="AB132" s="25"/>
    </row>
    <row r="133" ht="12.75" customHeight="1">
      <c r="A133" s="25" t="s">
        <v>197</v>
      </c>
      <c r="B133" s="73">
        <f t="shared" ref="B133:J133" si="71">ROUND((B129*B130*$B145),1)</f>
        <v>356.7</v>
      </c>
      <c r="C133" s="73">
        <f t="shared" si="71"/>
        <v>348.1</v>
      </c>
      <c r="D133" s="73">
        <f t="shared" si="71"/>
        <v>315.3</v>
      </c>
      <c r="E133" s="73">
        <f t="shared" si="71"/>
        <v>450.9</v>
      </c>
      <c r="F133" s="73">
        <f t="shared" si="71"/>
        <v>266.6</v>
      </c>
      <c r="G133" s="73">
        <f t="shared" si="71"/>
        <v>622.2</v>
      </c>
      <c r="H133" s="73">
        <f t="shared" si="71"/>
        <v>542.5</v>
      </c>
      <c r="I133" s="73">
        <f t="shared" si="71"/>
        <v>527</v>
      </c>
      <c r="J133" s="73">
        <f t="shared" si="71"/>
        <v>596</v>
      </c>
      <c r="K133" s="73">
        <f t="shared" ref="K133:S133" si="72">ROUND((J129*K130*$B145),1)</f>
        <v>456.3</v>
      </c>
      <c r="L133" s="73">
        <f t="shared" si="72"/>
        <v>441.1</v>
      </c>
      <c r="M133" s="73">
        <f t="shared" si="72"/>
        <v>373.7</v>
      </c>
      <c r="N133" s="73">
        <f t="shared" si="72"/>
        <v>382</v>
      </c>
      <c r="O133" s="73">
        <f t="shared" si="72"/>
        <v>410.9</v>
      </c>
      <c r="P133" s="73">
        <f t="shared" si="72"/>
        <v>293.3</v>
      </c>
      <c r="Q133" s="73">
        <f t="shared" si="72"/>
        <v>293.3</v>
      </c>
      <c r="R133" s="73">
        <f t="shared" si="72"/>
        <v>293.3</v>
      </c>
      <c r="S133" s="73">
        <f t="shared" si="72"/>
        <v>293.3</v>
      </c>
      <c r="T133" s="25"/>
      <c r="U133" s="25"/>
      <c r="V133" s="25"/>
      <c r="W133" s="25"/>
      <c r="X133" s="25"/>
      <c r="Y133" s="25"/>
      <c r="Z133" s="25"/>
      <c r="AA133" s="25"/>
      <c r="AB133" s="25"/>
    </row>
    <row r="134" ht="15.0" customHeight="1">
      <c r="A134" s="47" t="s">
        <v>946</v>
      </c>
      <c r="B134" s="78">
        <f t="shared" ref="B134:S134" si="73">ROUND(B133*$B205*$B206*$B207*$B147,1)</f>
        <v>25</v>
      </c>
      <c r="C134" s="78">
        <f t="shared" si="73"/>
        <v>24.4</v>
      </c>
      <c r="D134" s="78">
        <f t="shared" si="73"/>
        <v>22.1</v>
      </c>
      <c r="E134" s="78">
        <f t="shared" si="73"/>
        <v>31.6</v>
      </c>
      <c r="F134" s="78">
        <f t="shared" si="73"/>
        <v>18.7</v>
      </c>
      <c r="G134" s="78">
        <f t="shared" si="73"/>
        <v>43.6</v>
      </c>
      <c r="H134" s="78">
        <f t="shared" si="73"/>
        <v>38</v>
      </c>
      <c r="I134" s="78">
        <f t="shared" si="73"/>
        <v>37</v>
      </c>
      <c r="J134" s="78">
        <f t="shared" si="73"/>
        <v>41.8</v>
      </c>
      <c r="K134" s="78">
        <f t="shared" si="73"/>
        <v>32</v>
      </c>
      <c r="L134" s="78">
        <f t="shared" si="73"/>
        <v>30.9</v>
      </c>
      <c r="M134" s="78">
        <f t="shared" si="73"/>
        <v>26.2</v>
      </c>
      <c r="N134" s="78">
        <f t="shared" si="73"/>
        <v>26.8</v>
      </c>
      <c r="O134" s="78">
        <f t="shared" si="73"/>
        <v>28.8</v>
      </c>
      <c r="P134" s="78">
        <f t="shared" si="73"/>
        <v>20.6</v>
      </c>
      <c r="Q134" s="78">
        <f t="shared" si="73"/>
        <v>20.6</v>
      </c>
      <c r="R134" s="78">
        <f t="shared" si="73"/>
        <v>20.6</v>
      </c>
      <c r="S134" s="78">
        <f t="shared" si="73"/>
        <v>20.6</v>
      </c>
      <c r="T134" s="25"/>
      <c r="U134" s="25"/>
      <c r="V134" s="25"/>
      <c r="W134" s="25"/>
      <c r="X134" s="25">
        <f>X132+X119+X104</f>
        <v>4795.764586</v>
      </c>
      <c r="Y134" s="25" t="s">
        <v>947</v>
      </c>
      <c r="Z134" s="25"/>
      <c r="AA134" s="25"/>
      <c r="AB134" s="25"/>
    </row>
    <row r="135" ht="12.75" customHeight="1">
      <c r="A135" s="25" t="s">
        <v>907</v>
      </c>
      <c r="B135" s="97">
        <f t="shared" ref="B135:S135" si="74">(B133/$B204)/$B146</f>
        <v>2571.914163</v>
      </c>
      <c r="C135" s="97">
        <f t="shared" si="74"/>
        <v>2509.905579</v>
      </c>
      <c r="D135" s="97">
        <f t="shared" si="74"/>
        <v>2273.407725</v>
      </c>
      <c r="E135" s="97">
        <f t="shared" si="74"/>
        <v>3251.124464</v>
      </c>
      <c r="F135" s="97">
        <f t="shared" si="74"/>
        <v>1922.266094</v>
      </c>
      <c r="G135" s="97">
        <f t="shared" si="74"/>
        <v>4486.248927</v>
      </c>
      <c r="H135" s="97">
        <f t="shared" si="74"/>
        <v>3911.587983</v>
      </c>
      <c r="I135" s="97">
        <f t="shared" si="74"/>
        <v>3799.828326</v>
      </c>
      <c r="J135" s="97">
        <f t="shared" si="74"/>
        <v>4297.339056</v>
      </c>
      <c r="K135" s="97">
        <f t="shared" si="74"/>
        <v>3290.060086</v>
      </c>
      <c r="L135" s="97">
        <f t="shared" si="74"/>
        <v>3180.463519</v>
      </c>
      <c r="M135" s="97">
        <f t="shared" si="74"/>
        <v>2694.48927</v>
      </c>
      <c r="N135" s="97">
        <f t="shared" si="74"/>
        <v>2754.334764</v>
      </c>
      <c r="O135" s="97">
        <f t="shared" si="74"/>
        <v>2962.712446</v>
      </c>
      <c r="P135" s="97">
        <f t="shared" si="74"/>
        <v>2114.781116</v>
      </c>
      <c r="Q135" s="97">
        <f t="shared" si="74"/>
        <v>2114.781116</v>
      </c>
      <c r="R135" s="97">
        <f t="shared" si="74"/>
        <v>2114.781116</v>
      </c>
      <c r="S135" s="97">
        <f t="shared" si="74"/>
        <v>2114.781116</v>
      </c>
    </row>
    <row r="136" ht="15.0" customHeight="1">
      <c r="A136" s="25" t="s">
        <v>948</v>
      </c>
      <c r="B136" s="326">
        <f t="shared" ref="B136:S136" si="75">($B202*$B201*B135*$B148)</f>
        <v>0.002051101545</v>
      </c>
      <c r="C136" s="326">
        <f t="shared" si="75"/>
        <v>0.0020016497</v>
      </c>
      <c r="D136" s="326">
        <f t="shared" si="75"/>
        <v>0.001813042661</v>
      </c>
      <c r="E136" s="326">
        <f t="shared" si="75"/>
        <v>0.00259277176</v>
      </c>
      <c r="F136" s="326">
        <f t="shared" si="75"/>
        <v>0.00153300721</v>
      </c>
      <c r="G136" s="326">
        <f t="shared" si="75"/>
        <v>0.003577783519</v>
      </c>
      <c r="H136" s="326">
        <f t="shared" si="75"/>
        <v>0.003119491416</v>
      </c>
      <c r="I136" s="326">
        <f t="shared" si="75"/>
        <v>0.00303036309</v>
      </c>
      <c r="J136" s="326">
        <f t="shared" si="75"/>
        <v>0.003427127897</v>
      </c>
      <c r="K136" s="326">
        <f t="shared" si="75"/>
        <v>0.002623822918</v>
      </c>
      <c r="L136" s="326">
        <f t="shared" si="75"/>
        <v>0.002536419657</v>
      </c>
      <c r="M136" s="326">
        <f t="shared" si="75"/>
        <v>0.002148855193</v>
      </c>
      <c r="N136" s="326">
        <f t="shared" si="75"/>
        <v>0.002196581974</v>
      </c>
      <c r="O136" s="326">
        <f t="shared" si="75"/>
        <v>0.002362763176</v>
      </c>
      <c r="P136" s="326">
        <f t="shared" si="75"/>
        <v>0.00168653794</v>
      </c>
      <c r="Q136" s="326">
        <f t="shared" si="75"/>
        <v>0.00168653794</v>
      </c>
      <c r="R136" s="326">
        <f t="shared" si="75"/>
        <v>0.00168653794</v>
      </c>
      <c r="S136" s="326">
        <f t="shared" si="75"/>
        <v>0.00168653794</v>
      </c>
    </row>
    <row r="137" ht="15.0" customHeight="1">
      <c r="A137" s="47" t="s">
        <v>949</v>
      </c>
      <c r="B137" s="93">
        <f t="shared" ref="B137:S137" si="76">B135*$B201*$B202*$B148*$B151</f>
        <v>0.04307313245</v>
      </c>
      <c r="C137" s="93">
        <f t="shared" si="76"/>
        <v>0.04203464369</v>
      </c>
      <c r="D137" s="93">
        <f t="shared" si="76"/>
        <v>0.03807389588</v>
      </c>
      <c r="E137" s="93">
        <f t="shared" si="76"/>
        <v>0.05444820695</v>
      </c>
      <c r="F137" s="93">
        <f t="shared" si="76"/>
        <v>0.03219315142</v>
      </c>
      <c r="G137" s="93">
        <f t="shared" si="76"/>
        <v>0.07513345391</v>
      </c>
      <c r="H137" s="93">
        <f t="shared" si="76"/>
        <v>0.06550931974</v>
      </c>
      <c r="I137" s="93">
        <f t="shared" si="76"/>
        <v>0.06363762489</v>
      </c>
      <c r="J137" s="93">
        <f t="shared" si="76"/>
        <v>0.07196968584</v>
      </c>
      <c r="K137" s="93">
        <f t="shared" si="76"/>
        <v>0.05510028129</v>
      </c>
      <c r="L137" s="93">
        <f t="shared" si="76"/>
        <v>0.05326481279</v>
      </c>
      <c r="M137" s="93">
        <f t="shared" si="76"/>
        <v>0.04512595906</v>
      </c>
      <c r="N137" s="93">
        <f t="shared" si="76"/>
        <v>0.04612822146</v>
      </c>
      <c r="O137" s="93">
        <f t="shared" si="76"/>
        <v>0.0496180267</v>
      </c>
      <c r="P137" s="93">
        <f t="shared" si="76"/>
        <v>0.03541729674</v>
      </c>
      <c r="Q137" s="93">
        <f t="shared" si="76"/>
        <v>0.03541729674</v>
      </c>
      <c r="R137" s="93">
        <f t="shared" si="76"/>
        <v>0.03541729674</v>
      </c>
      <c r="S137" s="93">
        <f t="shared" si="76"/>
        <v>0.03541729674</v>
      </c>
    </row>
    <row r="138" ht="15.0" customHeight="1">
      <c r="A138" s="25" t="s">
        <v>950</v>
      </c>
      <c r="B138" s="128">
        <f t="shared" ref="B138:S138" si="77">($B203*$B201*B135*$B148)</f>
        <v>0.0006563524944</v>
      </c>
      <c r="C138" s="128">
        <f t="shared" si="77"/>
        <v>0.0006405279039</v>
      </c>
      <c r="D138" s="128">
        <f t="shared" si="77"/>
        <v>0.0005801736515</v>
      </c>
      <c r="E138" s="128">
        <f t="shared" si="77"/>
        <v>0.0008296869631</v>
      </c>
      <c r="F138" s="128">
        <f t="shared" si="77"/>
        <v>0.0004905623073</v>
      </c>
      <c r="G138" s="128">
        <f t="shared" si="77"/>
        <v>0.001144890726</v>
      </c>
      <c r="H138" s="128">
        <f t="shared" si="77"/>
        <v>0.0009982372532</v>
      </c>
      <c r="I138" s="128">
        <f t="shared" si="77"/>
        <v>0.0009697161888</v>
      </c>
      <c r="J138" s="128">
        <f t="shared" si="77"/>
        <v>0.001096680927</v>
      </c>
      <c r="K138" s="128">
        <f t="shared" si="77"/>
        <v>0.0008396233339</v>
      </c>
      <c r="L138" s="128">
        <f t="shared" si="77"/>
        <v>0.0008116542901</v>
      </c>
      <c r="M138" s="128">
        <f t="shared" si="77"/>
        <v>0.0006876336618</v>
      </c>
      <c r="N138" s="128">
        <f t="shared" si="77"/>
        <v>0.0007029062318</v>
      </c>
      <c r="O138" s="128">
        <f t="shared" si="77"/>
        <v>0.0007560842163</v>
      </c>
      <c r="P138" s="128">
        <f t="shared" si="77"/>
        <v>0.0005396921408</v>
      </c>
      <c r="Q138" s="128">
        <f t="shared" si="77"/>
        <v>0.0005396921408</v>
      </c>
      <c r="R138" s="128">
        <f t="shared" si="77"/>
        <v>0.0005396921408</v>
      </c>
      <c r="S138" s="128">
        <f t="shared" si="77"/>
        <v>0.0005396921408</v>
      </c>
    </row>
    <row r="139" ht="15.0" customHeight="1">
      <c r="A139" s="47" t="s">
        <v>951</v>
      </c>
      <c r="B139" s="93">
        <f t="shared" ref="B139:S139" si="78">B135*$B203*$B148*$B152</f>
        <v>0.06378347124</v>
      </c>
      <c r="C139" s="93">
        <f t="shared" si="78"/>
        <v>0.06224565837</v>
      </c>
      <c r="D139" s="93">
        <f t="shared" si="78"/>
        <v>0.05638051159</v>
      </c>
      <c r="E139" s="93">
        <f t="shared" si="78"/>
        <v>0.0806278867</v>
      </c>
      <c r="F139" s="93">
        <f t="shared" si="78"/>
        <v>0.04767219914</v>
      </c>
      <c r="G139" s="93">
        <f t="shared" si="78"/>
        <v>0.1112589734</v>
      </c>
      <c r="H139" s="93">
        <f t="shared" si="78"/>
        <v>0.09700738197</v>
      </c>
      <c r="I139" s="93">
        <f t="shared" si="78"/>
        <v>0.09423574249</v>
      </c>
      <c r="J139" s="93">
        <f t="shared" si="78"/>
        <v>0.1065740086</v>
      </c>
      <c r="K139" s="93">
        <f t="shared" si="78"/>
        <v>0.08159349013</v>
      </c>
      <c r="L139" s="93">
        <f t="shared" si="78"/>
        <v>0.07887549528</v>
      </c>
      <c r="M139" s="93">
        <f t="shared" si="78"/>
        <v>0.06682333391</v>
      </c>
      <c r="N139" s="93">
        <f t="shared" si="78"/>
        <v>0.06830750215</v>
      </c>
      <c r="O139" s="93">
        <f t="shared" si="78"/>
        <v>0.07347526867</v>
      </c>
      <c r="P139" s="93">
        <f t="shared" si="78"/>
        <v>0.05244657167</v>
      </c>
      <c r="Q139" s="93">
        <f t="shared" si="78"/>
        <v>0.05244657167</v>
      </c>
      <c r="R139" s="93">
        <f t="shared" si="78"/>
        <v>0.05244657167</v>
      </c>
      <c r="S139" s="93">
        <f t="shared" si="78"/>
        <v>0.05244657167</v>
      </c>
    </row>
    <row r="140" ht="12.75" customHeight="1">
      <c r="A140" s="120" t="s">
        <v>952</v>
      </c>
      <c r="B140" s="121">
        <f t="shared" ref="B140:S140" si="79">ROUND(B134+B137+B139,1)</f>
        <v>25.1</v>
      </c>
      <c r="C140" s="121">
        <f t="shared" si="79"/>
        <v>24.5</v>
      </c>
      <c r="D140" s="121">
        <f t="shared" si="79"/>
        <v>22.2</v>
      </c>
      <c r="E140" s="121">
        <f t="shared" si="79"/>
        <v>31.7</v>
      </c>
      <c r="F140" s="121">
        <f t="shared" si="79"/>
        <v>18.8</v>
      </c>
      <c r="G140" s="121">
        <f t="shared" si="79"/>
        <v>43.8</v>
      </c>
      <c r="H140" s="121">
        <f t="shared" si="79"/>
        <v>38.2</v>
      </c>
      <c r="I140" s="121">
        <f t="shared" si="79"/>
        <v>37.2</v>
      </c>
      <c r="J140" s="121">
        <f t="shared" si="79"/>
        <v>42</v>
      </c>
      <c r="K140" s="121">
        <f t="shared" si="79"/>
        <v>32.1</v>
      </c>
      <c r="L140" s="121">
        <f t="shared" si="79"/>
        <v>31</v>
      </c>
      <c r="M140" s="121">
        <f t="shared" si="79"/>
        <v>26.3</v>
      </c>
      <c r="N140" s="121">
        <f t="shared" si="79"/>
        <v>26.9</v>
      </c>
      <c r="O140" s="121">
        <f t="shared" si="79"/>
        <v>28.9</v>
      </c>
      <c r="P140" s="121">
        <f t="shared" si="79"/>
        <v>20.7</v>
      </c>
      <c r="Q140" s="121">
        <f t="shared" si="79"/>
        <v>20.7</v>
      </c>
      <c r="R140" s="121">
        <f t="shared" si="79"/>
        <v>20.7</v>
      </c>
      <c r="S140" s="121">
        <f t="shared" si="79"/>
        <v>20.7</v>
      </c>
    </row>
    <row r="141" ht="12.75" customHeight="1">
      <c r="A141" s="47"/>
    </row>
    <row r="142" ht="12.75" customHeight="1">
      <c r="A142" s="25"/>
      <c r="B142" s="25"/>
      <c r="C142" s="78"/>
      <c r="D142" s="78"/>
      <c r="E142" s="78"/>
      <c r="F142" s="78"/>
      <c r="G142" s="78"/>
      <c r="H142" s="25"/>
      <c r="I142" s="25"/>
    </row>
    <row r="143" ht="15.75" customHeight="1">
      <c r="A143" s="64" t="s">
        <v>251</v>
      </c>
      <c r="C143" s="25"/>
      <c r="D143" s="25"/>
      <c r="E143" s="25"/>
      <c r="F143" s="25"/>
      <c r="G143" s="25"/>
      <c r="H143" s="25"/>
      <c r="I143" s="25"/>
    </row>
    <row r="144" ht="12.75" customHeight="1">
      <c r="A144" s="65" t="s">
        <v>252</v>
      </c>
      <c r="B144" s="25"/>
      <c r="C144" s="25"/>
      <c r="D144" s="25"/>
      <c r="E144" s="25"/>
      <c r="F144" s="25"/>
      <c r="G144" s="25"/>
      <c r="H144" s="25"/>
      <c r="I144" s="25"/>
      <c r="N144" s="47" t="s">
        <v>953</v>
      </c>
    </row>
    <row r="145" ht="15.0" customHeight="1">
      <c r="A145" s="113" t="s">
        <v>954</v>
      </c>
      <c r="B145" s="327">
        <f>1/1000000</f>
        <v>0.000001</v>
      </c>
      <c r="C145" s="25"/>
      <c r="D145" s="25"/>
      <c r="E145" s="25"/>
      <c r="F145" s="25"/>
      <c r="G145" s="25"/>
      <c r="H145" s="25"/>
      <c r="I145" s="25"/>
      <c r="N145" s="328" t="s">
        <v>955</v>
      </c>
      <c r="O145" s="328" t="s">
        <v>860</v>
      </c>
      <c r="P145" s="328" t="s">
        <v>956</v>
      </c>
      <c r="Q145" s="328" t="s">
        <v>957</v>
      </c>
      <c r="R145" s="328" t="s">
        <v>958</v>
      </c>
    </row>
    <row r="146" ht="15.0" customHeight="1">
      <c r="A146" s="113" t="s">
        <v>253</v>
      </c>
      <c r="B146" s="128">
        <f>((1)/(42))</f>
        <v>0.02380952381</v>
      </c>
      <c r="C146" s="25"/>
      <c r="D146" s="25"/>
      <c r="E146" s="25"/>
      <c r="F146" s="25"/>
      <c r="G146" s="25"/>
      <c r="H146" s="25"/>
      <c r="I146" s="25"/>
      <c r="N146" s="329">
        <v>319209.0</v>
      </c>
      <c r="O146" s="329">
        <v>783336.0</v>
      </c>
      <c r="P146" s="330">
        <v>852.4</v>
      </c>
      <c r="Q146" s="330">
        <v>30.1</v>
      </c>
      <c r="R146" s="330">
        <v>882.5</v>
      </c>
    </row>
    <row r="147" ht="15.0" customHeight="1">
      <c r="A147" s="113" t="s">
        <v>465</v>
      </c>
      <c r="B147" s="25">
        <v>0.001</v>
      </c>
      <c r="C147" s="25"/>
      <c r="D147" s="25"/>
      <c r="E147" s="25"/>
      <c r="F147" s="25"/>
      <c r="G147" s="25"/>
      <c r="H147" s="25"/>
      <c r="I147" s="25"/>
      <c r="N147" s="329">
        <v>25282.0</v>
      </c>
      <c r="O147" s="329">
        <v>783336.0</v>
      </c>
      <c r="P147" s="330">
        <v>852.4</v>
      </c>
      <c r="Q147" s="330">
        <v>30.1</v>
      </c>
      <c r="R147" s="330">
        <v>882.5</v>
      </c>
    </row>
    <row r="148" ht="15.75" customHeight="1">
      <c r="A148" s="113" t="s">
        <v>959</v>
      </c>
      <c r="B148" s="114">
        <v>1.0E-6</v>
      </c>
      <c r="C148" s="25"/>
      <c r="D148" s="25"/>
      <c r="E148" s="25"/>
      <c r="F148" s="25"/>
      <c r="G148" s="25"/>
      <c r="H148" s="25"/>
      <c r="I148" s="25"/>
      <c r="N148" s="329">
        <v>182673.0</v>
      </c>
      <c r="O148" s="329">
        <v>783336.0</v>
      </c>
      <c r="P148" s="330">
        <v>852.4</v>
      </c>
      <c r="Q148" s="330">
        <v>30.1</v>
      </c>
      <c r="R148" s="330">
        <v>882.5</v>
      </c>
    </row>
    <row r="149" ht="15.0" customHeight="1">
      <c r="A149" s="113" t="s">
        <v>960</v>
      </c>
      <c r="B149" s="106">
        <f>1/100</f>
        <v>0.01</v>
      </c>
      <c r="C149" s="25"/>
      <c r="D149" s="25"/>
      <c r="E149" s="25"/>
      <c r="F149" s="25"/>
      <c r="G149" s="25"/>
      <c r="H149" s="25"/>
      <c r="I149" s="25"/>
      <c r="N149" s="331">
        <v>332271.0</v>
      </c>
      <c r="O149" s="331">
        <v>783336.0</v>
      </c>
      <c r="P149" s="332">
        <v>852.4</v>
      </c>
      <c r="Q149" s="332">
        <v>30.1</v>
      </c>
      <c r="R149" s="332">
        <v>882.5</v>
      </c>
    </row>
    <row r="150" ht="15.0" customHeight="1">
      <c r="A150" s="113" t="s">
        <v>961</v>
      </c>
      <c r="B150" s="97">
        <v>1000.0</v>
      </c>
      <c r="C150" s="25"/>
      <c r="D150" s="25"/>
      <c r="E150" s="25"/>
      <c r="F150" s="25"/>
      <c r="G150" s="25"/>
      <c r="H150" s="25"/>
      <c r="I150" s="25"/>
      <c r="N150" s="329"/>
      <c r="O150" s="329"/>
      <c r="P150" s="330"/>
      <c r="Q150" s="330"/>
      <c r="R150" s="330"/>
    </row>
    <row r="151" ht="15.0" customHeight="1">
      <c r="A151" s="143" t="s">
        <v>962</v>
      </c>
      <c r="B151" s="61">
        <v>21.0</v>
      </c>
      <c r="C151" s="25"/>
      <c r="D151" s="25"/>
      <c r="E151" s="25"/>
      <c r="F151" s="25"/>
      <c r="G151" s="25"/>
      <c r="H151" s="25"/>
      <c r="I151" s="112"/>
      <c r="J151" s="112"/>
      <c r="K151" s="112"/>
      <c r="L151" s="112"/>
      <c r="M151" s="112"/>
      <c r="N151" s="329">
        <v>859435.0</v>
      </c>
      <c r="O151" s="329">
        <v>3133345.0</v>
      </c>
      <c r="P151" s="333">
        <v>3410.0</v>
      </c>
      <c r="Q151" s="333">
        <v>120.0</v>
      </c>
      <c r="R151" s="333">
        <v>3530.0</v>
      </c>
      <c r="S151" s="112"/>
    </row>
    <row r="152" ht="15.0" customHeight="1">
      <c r="A152" s="143" t="s">
        <v>963</v>
      </c>
      <c r="B152" s="61">
        <v>310.0</v>
      </c>
      <c r="C152" s="25"/>
      <c r="D152" s="25"/>
      <c r="E152" s="25"/>
      <c r="F152" s="25"/>
      <c r="G152" s="25"/>
      <c r="H152" s="25"/>
      <c r="I152" s="25"/>
      <c r="J152" s="25"/>
      <c r="K152" s="25"/>
      <c r="L152" s="25"/>
      <c r="M152" s="25"/>
      <c r="N152" s="330" t="s">
        <v>964</v>
      </c>
      <c r="O152" s="330">
        <v>0.274286838</v>
      </c>
      <c r="P152" s="330"/>
      <c r="Q152" s="332" t="s">
        <v>965</v>
      </c>
      <c r="R152" s="334">
        <v>968.232538</v>
      </c>
      <c r="S152" s="25"/>
    </row>
    <row r="153" ht="12.75" customHeight="1">
      <c r="A153" s="25"/>
      <c r="B153" s="25"/>
      <c r="C153" s="25"/>
      <c r="D153" s="25"/>
      <c r="E153" s="25"/>
      <c r="F153" s="25"/>
      <c r="G153" s="25"/>
      <c r="H153" s="25"/>
      <c r="I153" s="25"/>
      <c r="Q153" s="56" t="s">
        <v>966</v>
      </c>
      <c r="R153" s="335">
        <f>R151-R152</f>
        <v>2561.767462</v>
      </c>
    </row>
    <row r="154" ht="12.75" customHeight="1">
      <c r="A154" s="255" t="s">
        <v>967</v>
      </c>
      <c r="E154" s="25"/>
      <c r="F154" s="25"/>
      <c r="G154" s="25"/>
      <c r="H154" s="25"/>
      <c r="I154" s="25"/>
      <c r="P154" s="56" t="s">
        <v>968</v>
      </c>
      <c r="Q154" s="101"/>
      <c r="R154" s="101">
        <v>2291.0</v>
      </c>
    </row>
    <row r="155" ht="12.75" customHeight="1">
      <c r="A155" s="47" t="s">
        <v>470</v>
      </c>
      <c r="B155" s="144">
        <f>$B146*B159</f>
        <v>0.1250714286</v>
      </c>
      <c r="C155" s="25"/>
      <c r="D155" s="25"/>
      <c r="E155" s="25"/>
      <c r="F155" s="25"/>
      <c r="G155" s="25"/>
      <c r="H155" s="25"/>
      <c r="I155" s="25"/>
    </row>
    <row r="156" ht="15.0" customHeight="1">
      <c r="A156" s="47" t="s">
        <v>969</v>
      </c>
      <c r="B156" s="47">
        <f>($B146*$B159*$B160*$B161*$B162*$B147)</f>
        <v>0.008774691254</v>
      </c>
      <c r="C156" s="25"/>
      <c r="D156" s="25"/>
      <c r="E156" s="25"/>
      <c r="F156" s="25"/>
      <c r="G156" s="25"/>
      <c r="H156" s="25"/>
      <c r="I156" s="25"/>
      <c r="P156" s="56" t="s">
        <v>970</v>
      </c>
      <c r="R156" s="335">
        <f>R154+R153</f>
        <v>4852.767462</v>
      </c>
    </row>
    <row r="157" ht="15.0" customHeight="1">
      <c r="A157" s="143" t="s">
        <v>971</v>
      </c>
      <c r="B157" s="224">
        <v>0.1143</v>
      </c>
      <c r="C157" s="25"/>
      <c r="D157" s="25"/>
      <c r="E157" s="25"/>
      <c r="F157" s="25"/>
      <c r="G157" s="25"/>
      <c r="H157" s="25"/>
      <c r="I157" s="25"/>
    </row>
    <row r="158" ht="15.0" customHeight="1">
      <c r="A158" s="143" t="s">
        <v>972</v>
      </c>
      <c r="B158" s="224">
        <v>0.1003</v>
      </c>
      <c r="C158" s="25"/>
      <c r="D158" s="25"/>
      <c r="E158" s="25"/>
      <c r="F158" s="25"/>
      <c r="G158" s="25"/>
      <c r="H158" s="25"/>
      <c r="I158" s="25"/>
    </row>
    <row r="159" ht="12.75" customHeight="1">
      <c r="A159" s="143" t="s">
        <v>261</v>
      </c>
      <c r="B159" s="61">
        <v>5.253</v>
      </c>
      <c r="C159" s="25"/>
      <c r="D159" s="25"/>
      <c r="E159" s="25"/>
      <c r="F159" s="25"/>
      <c r="G159" s="25"/>
      <c r="H159" s="25"/>
      <c r="I159" s="25"/>
    </row>
    <row r="160" ht="12.75" customHeight="1">
      <c r="A160" s="143" t="s">
        <v>262</v>
      </c>
      <c r="B160" s="61">
        <v>19.34</v>
      </c>
      <c r="C160" s="25"/>
      <c r="D160" s="25"/>
      <c r="E160" s="25"/>
      <c r="F160" s="25"/>
      <c r="G160" s="25"/>
      <c r="H160" s="25"/>
      <c r="I160" s="25"/>
    </row>
    <row r="161" ht="12.75" customHeight="1">
      <c r="A161" s="143" t="s">
        <v>263</v>
      </c>
      <c r="B161" s="61">
        <v>0.99</v>
      </c>
      <c r="C161" s="25"/>
      <c r="D161" s="25"/>
      <c r="E161" s="25"/>
      <c r="F161" s="25"/>
      <c r="G161" s="25"/>
      <c r="H161" s="25"/>
      <c r="I161" s="25"/>
    </row>
    <row r="162" ht="15.0" customHeight="1">
      <c r="A162" s="143" t="s">
        <v>973</v>
      </c>
      <c r="B162" s="145">
        <f>((12.011+32)/12.011)</f>
        <v>3.664224461</v>
      </c>
      <c r="C162" s="25"/>
      <c r="D162" s="25"/>
      <c r="E162" s="25"/>
      <c r="F162" s="25"/>
      <c r="G162" s="25"/>
      <c r="H162" s="25"/>
      <c r="I162" s="25"/>
    </row>
    <row r="163" ht="12.75" customHeight="1">
      <c r="A163" s="25"/>
      <c r="B163" s="25"/>
      <c r="C163" s="25"/>
      <c r="D163" s="25"/>
      <c r="E163" s="25"/>
      <c r="F163" s="25"/>
      <c r="G163" s="25"/>
      <c r="H163" s="25"/>
      <c r="I163" s="25"/>
    </row>
    <row r="164" ht="12.75" customHeight="1">
      <c r="A164" s="65" t="s">
        <v>974</v>
      </c>
      <c r="B164" s="25"/>
      <c r="C164" s="25"/>
      <c r="D164" s="25"/>
      <c r="E164" s="25"/>
      <c r="F164" s="25"/>
      <c r="G164" s="25"/>
      <c r="H164" s="25"/>
      <c r="I164" s="25"/>
    </row>
    <row r="165" ht="12.75" customHeight="1">
      <c r="A165" s="47" t="s">
        <v>470</v>
      </c>
      <c r="B165" s="144">
        <f>$B146*$B169</f>
        <v>0.1250714286</v>
      </c>
      <c r="C165" s="25"/>
      <c r="D165" s="25"/>
      <c r="E165" s="25"/>
      <c r="F165" s="25"/>
      <c r="G165" s="25"/>
      <c r="H165" s="25"/>
      <c r="I165" s="25"/>
    </row>
    <row r="166" ht="15.0" customHeight="1">
      <c r="A166" s="47" t="s">
        <v>975</v>
      </c>
      <c r="B166" s="47">
        <f>($B146*$B169*$B170*$B171*$B172*$B147)</f>
        <v>0.008774691254</v>
      </c>
      <c r="C166" s="25"/>
      <c r="D166" s="25"/>
      <c r="E166" s="25"/>
      <c r="F166" s="25"/>
      <c r="G166" s="25"/>
      <c r="H166" s="25"/>
      <c r="I166" s="25"/>
    </row>
    <row r="167" ht="15.0" customHeight="1">
      <c r="A167" s="143" t="s">
        <v>976</v>
      </c>
      <c r="B167" s="224">
        <v>0.1984</v>
      </c>
      <c r="C167" s="25"/>
      <c r="D167" s="25"/>
      <c r="E167" s="25"/>
      <c r="F167" s="25"/>
      <c r="G167" s="25"/>
      <c r="H167" s="25"/>
      <c r="I167" s="25"/>
    </row>
    <row r="168" ht="15.0" customHeight="1">
      <c r="A168" s="143" t="s">
        <v>977</v>
      </c>
      <c r="B168" s="224">
        <v>0.1517</v>
      </c>
      <c r="C168" s="25"/>
      <c r="D168" s="25"/>
      <c r="E168" s="25"/>
      <c r="F168" s="25"/>
      <c r="G168" s="25"/>
      <c r="H168" s="25"/>
      <c r="I168" s="25"/>
    </row>
    <row r="169" ht="12.75" customHeight="1">
      <c r="A169" s="143" t="s">
        <v>261</v>
      </c>
      <c r="B169" s="61">
        <v>5.253</v>
      </c>
      <c r="C169" s="25"/>
      <c r="D169" s="25"/>
      <c r="E169" s="25"/>
      <c r="F169" s="25"/>
      <c r="G169" s="25"/>
      <c r="H169" s="25"/>
      <c r="I169" s="25"/>
    </row>
    <row r="170" ht="12.75" customHeight="1">
      <c r="A170" s="143" t="s">
        <v>262</v>
      </c>
      <c r="B170" s="61">
        <v>19.34</v>
      </c>
      <c r="C170" s="25"/>
      <c r="D170" s="25"/>
      <c r="E170" s="25"/>
      <c r="F170" s="25"/>
      <c r="G170" s="25"/>
      <c r="H170" s="25"/>
      <c r="I170" s="25"/>
    </row>
    <row r="171" ht="12.75" customHeight="1">
      <c r="A171" s="143" t="s">
        <v>263</v>
      </c>
      <c r="B171" s="61">
        <v>0.99</v>
      </c>
      <c r="C171" s="25"/>
      <c r="D171" s="25"/>
      <c r="E171" s="25"/>
      <c r="F171" s="25"/>
      <c r="G171" s="25"/>
      <c r="H171" s="25"/>
      <c r="I171" s="25"/>
    </row>
    <row r="172" ht="15.0" customHeight="1">
      <c r="A172" s="143" t="s">
        <v>978</v>
      </c>
      <c r="B172" s="145">
        <f>((12.011+32)/12.011)</f>
        <v>3.664224461</v>
      </c>
      <c r="C172" s="25"/>
      <c r="D172" s="25"/>
      <c r="E172" s="25"/>
      <c r="F172" s="25"/>
      <c r="G172" s="25"/>
      <c r="H172" s="25"/>
      <c r="I172" s="25"/>
    </row>
    <row r="173" ht="15.75" customHeight="1">
      <c r="A173" s="336"/>
      <c r="B173" s="25"/>
      <c r="C173" s="25"/>
      <c r="D173" s="25"/>
      <c r="E173" s="25"/>
      <c r="F173" s="25"/>
      <c r="G173" s="25"/>
      <c r="H173" s="25"/>
      <c r="I173" s="25"/>
    </row>
    <row r="174" ht="12.75" customHeight="1">
      <c r="A174" s="65" t="s">
        <v>979</v>
      </c>
      <c r="B174" s="25"/>
      <c r="C174" s="25"/>
      <c r="D174" s="25"/>
      <c r="E174" s="25"/>
      <c r="F174" s="25"/>
      <c r="G174" s="25"/>
      <c r="H174" s="25"/>
      <c r="I174" s="25"/>
    </row>
    <row r="175" ht="12.75" customHeight="1">
      <c r="A175" s="47" t="s">
        <v>476</v>
      </c>
      <c r="B175" s="144">
        <f>$B146*$B179</f>
        <v>0.1386904762</v>
      </c>
      <c r="C175" s="25"/>
      <c r="D175" s="25"/>
      <c r="E175" s="25"/>
      <c r="F175" s="25"/>
      <c r="G175" s="25"/>
      <c r="H175" s="25"/>
      <c r="I175" s="25"/>
    </row>
    <row r="176" ht="15.0" customHeight="1">
      <c r="A176" s="47" t="s">
        <v>980</v>
      </c>
      <c r="B176" s="337">
        <f>($B146*$B179*$B180*$B181*$B182*$B147)</f>
        <v>0.01003706654</v>
      </c>
      <c r="C176" s="25"/>
      <c r="D176" s="25"/>
      <c r="E176" s="25"/>
      <c r="F176" s="25"/>
      <c r="G176" s="25"/>
      <c r="H176" s="25"/>
      <c r="I176" s="25"/>
    </row>
    <row r="177" ht="15.0" customHeight="1">
      <c r="A177" s="143" t="s">
        <v>981</v>
      </c>
      <c r="B177" s="224">
        <v>0.0966</v>
      </c>
      <c r="C177" s="25"/>
      <c r="D177" s="25"/>
      <c r="E177" s="25"/>
      <c r="F177" s="25"/>
      <c r="G177" s="25"/>
      <c r="H177" s="25"/>
      <c r="I177" s="25"/>
    </row>
    <row r="178" ht="15.0" customHeight="1">
      <c r="A178" s="143" t="s">
        <v>982</v>
      </c>
      <c r="B178" s="224">
        <v>0.0483</v>
      </c>
      <c r="C178" s="25"/>
      <c r="D178" s="25"/>
      <c r="E178" s="25"/>
      <c r="F178" s="25"/>
      <c r="G178" s="25"/>
      <c r="H178" s="25"/>
      <c r="I178" s="25"/>
    </row>
    <row r="179" ht="12.75" customHeight="1">
      <c r="A179" s="143" t="s">
        <v>261</v>
      </c>
      <c r="B179" s="61">
        <v>5.825</v>
      </c>
      <c r="C179" s="25"/>
      <c r="D179" s="25"/>
      <c r="E179" s="25"/>
      <c r="F179" s="25"/>
      <c r="G179" s="25"/>
      <c r="H179" s="25"/>
      <c r="I179" s="25"/>
    </row>
    <row r="180" ht="12.75" customHeight="1">
      <c r="A180" s="143" t="s">
        <v>262</v>
      </c>
      <c r="B180" s="61">
        <v>19.95</v>
      </c>
      <c r="C180" s="25"/>
      <c r="D180" s="25"/>
      <c r="E180" s="25"/>
      <c r="F180" s="25"/>
      <c r="G180" s="25"/>
      <c r="H180" s="25"/>
      <c r="I180" s="25"/>
    </row>
    <row r="181" ht="12.75" customHeight="1">
      <c r="A181" s="143" t="s">
        <v>263</v>
      </c>
      <c r="B181" s="61">
        <v>0.99</v>
      </c>
      <c r="C181" s="25"/>
      <c r="D181" s="25"/>
      <c r="E181" s="25"/>
      <c r="F181" s="25"/>
      <c r="G181" s="25"/>
      <c r="H181" s="25"/>
      <c r="I181" s="25"/>
    </row>
    <row r="182" ht="15.0" customHeight="1">
      <c r="A182" s="143" t="s">
        <v>983</v>
      </c>
      <c r="B182" s="145">
        <v>3.6642244609108316</v>
      </c>
      <c r="C182" s="25"/>
      <c r="D182" s="25"/>
      <c r="E182" s="25"/>
      <c r="F182" s="25"/>
      <c r="G182" s="25"/>
      <c r="H182" s="25"/>
      <c r="I182" s="25"/>
    </row>
    <row r="183" ht="12.75" customHeight="1">
      <c r="A183" s="143" t="s">
        <v>984</v>
      </c>
      <c r="B183" s="338">
        <f>309*2</f>
        <v>618</v>
      </c>
      <c r="C183" s="25"/>
      <c r="D183" s="25"/>
      <c r="E183" s="25"/>
      <c r="F183" s="25"/>
      <c r="G183" s="25"/>
      <c r="H183" s="25"/>
      <c r="I183" s="25"/>
    </row>
    <row r="184" ht="12.75" customHeight="1">
      <c r="A184" s="143" t="s">
        <v>985</v>
      </c>
      <c r="B184" s="338">
        <f>34.7*2</f>
        <v>69.4</v>
      </c>
      <c r="C184" s="25"/>
      <c r="D184" s="25"/>
      <c r="E184" s="25"/>
      <c r="F184" s="25"/>
      <c r="G184" s="25"/>
      <c r="H184" s="25"/>
      <c r="I184" s="25"/>
    </row>
    <row r="185" ht="12.75" customHeight="1">
      <c r="A185" s="143" t="s">
        <v>986</v>
      </c>
      <c r="B185" s="339">
        <f>5.5*2</f>
        <v>11</v>
      </c>
      <c r="C185" s="25"/>
      <c r="D185" s="25"/>
      <c r="E185" s="25"/>
      <c r="F185" s="25"/>
      <c r="G185" s="25"/>
      <c r="H185" s="25"/>
      <c r="I185" s="25"/>
    </row>
    <row r="186" ht="12.75" customHeight="1">
      <c r="A186" s="143" t="s">
        <v>987</v>
      </c>
      <c r="B186" s="339">
        <f>0.8582*2</f>
        <v>1.7164</v>
      </c>
      <c r="C186" s="25"/>
      <c r="D186" s="25"/>
      <c r="E186" s="25"/>
      <c r="F186" s="25"/>
      <c r="G186" s="25"/>
      <c r="H186" s="25"/>
      <c r="I186" s="25"/>
    </row>
    <row r="187" ht="12.75" customHeight="1">
      <c r="A187" s="143" t="s">
        <v>988</v>
      </c>
      <c r="B187" s="339">
        <v>4.0</v>
      </c>
      <c r="C187" s="25"/>
      <c r="D187" s="25"/>
      <c r="E187" s="25"/>
      <c r="F187" s="25"/>
      <c r="G187" s="25"/>
      <c r="H187" s="25"/>
      <c r="I187" s="25"/>
    </row>
    <row r="188" ht="12.75" customHeight="1">
      <c r="A188" s="143" t="s">
        <v>989</v>
      </c>
      <c r="B188" s="340">
        <v>0.1449</v>
      </c>
      <c r="C188" s="25"/>
      <c r="D188" s="25"/>
      <c r="E188" s="25"/>
      <c r="F188" s="25"/>
      <c r="G188" s="25"/>
      <c r="H188" s="25"/>
      <c r="I188" s="25"/>
    </row>
    <row r="189" ht="12.75" customHeight="1">
      <c r="A189" s="143" t="s">
        <v>990</v>
      </c>
      <c r="B189" s="339">
        <f>1/B188</f>
        <v>6.901311249</v>
      </c>
      <c r="C189" s="25"/>
      <c r="D189" s="25"/>
      <c r="E189" s="25"/>
      <c r="F189" s="25"/>
      <c r="G189" s="25"/>
      <c r="H189" s="25"/>
      <c r="I189" s="25"/>
    </row>
    <row r="190" ht="12.75" customHeight="1">
      <c r="A190" s="25"/>
      <c r="B190" s="25"/>
      <c r="C190" s="25"/>
      <c r="D190" s="25"/>
      <c r="E190" s="25"/>
      <c r="F190" s="25"/>
      <c r="G190" s="25"/>
      <c r="H190" s="25"/>
      <c r="I190" s="25"/>
    </row>
    <row r="191" ht="12.75" customHeight="1">
      <c r="A191" s="65" t="s">
        <v>991</v>
      </c>
      <c r="B191" s="25"/>
      <c r="C191" s="25"/>
      <c r="D191" s="25"/>
      <c r="E191" s="25"/>
      <c r="F191" s="25"/>
      <c r="G191" s="25"/>
      <c r="H191" s="25"/>
      <c r="I191" s="25"/>
    </row>
    <row r="192" ht="15.0" customHeight="1">
      <c r="A192" s="143" t="s">
        <v>992</v>
      </c>
      <c r="B192" s="145">
        <v>0.087</v>
      </c>
      <c r="C192" s="25"/>
      <c r="D192" s="25"/>
      <c r="E192" s="25"/>
      <c r="F192" s="25"/>
      <c r="G192" s="25"/>
      <c r="H192" s="25"/>
      <c r="I192" s="25"/>
    </row>
    <row r="193" ht="15.0" customHeight="1">
      <c r="A193" s="143" t="s">
        <v>993</v>
      </c>
      <c r="B193" s="146">
        <v>0.1</v>
      </c>
      <c r="C193" s="25"/>
      <c r="D193" s="25"/>
      <c r="E193" s="25"/>
      <c r="F193" s="25"/>
      <c r="G193" s="25"/>
      <c r="H193" s="25"/>
      <c r="I193" s="25"/>
    </row>
    <row r="194" ht="12.75" customHeight="1">
      <c r="A194" s="143" t="s">
        <v>994</v>
      </c>
      <c r="B194" s="145">
        <v>5.67</v>
      </c>
      <c r="C194" s="25"/>
      <c r="D194" s="25"/>
      <c r="E194" s="25"/>
      <c r="F194" s="25"/>
      <c r="G194" s="25"/>
      <c r="H194" s="25"/>
      <c r="I194" s="25"/>
    </row>
    <row r="195" ht="12.75" customHeight="1">
      <c r="A195" s="143" t="s">
        <v>262</v>
      </c>
      <c r="B195" s="339">
        <v>19.33</v>
      </c>
      <c r="C195" s="25"/>
      <c r="D195" s="25"/>
      <c r="E195" s="25"/>
      <c r="F195" s="25"/>
      <c r="G195" s="25"/>
      <c r="H195" s="25"/>
      <c r="I195" s="25"/>
    </row>
    <row r="196" ht="12.75" customHeight="1">
      <c r="A196" s="143" t="s">
        <v>263</v>
      </c>
      <c r="B196" s="61">
        <v>0.99</v>
      </c>
      <c r="C196" s="25"/>
      <c r="D196" s="25"/>
      <c r="E196" s="25"/>
      <c r="F196" s="25"/>
      <c r="G196" s="25"/>
      <c r="H196" s="25"/>
      <c r="I196" s="25"/>
    </row>
    <row r="197" ht="15.0" customHeight="1">
      <c r="A197" s="143" t="s">
        <v>995</v>
      </c>
      <c r="B197" s="145">
        <f>((12.011+32)/12.011)</f>
        <v>3.664224461</v>
      </c>
      <c r="C197" s="25"/>
      <c r="D197" s="25"/>
      <c r="E197" s="25"/>
      <c r="F197" s="25"/>
      <c r="G197" s="25"/>
      <c r="H197" s="25"/>
      <c r="I197" s="25"/>
    </row>
    <row r="198" ht="12.75" customHeight="1">
      <c r="A198" s="143" t="s">
        <v>996</v>
      </c>
      <c r="B198" s="341">
        <f>1/7.93</f>
        <v>0.1261034048</v>
      </c>
      <c r="C198" s="25"/>
      <c r="D198" s="25"/>
      <c r="E198" s="25"/>
      <c r="F198" s="25"/>
      <c r="G198" s="25"/>
      <c r="H198" s="25"/>
      <c r="I198" s="25"/>
    </row>
    <row r="199" ht="12.75" customHeight="1">
      <c r="A199" s="25"/>
      <c r="B199" s="25"/>
      <c r="C199" s="25"/>
      <c r="D199" s="25"/>
      <c r="E199" s="25"/>
      <c r="F199" s="25"/>
      <c r="G199" s="25"/>
      <c r="H199" s="25"/>
      <c r="I199" s="25"/>
    </row>
    <row r="200" ht="12.75" customHeight="1">
      <c r="A200" s="255" t="s">
        <v>997</v>
      </c>
      <c r="D200" s="25"/>
      <c r="E200" s="25"/>
      <c r="F200" s="25"/>
      <c r="G200" s="25"/>
      <c r="H200" s="25"/>
      <c r="I200" s="25"/>
    </row>
    <row r="201" ht="12.75" customHeight="1">
      <c r="A201" s="143" t="s">
        <v>998</v>
      </c>
      <c r="B201" s="339">
        <v>3.19</v>
      </c>
      <c r="C201" s="25"/>
      <c r="D201" s="25"/>
      <c r="E201" s="25"/>
      <c r="F201" s="25"/>
      <c r="G201" s="25"/>
      <c r="H201" s="25"/>
      <c r="I201" s="25"/>
    </row>
    <row r="202" ht="15.0" customHeight="1">
      <c r="A202" s="143" t="s">
        <v>999</v>
      </c>
      <c r="B202" s="146">
        <v>0.25</v>
      </c>
      <c r="C202" s="25"/>
      <c r="D202" s="25"/>
      <c r="E202" s="25"/>
      <c r="F202" s="25"/>
      <c r="G202" s="25"/>
      <c r="H202" s="25"/>
      <c r="I202" s="25"/>
    </row>
    <row r="203" ht="15.0" customHeight="1">
      <c r="A203" s="143" t="s">
        <v>1000</v>
      </c>
      <c r="B203" s="146">
        <v>0.08</v>
      </c>
      <c r="C203" s="25"/>
      <c r="D203" s="25"/>
      <c r="E203" s="25"/>
      <c r="F203" s="25"/>
      <c r="G203" s="25"/>
      <c r="H203" s="25"/>
      <c r="I203" s="25"/>
    </row>
    <row r="204" ht="12.75" customHeight="1">
      <c r="A204" s="143" t="s">
        <v>994</v>
      </c>
      <c r="B204" s="61">
        <v>5.825</v>
      </c>
      <c r="C204" s="25"/>
      <c r="D204" s="25"/>
      <c r="E204" s="25"/>
      <c r="F204" s="25"/>
      <c r="G204" s="25"/>
      <c r="H204" s="25"/>
      <c r="I204" s="25"/>
    </row>
    <row r="205" ht="12.75" customHeight="1">
      <c r="A205" s="143" t="s">
        <v>262</v>
      </c>
      <c r="B205" s="339">
        <v>19.33</v>
      </c>
      <c r="C205" s="25"/>
      <c r="D205" s="25"/>
      <c r="E205" s="25"/>
      <c r="F205" s="25"/>
      <c r="G205" s="25"/>
      <c r="H205" s="25"/>
      <c r="I205" s="25"/>
    </row>
    <row r="206" ht="12.75" customHeight="1">
      <c r="A206" s="143" t="s">
        <v>263</v>
      </c>
      <c r="B206" s="61">
        <v>0.99</v>
      </c>
      <c r="C206" s="25"/>
      <c r="D206" s="25"/>
      <c r="E206" s="25"/>
      <c r="F206" s="25"/>
      <c r="G206" s="25"/>
      <c r="H206" s="25"/>
      <c r="I206" s="25"/>
    </row>
    <row r="207" ht="15.0" customHeight="1">
      <c r="A207" s="143" t="s">
        <v>1001</v>
      </c>
      <c r="B207" s="145">
        <f>((12.011+32)/12.011)</f>
        <v>3.664224461</v>
      </c>
      <c r="C207" s="25"/>
      <c r="D207" s="25"/>
      <c r="E207" s="25"/>
      <c r="F207" s="25"/>
      <c r="G207" s="25"/>
      <c r="H207" s="25"/>
      <c r="I207" s="25"/>
    </row>
    <row r="208" ht="12.75" customHeight="1"/>
    <row r="209" ht="12.75" customHeight="1">
      <c r="A209" s="143" t="s">
        <v>1002</v>
      </c>
      <c r="B209" s="188"/>
    </row>
    <row r="210" ht="12.75" customHeight="1">
      <c r="A210" s="143" t="s">
        <v>1003</v>
      </c>
      <c r="B210" s="188"/>
    </row>
    <row r="211" ht="12.75" customHeight="1">
      <c r="A211" s="143" t="s">
        <v>1004</v>
      </c>
      <c r="B211" s="188">
        <v>48.3</v>
      </c>
      <c r="C211" s="56" t="s">
        <v>1005</v>
      </c>
    </row>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1:G1"/>
    <mergeCell ref="A2:G3"/>
    <mergeCell ref="A51:G51"/>
    <mergeCell ref="A143:B143"/>
    <mergeCell ref="A154:D154"/>
    <mergeCell ref="A200:C200"/>
  </mergeCells>
  <printOptions/>
  <pageMargins bottom="0.75" footer="0.0" header="0.0" left="0.7" right="0.7" top="0.75"/>
  <pageSetup orientation="landscape"/>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88"/>
    <col customWidth="1" min="2" max="2" width="8.88"/>
    <col customWidth="1" min="3" max="3" width="8.38"/>
    <col customWidth="1" min="4" max="4" width="11.5"/>
    <col customWidth="1" min="5" max="5" width="7.63"/>
    <col customWidth="1" min="6" max="6" width="8.0"/>
    <col customWidth="1" min="7" max="7" width="8.5"/>
    <col customWidth="1" min="8" max="8" width="12.88"/>
    <col customWidth="1" min="9" max="13" width="8.88"/>
    <col customWidth="1" min="14" max="26" width="10.0"/>
  </cols>
  <sheetData>
    <row r="1" ht="27.75" customHeight="1">
      <c r="A1" s="282" t="s">
        <v>12</v>
      </c>
      <c r="B1" s="90"/>
      <c r="C1" s="90"/>
      <c r="D1" s="90"/>
      <c r="E1" s="90"/>
      <c r="F1" s="90"/>
      <c r="G1" s="90"/>
      <c r="H1" s="91"/>
    </row>
    <row r="2" ht="12.75" customHeight="1">
      <c r="A2" s="110" t="s">
        <v>806</v>
      </c>
    </row>
    <row r="3" ht="12.75" customHeight="1"/>
    <row r="4" ht="12.75" customHeight="1">
      <c r="A4" s="12"/>
    </row>
    <row r="5" ht="12.75" customHeight="1">
      <c r="B5" s="25"/>
      <c r="C5" s="47"/>
      <c r="D5" s="25"/>
      <c r="E5" s="25"/>
      <c r="F5" s="25"/>
      <c r="G5" s="25"/>
      <c r="H5" s="25"/>
      <c r="I5" s="25"/>
      <c r="J5" s="25"/>
      <c r="K5" s="25"/>
      <c r="L5" s="25"/>
      <c r="M5" s="25"/>
    </row>
    <row r="6" ht="12.75" customHeight="1">
      <c r="B6" s="47"/>
      <c r="C6" s="86"/>
      <c r="D6" s="86"/>
      <c r="E6" s="86"/>
      <c r="F6" s="86"/>
      <c r="G6" s="86"/>
      <c r="H6" s="25"/>
      <c r="I6" s="86"/>
      <c r="J6" s="25"/>
      <c r="K6" s="25"/>
      <c r="L6" s="25"/>
      <c r="M6" s="25"/>
    </row>
    <row r="7" ht="12.75" customHeight="1">
      <c r="B7" s="25"/>
      <c r="C7" s="97"/>
      <c r="D7" s="97"/>
      <c r="E7" s="97"/>
      <c r="F7" s="97"/>
      <c r="G7" s="73"/>
      <c r="H7" s="25"/>
      <c r="I7" s="87"/>
      <c r="J7" s="25"/>
      <c r="K7" s="25"/>
      <c r="L7" s="25"/>
      <c r="M7" s="25"/>
    </row>
    <row r="8" ht="12.75" customHeight="1">
      <c r="B8" s="25"/>
      <c r="C8" s="73"/>
      <c r="D8" s="73"/>
      <c r="E8" s="73"/>
      <c r="F8" s="73"/>
      <c r="G8" s="73"/>
      <c r="H8" s="25"/>
      <c r="I8" s="87"/>
      <c r="J8" s="25"/>
      <c r="K8" s="25"/>
      <c r="L8" s="25"/>
      <c r="M8" s="25"/>
    </row>
    <row r="9" ht="12.75" customHeight="1">
      <c r="B9" s="25"/>
      <c r="C9" s="97"/>
      <c r="D9" s="97"/>
      <c r="E9" s="97"/>
      <c r="F9" s="97"/>
      <c r="G9" s="97"/>
      <c r="H9" s="25"/>
      <c r="I9" s="87"/>
      <c r="J9" s="25"/>
      <c r="K9" s="25"/>
      <c r="L9" s="25"/>
      <c r="M9" s="25"/>
    </row>
    <row r="10" ht="12.75" customHeight="1">
      <c r="B10" s="25"/>
      <c r="C10" s="73"/>
      <c r="D10" s="73"/>
      <c r="E10" s="73"/>
      <c r="F10" s="73"/>
      <c r="G10" s="73"/>
      <c r="H10" s="25"/>
      <c r="I10" s="87"/>
      <c r="J10" s="25"/>
      <c r="K10" s="25"/>
      <c r="L10" s="25"/>
      <c r="M10" s="25"/>
    </row>
    <row r="11" ht="12.75" customHeight="1">
      <c r="B11" s="25"/>
      <c r="C11" s="73"/>
      <c r="D11" s="73"/>
      <c r="E11" s="73"/>
      <c r="F11" s="73"/>
      <c r="G11" s="73"/>
      <c r="H11" s="25"/>
      <c r="I11" s="87"/>
      <c r="J11" s="25"/>
      <c r="K11" s="25"/>
      <c r="L11" s="25"/>
      <c r="M11" s="25"/>
    </row>
    <row r="12" ht="12.75" customHeight="1">
      <c r="B12" s="47"/>
      <c r="C12" s="235"/>
      <c r="D12" s="235"/>
      <c r="E12" s="235"/>
      <c r="F12" s="235"/>
      <c r="G12" s="235"/>
      <c r="H12" s="235"/>
      <c r="I12" s="342"/>
      <c r="J12" s="25"/>
      <c r="K12" s="25"/>
      <c r="L12" s="25"/>
      <c r="M12" s="25"/>
    </row>
    <row r="13" ht="12.75" customHeight="1">
      <c r="E13" s="25"/>
      <c r="F13" s="25"/>
      <c r="G13" s="25"/>
      <c r="H13" s="25"/>
      <c r="I13" s="25"/>
      <c r="J13" s="25"/>
      <c r="K13" s="25"/>
      <c r="L13" s="25"/>
      <c r="M13" s="25"/>
    </row>
    <row r="14" ht="12.75" customHeight="1">
      <c r="E14" s="25"/>
      <c r="F14" s="25"/>
      <c r="G14" s="25"/>
      <c r="H14" s="25"/>
      <c r="I14" s="25"/>
      <c r="J14" s="25"/>
      <c r="K14" s="25"/>
      <c r="L14" s="25"/>
      <c r="M14" s="25"/>
    </row>
    <row r="15" ht="12.75" customHeight="1">
      <c r="E15" s="25"/>
      <c r="F15" s="25"/>
      <c r="G15" s="25"/>
      <c r="H15" s="25"/>
      <c r="I15" s="25"/>
      <c r="J15" s="25"/>
      <c r="K15" s="25"/>
      <c r="L15" s="25"/>
      <c r="M15" s="25"/>
    </row>
    <row r="16" ht="12.75" customHeight="1">
      <c r="E16" s="25"/>
      <c r="F16" s="25"/>
      <c r="G16" s="25"/>
      <c r="H16" s="25"/>
      <c r="I16" s="25"/>
      <c r="J16" s="25"/>
      <c r="K16" s="25"/>
      <c r="L16" s="25"/>
      <c r="M16" s="25"/>
    </row>
    <row r="17" ht="12.75" customHeight="1">
      <c r="E17" s="25"/>
      <c r="F17" s="25"/>
      <c r="G17" s="25"/>
      <c r="H17" s="25"/>
      <c r="I17" s="25"/>
      <c r="J17" s="25"/>
      <c r="K17" s="25"/>
      <c r="L17" s="25"/>
      <c r="M17" s="25"/>
    </row>
    <row r="18" ht="12.75" customHeight="1"/>
    <row r="19" ht="12.75" customHeight="1"/>
    <row r="20" ht="12.75" customHeight="1">
      <c r="A20" s="343" t="s">
        <v>1006</v>
      </c>
    </row>
    <row r="21" ht="12.75" customHeight="1"/>
    <row r="22" ht="12.75" customHeight="1">
      <c r="H22" s="47"/>
    </row>
    <row r="23" ht="12.75" customHeight="1">
      <c r="H23" s="47"/>
    </row>
    <row r="24" ht="12.75" customHeight="1">
      <c r="H24" s="47"/>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c r="A35" s="343" t="s">
        <v>1007</v>
      </c>
    </row>
    <row r="36" ht="12.75" customHeight="1"/>
    <row r="37" ht="12.75" customHeight="1"/>
    <row r="38" ht="15.75" customHeight="1">
      <c r="A38" s="92" t="s">
        <v>606</v>
      </c>
    </row>
    <row r="39" ht="12.75" customHeight="1">
      <c r="A39" s="56" t="s">
        <v>261</v>
      </c>
      <c r="B39" s="156" t="s">
        <v>1008</v>
      </c>
    </row>
    <row r="40" ht="12.75" customHeight="1"/>
    <row r="41" ht="12.75" customHeight="1"/>
    <row r="42" ht="12.75" customHeight="1">
      <c r="A42" s="56" t="s">
        <v>262</v>
      </c>
      <c r="B42" s="156" t="s">
        <v>1009</v>
      </c>
    </row>
    <row r="43" ht="12.75" customHeight="1"/>
    <row r="44" ht="12.75" customHeight="1">
      <c r="A44" s="56" t="s">
        <v>263</v>
      </c>
      <c r="B44" s="156" t="s">
        <v>1010</v>
      </c>
    </row>
    <row r="45" ht="12.75" customHeight="1"/>
    <row r="46" ht="15.0" customHeight="1">
      <c r="A46" s="56" t="s">
        <v>1011</v>
      </c>
      <c r="B46" s="156" t="s">
        <v>324</v>
      </c>
    </row>
    <row r="47" ht="12.75" customHeight="1"/>
    <row r="48" ht="12.75" customHeight="1">
      <c r="A48" s="56" t="s">
        <v>1012</v>
      </c>
      <c r="B48" s="156" t="s">
        <v>1013</v>
      </c>
    </row>
    <row r="49" ht="12.75" customHeight="1"/>
    <row r="50" ht="12.75" customHeight="1"/>
    <row r="51" ht="12.75" customHeight="1"/>
    <row r="52" ht="12.75" customHeight="1"/>
    <row r="53" ht="12.75" customHeight="1"/>
    <row r="54" ht="12.75" customHeight="1"/>
    <row r="55" ht="12.75" customHeight="1"/>
    <row r="56" ht="12.75" customHeight="1"/>
    <row r="57" ht="15.0" customHeight="1">
      <c r="A57" s="56" t="s">
        <v>1014</v>
      </c>
      <c r="B57" s="156" t="s">
        <v>1015</v>
      </c>
    </row>
    <row r="58" ht="12.75" customHeight="1"/>
    <row r="59" ht="12.75" customHeight="1"/>
    <row r="60" ht="12.75" customHeight="1"/>
    <row r="61" ht="15.0" customHeight="1">
      <c r="A61" s="56" t="s">
        <v>1016</v>
      </c>
      <c r="B61" s="156" t="s">
        <v>1013</v>
      </c>
    </row>
    <row r="62" ht="12.75" customHeight="1"/>
    <row r="63" ht="12.75" customHeight="1"/>
    <row r="64" ht="12.75" customHeight="1"/>
    <row r="65" ht="12.75" customHeight="1"/>
    <row r="66" ht="12.75" customHeight="1"/>
    <row r="67" ht="12.75" customHeight="1"/>
    <row r="68" ht="12.75" customHeight="1"/>
    <row r="69" ht="12.75" customHeight="1"/>
    <row r="70" ht="15.0" customHeight="1">
      <c r="A70" s="56" t="s">
        <v>1017</v>
      </c>
      <c r="B70" s="156" t="s">
        <v>1018</v>
      </c>
    </row>
    <row r="71" ht="12.75" customHeight="1"/>
    <row r="72" ht="12.75" customHeight="1"/>
    <row r="73" ht="12.75" customHeight="1"/>
    <row r="74" ht="15.75" customHeight="1">
      <c r="A74" s="25" t="s">
        <v>1019</v>
      </c>
      <c r="B74" s="156" t="s">
        <v>1013</v>
      </c>
    </row>
    <row r="75" ht="12.75" customHeight="1"/>
    <row r="76" ht="12.75" customHeight="1"/>
    <row r="77" ht="12.75" customHeight="1"/>
    <row r="78" ht="12.75" customHeight="1"/>
    <row r="79" ht="12.75" customHeight="1"/>
    <row r="80" ht="12.75" customHeight="1"/>
    <row r="81" ht="12.75" customHeight="1"/>
    <row r="82" ht="12.75" customHeight="1"/>
    <row r="83" ht="15.75" customHeight="1">
      <c r="A83" s="25" t="s">
        <v>1020</v>
      </c>
      <c r="B83" s="156" t="s">
        <v>1021</v>
      </c>
    </row>
    <row r="84" ht="12.75" customHeight="1"/>
    <row r="85" ht="12.75" customHeight="1"/>
    <row r="86" ht="12.75" customHeight="1"/>
    <row r="87" ht="12.75" customHeight="1">
      <c r="B87" s="156"/>
      <c r="C87" s="156"/>
      <c r="D87" s="156"/>
      <c r="E87" s="156"/>
      <c r="F87" s="156"/>
      <c r="G87" s="156"/>
      <c r="H87" s="156"/>
    </row>
    <row r="88" ht="12.75" customHeight="1">
      <c r="A88" s="111" t="s">
        <v>253</v>
      </c>
      <c r="B88" s="56" t="s">
        <v>335</v>
      </c>
    </row>
    <row r="89" ht="12.75" customHeight="1">
      <c r="A89" s="111" t="s">
        <v>960</v>
      </c>
      <c r="B89" s="56" t="s">
        <v>335</v>
      </c>
    </row>
    <row r="90" ht="12.75" customHeight="1">
      <c r="A90" s="111" t="s">
        <v>465</v>
      </c>
      <c r="B90" s="56" t="s">
        <v>335</v>
      </c>
    </row>
    <row r="91" ht="15.0" customHeight="1">
      <c r="A91" s="111" t="s">
        <v>1022</v>
      </c>
      <c r="B91" s="56" t="s">
        <v>335</v>
      </c>
    </row>
    <row r="92" ht="12.75" customHeight="1">
      <c r="A92" s="25" t="s">
        <v>990</v>
      </c>
      <c r="B92" s="56" t="s">
        <v>338</v>
      </c>
    </row>
    <row r="93" ht="12.75" customHeight="1">
      <c r="A93" s="25" t="s">
        <v>1023</v>
      </c>
      <c r="B93" s="25" t="s">
        <v>1024</v>
      </c>
    </row>
    <row r="94" ht="12.75" customHeight="1">
      <c r="A94" s="111" t="s">
        <v>954</v>
      </c>
      <c r="B94" s="83" t="s">
        <v>335</v>
      </c>
    </row>
    <row r="95" ht="12.75" customHeight="1">
      <c r="A95" s="25"/>
      <c r="B95" s="25"/>
    </row>
    <row r="96" ht="12.75" customHeight="1">
      <c r="A96" s="25"/>
      <c r="B96" s="25"/>
    </row>
    <row r="97" ht="12.75" customHeight="1">
      <c r="A97" s="25"/>
    </row>
    <row r="98" ht="15.75" customHeight="1">
      <c r="A98" s="92" t="s">
        <v>1025</v>
      </c>
    </row>
    <row r="99" ht="12.75" customHeight="1">
      <c r="A99" s="55" t="s">
        <v>1026</v>
      </c>
      <c r="B99" s="157" t="s">
        <v>1027</v>
      </c>
      <c r="C99" s="158"/>
      <c r="D99" s="158"/>
      <c r="E99" s="158"/>
      <c r="F99" s="158"/>
      <c r="G99" s="158"/>
      <c r="H99" s="159"/>
      <c r="I99" s="25" t="s">
        <v>1028</v>
      </c>
      <c r="J99" s="25"/>
      <c r="K99" s="25"/>
      <c r="L99" s="25"/>
      <c r="M99" s="25"/>
      <c r="N99" s="25"/>
      <c r="O99" s="25"/>
      <c r="P99" s="25"/>
      <c r="Q99" s="25"/>
      <c r="R99" s="25"/>
      <c r="S99" s="25"/>
      <c r="T99" s="25"/>
      <c r="U99" s="25"/>
      <c r="V99" s="25"/>
      <c r="W99" s="25"/>
      <c r="X99" s="25"/>
      <c r="Y99" s="25"/>
      <c r="Z99" s="25"/>
    </row>
    <row r="100" ht="25.5" customHeight="1">
      <c r="A100" s="55"/>
      <c r="B100" s="160"/>
      <c r="C100" s="7"/>
      <c r="D100" s="7"/>
      <c r="E100" s="7"/>
      <c r="F100" s="7"/>
      <c r="G100" s="7"/>
      <c r="H100" s="8"/>
      <c r="I100" s="25" t="s">
        <v>1029</v>
      </c>
      <c r="J100" s="25"/>
      <c r="K100" s="25"/>
      <c r="L100" s="25"/>
      <c r="M100" s="25"/>
      <c r="N100" s="25"/>
      <c r="O100" s="25"/>
      <c r="P100" s="25"/>
      <c r="Q100" s="25"/>
      <c r="R100" s="25"/>
      <c r="S100" s="25"/>
      <c r="T100" s="25"/>
      <c r="U100" s="25"/>
      <c r="V100" s="25"/>
      <c r="W100" s="25"/>
      <c r="X100" s="25"/>
      <c r="Y100" s="25"/>
      <c r="Z100" s="25"/>
    </row>
    <row r="101" ht="12.75" customHeight="1">
      <c r="A101" s="59" t="s">
        <v>815</v>
      </c>
      <c r="B101" s="344" t="s">
        <v>1030</v>
      </c>
      <c r="C101" s="158"/>
      <c r="D101" s="158"/>
      <c r="E101" s="158"/>
      <c r="F101" s="158"/>
      <c r="G101" s="158"/>
      <c r="H101" s="159"/>
      <c r="I101" s="25"/>
      <c r="J101" s="25"/>
      <c r="K101" s="25"/>
      <c r="L101" s="25"/>
      <c r="M101" s="25"/>
      <c r="N101" s="25"/>
      <c r="O101" s="25"/>
      <c r="P101" s="25"/>
      <c r="Q101" s="25"/>
      <c r="R101" s="25"/>
      <c r="S101" s="25"/>
      <c r="T101" s="25"/>
      <c r="U101" s="25"/>
      <c r="V101" s="25"/>
      <c r="W101" s="25"/>
      <c r="X101" s="25"/>
      <c r="Y101" s="25"/>
      <c r="Z101" s="25"/>
    </row>
    <row r="102" ht="27.0" customHeight="1">
      <c r="A102" s="59"/>
      <c r="B102" s="160"/>
      <c r="C102" s="7"/>
      <c r="D102" s="7"/>
      <c r="E102" s="7"/>
      <c r="F102" s="7"/>
      <c r="G102" s="7"/>
      <c r="H102" s="8"/>
      <c r="I102" s="25"/>
      <c r="J102" s="25"/>
      <c r="K102" s="25"/>
      <c r="L102" s="25"/>
      <c r="M102" s="25"/>
      <c r="N102" s="25"/>
      <c r="O102" s="25"/>
      <c r="P102" s="25"/>
      <c r="Q102" s="25"/>
      <c r="R102" s="25"/>
      <c r="S102" s="25"/>
      <c r="T102" s="25"/>
      <c r="U102" s="25"/>
      <c r="V102" s="25"/>
      <c r="W102" s="25"/>
      <c r="X102" s="25"/>
      <c r="Y102" s="25"/>
      <c r="Z102" s="25"/>
    </row>
    <row r="103" ht="12.75" customHeight="1">
      <c r="A103" s="25" t="s">
        <v>816</v>
      </c>
      <c r="B103" s="56" t="s">
        <v>338</v>
      </c>
    </row>
    <row r="104" ht="12.75" customHeight="1">
      <c r="A104" s="25" t="s">
        <v>470</v>
      </c>
      <c r="B104" s="56" t="s">
        <v>338</v>
      </c>
    </row>
    <row r="105" ht="15.0" customHeight="1">
      <c r="A105" s="25" t="s">
        <v>1031</v>
      </c>
      <c r="B105" s="56" t="s">
        <v>338</v>
      </c>
    </row>
    <row r="106" ht="12.75" customHeight="1">
      <c r="A106" s="57" t="s">
        <v>447</v>
      </c>
      <c r="B106" s="227" t="s">
        <v>1032</v>
      </c>
      <c r="C106" s="158"/>
      <c r="D106" s="158"/>
      <c r="E106" s="158"/>
      <c r="F106" s="158"/>
      <c r="G106" s="158"/>
      <c r="H106" s="159"/>
      <c r="I106" s="25"/>
      <c r="J106" s="25"/>
      <c r="K106" s="25"/>
      <c r="L106" s="25"/>
      <c r="M106" s="25"/>
      <c r="N106" s="25"/>
      <c r="O106" s="25"/>
      <c r="P106" s="25"/>
      <c r="Q106" s="25"/>
      <c r="R106" s="25"/>
      <c r="S106" s="25"/>
      <c r="T106" s="25"/>
      <c r="U106" s="25"/>
      <c r="V106" s="25"/>
      <c r="W106" s="25"/>
      <c r="X106" s="25"/>
      <c r="Y106" s="25"/>
      <c r="Z106" s="25"/>
    </row>
    <row r="107" ht="12.75" customHeight="1">
      <c r="A107" s="57"/>
      <c r="B107" s="229"/>
      <c r="H107" s="5"/>
      <c r="I107" s="25"/>
      <c r="J107" s="25"/>
      <c r="K107" s="25"/>
      <c r="L107" s="25"/>
      <c r="M107" s="25"/>
      <c r="N107" s="25"/>
      <c r="O107" s="25"/>
      <c r="P107" s="25"/>
      <c r="Q107" s="25"/>
      <c r="R107" s="25"/>
      <c r="S107" s="25"/>
      <c r="T107" s="25"/>
      <c r="U107" s="25"/>
      <c r="V107" s="25"/>
      <c r="W107" s="25"/>
      <c r="X107" s="25"/>
      <c r="Y107" s="25"/>
      <c r="Z107" s="25"/>
    </row>
    <row r="108" ht="12.75" customHeight="1">
      <c r="A108" s="57"/>
      <c r="B108" s="160"/>
      <c r="C108" s="7"/>
      <c r="D108" s="7"/>
      <c r="E108" s="7"/>
      <c r="F108" s="7"/>
      <c r="G108" s="7"/>
      <c r="H108" s="8"/>
      <c r="I108" s="25"/>
      <c r="J108" s="25"/>
      <c r="K108" s="25"/>
      <c r="L108" s="25"/>
      <c r="M108" s="25"/>
      <c r="N108" s="25"/>
      <c r="O108" s="25"/>
      <c r="P108" s="25"/>
      <c r="Q108" s="25"/>
      <c r="R108" s="25"/>
      <c r="S108" s="25"/>
      <c r="T108" s="25"/>
      <c r="U108" s="25"/>
      <c r="V108" s="25"/>
      <c r="W108" s="25"/>
      <c r="X108" s="25"/>
      <c r="Y108" s="25"/>
      <c r="Z108" s="25"/>
    </row>
    <row r="109" ht="12.75" customHeight="1">
      <c r="A109" s="56" t="s">
        <v>448</v>
      </c>
      <c r="B109" s="56" t="s">
        <v>338</v>
      </c>
    </row>
    <row r="110" ht="12.75" customHeight="1"/>
    <row r="111" ht="15.75" customHeight="1">
      <c r="A111" s="92" t="s">
        <v>823</v>
      </c>
    </row>
    <row r="112" ht="12.75" customHeight="1">
      <c r="A112" s="55" t="s">
        <v>1033</v>
      </c>
      <c r="B112" s="157" t="s">
        <v>1027</v>
      </c>
      <c r="C112" s="158"/>
      <c r="D112" s="158"/>
      <c r="E112" s="158"/>
      <c r="F112" s="158"/>
      <c r="G112" s="158"/>
      <c r="H112" s="159"/>
      <c r="I112" s="25"/>
      <c r="J112" s="25"/>
      <c r="K112" s="25"/>
      <c r="L112" s="25"/>
      <c r="M112" s="25"/>
      <c r="N112" s="25"/>
      <c r="O112" s="25"/>
      <c r="P112" s="25"/>
      <c r="Q112" s="25"/>
      <c r="R112" s="25"/>
      <c r="S112" s="25"/>
      <c r="T112" s="25"/>
      <c r="U112" s="25"/>
      <c r="V112" s="25"/>
      <c r="W112" s="25"/>
      <c r="X112" s="25"/>
      <c r="Y112" s="25"/>
      <c r="Z112" s="25"/>
    </row>
    <row r="113" ht="25.5" customHeight="1">
      <c r="A113" s="55"/>
      <c r="B113" s="160"/>
      <c r="C113" s="7"/>
      <c r="D113" s="7"/>
      <c r="E113" s="7"/>
      <c r="F113" s="7"/>
      <c r="G113" s="7"/>
      <c r="H113" s="8"/>
      <c r="I113" s="25"/>
      <c r="J113" s="25"/>
      <c r="K113" s="25"/>
      <c r="L113" s="25"/>
      <c r="M113" s="25"/>
      <c r="N113" s="25"/>
      <c r="O113" s="25"/>
      <c r="P113" s="25"/>
      <c r="Q113" s="25"/>
      <c r="R113" s="25"/>
      <c r="S113" s="25"/>
      <c r="T113" s="25"/>
      <c r="U113" s="25"/>
      <c r="V113" s="25"/>
      <c r="W113" s="25"/>
      <c r="X113" s="25"/>
      <c r="Y113" s="25"/>
      <c r="Z113" s="25"/>
    </row>
    <row r="114" ht="12.75" customHeight="1">
      <c r="A114" s="345" t="s">
        <v>1034</v>
      </c>
      <c r="B114" s="12" t="s">
        <v>1035</v>
      </c>
      <c r="I114" s="25"/>
      <c r="J114" s="25"/>
      <c r="K114" s="25"/>
      <c r="L114" s="25"/>
      <c r="M114" s="25"/>
      <c r="N114" s="25"/>
      <c r="O114" s="25"/>
      <c r="P114" s="25"/>
      <c r="Q114" s="25"/>
      <c r="R114" s="25"/>
      <c r="S114" s="25"/>
      <c r="T114" s="25"/>
      <c r="U114" s="25"/>
      <c r="V114" s="25"/>
      <c r="W114" s="25"/>
      <c r="X114" s="25"/>
      <c r="Y114" s="25"/>
      <c r="Z114" s="25"/>
    </row>
    <row r="115" ht="12.75" customHeight="1">
      <c r="I115" s="25"/>
      <c r="J115" s="25"/>
      <c r="K115" s="25"/>
      <c r="L115" s="25"/>
      <c r="M115" s="25"/>
      <c r="N115" s="25"/>
      <c r="O115" s="25"/>
      <c r="P115" s="25"/>
      <c r="Q115" s="25"/>
      <c r="R115" s="25"/>
      <c r="S115" s="25"/>
      <c r="T115" s="25"/>
      <c r="U115" s="25"/>
      <c r="V115" s="25"/>
      <c r="W115" s="25"/>
      <c r="X115" s="25"/>
      <c r="Y115" s="25"/>
      <c r="Z115" s="25"/>
    </row>
    <row r="116" ht="12.75" customHeight="1">
      <c r="A116" s="57" t="s">
        <v>827</v>
      </c>
      <c r="B116" s="346" t="s">
        <v>1036</v>
      </c>
      <c r="C116" s="90"/>
      <c r="D116" s="90"/>
      <c r="E116" s="90"/>
      <c r="F116" s="90"/>
      <c r="G116" s="90"/>
      <c r="H116" s="91"/>
      <c r="I116" s="25"/>
      <c r="J116" s="25"/>
      <c r="K116" s="25"/>
      <c r="L116" s="25"/>
      <c r="M116" s="25"/>
      <c r="N116" s="25"/>
      <c r="O116" s="25"/>
      <c r="P116" s="25"/>
      <c r="Q116" s="25"/>
      <c r="R116" s="25"/>
      <c r="S116" s="25"/>
      <c r="T116" s="25"/>
      <c r="U116" s="25"/>
      <c r="V116" s="25"/>
      <c r="W116" s="25"/>
      <c r="X116" s="25"/>
      <c r="Y116" s="25"/>
      <c r="Z116" s="25"/>
    </row>
    <row r="117" ht="12.75" customHeight="1">
      <c r="A117" s="57" t="s">
        <v>828</v>
      </c>
      <c r="B117" s="346" t="s">
        <v>1036</v>
      </c>
      <c r="C117" s="90"/>
      <c r="D117" s="90"/>
      <c r="E117" s="90"/>
      <c r="F117" s="90"/>
      <c r="G117" s="90"/>
      <c r="H117" s="91"/>
      <c r="I117" s="25"/>
      <c r="J117" s="25"/>
      <c r="K117" s="25"/>
      <c r="L117" s="25"/>
      <c r="M117" s="25"/>
      <c r="N117" s="25"/>
      <c r="O117" s="25"/>
      <c r="P117" s="25"/>
      <c r="Q117" s="25"/>
      <c r="R117" s="25"/>
      <c r="S117" s="25"/>
      <c r="T117" s="25"/>
      <c r="U117" s="25"/>
      <c r="V117" s="25"/>
      <c r="W117" s="25"/>
      <c r="X117" s="25"/>
      <c r="Y117" s="25"/>
      <c r="Z117" s="25"/>
    </row>
    <row r="118" ht="12.75" customHeight="1">
      <c r="A118" s="57" t="s">
        <v>829</v>
      </c>
      <c r="B118" s="346" t="s">
        <v>1036</v>
      </c>
      <c r="C118" s="90"/>
      <c r="D118" s="90"/>
      <c r="E118" s="90"/>
      <c r="F118" s="90"/>
      <c r="G118" s="90"/>
      <c r="H118" s="91"/>
      <c r="I118" s="25"/>
      <c r="J118" s="25"/>
      <c r="K118" s="25"/>
      <c r="L118" s="25"/>
      <c r="M118" s="25"/>
      <c r="N118" s="25"/>
      <c r="O118" s="25"/>
      <c r="P118" s="25"/>
      <c r="Q118" s="25"/>
      <c r="R118" s="25"/>
      <c r="S118" s="25"/>
      <c r="T118" s="25"/>
      <c r="U118" s="25"/>
      <c r="V118" s="25"/>
      <c r="W118" s="25"/>
      <c r="X118" s="25"/>
      <c r="Y118" s="25"/>
      <c r="Z118" s="25"/>
    </row>
    <row r="119" ht="12.75" customHeight="1">
      <c r="A119" s="25" t="s">
        <v>830</v>
      </c>
      <c r="B119" s="156" t="s">
        <v>1037</v>
      </c>
      <c r="I119" s="25"/>
      <c r="J119" s="25"/>
      <c r="K119" s="25"/>
      <c r="L119" s="25"/>
      <c r="M119" s="25"/>
      <c r="N119" s="25"/>
      <c r="O119" s="25"/>
      <c r="P119" s="25"/>
      <c r="Q119" s="25"/>
      <c r="R119" s="25"/>
      <c r="S119" s="25"/>
      <c r="T119" s="25"/>
      <c r="U119" s="25"/>
      <c r="V119" s="25"/>
      <c r="W119" s="25"/>
      <c r="X119" s="25"/>
      <c r="Y119" s="25"/>
      <c r="Z119" s="25"/>
    </row>
    <row r="120" ht="12.75" customHeight="1">
      <c r="A120" s="25"/>
      <c r="I120" s="25"/>
      <c r="J120" s="25"/>
      <c r="K120" s="25"/>
      <c r="L120" s="25"/>
      <c r="M120" s="25"/>
      <c r="N120" s="25"/>
      <c r="O120" s="25"/>
      <c r="P120" s="25"/>
      <c r="Q120" s="25"/>
      <c r="R120" s="25"/>
      <c r="S120" s="25"/>
      <c r="T120" s="25"/>
      <c r="U120" s="25"/>
      <c r="V120" s="25"/>
      <c r="W120" s="25"/>
      <c r="X120" s="25"/>
      <c r="Y120" s="25"/>
      <c r="Z120" s="25"/>
    </row>
    <row r="121" ht="12.75" customHeight="1">
      <c r="A121" s="25" t="s">
        <v>831</v>
      </c>
      <c r="B121" s="56" t="s">
        <v>338</v>
      </c>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2.75" customHeight="1">
      <c r="A122" s="57" t="s">
        <v>832</v>
      </c>
      <c r="B122" s="57" t="s">
        <v>1036</v>
      </c>
      <c r="C122" s="57"/>
      <c r="D122" s="57"/>
      <c r="E122" s="57"/>
      <c r="F122" s="57"/>
      <c r="G122" s="57"/>
      <c r="H122" s="57"/>
      <c r="I122" s="25"/>
      <c r="J122" s="25"/>
      <c r="K122" s="25"/>
      <c r="L122" s="25"/>
      <c r="M122" s="25"/>
      <c r="N122" s="25"/>
      <c r="O122" s="25"/>
      <c r="P122" s="25"/>
      <c r="Q122" s="25"/>
      <c r="R122" s="25"/>
      <c r="S122" s="25"/>
      <c r="T122" s="25"/>
      <c r="U122" s="25"/>
      <c r="V122" s="25"/>
      <c r="W122" s="25"/>
      <c r="X122" s="25"/>
      <c r="Y122" s="25"/>
      <c r="Z122" s="25"/>
    </row>
    <row r="123" ht="12.75" customHeight="1">
      <c r="A123" s="25" t="s">
        <v>1038</v>
      </c>
      <c r="B123" s="56" t="s">
        <v>338</v>
      </c>
    </row>
    <row r="124" ht="12.75" customHeight="1">
      <c r="A124" s="25" t="s">
        <v>470</v>
      </c>
      <c r="B124" s="56" t="s">
        <v>338</v>
      </c>
    </row>
    <row r="125" ht="15.0" customHeight="1">
      <c r="A125" s="25" t="s">
        <v>1039</v>
      </c>
      <c r="B125" s="56" t="s">
        <v>338</v>
      </c>
    </row>
    <row r="126" ht="12.75" customHeight="1">
      <c r="A126" s="47"/>
    </row>
    <row r="127" ht="15.75" customHeight="1">
      <c r="A127" s="92" t="s">
        <v>841</v>
      </c>
    </row>
    <row r="128" ht="12.75" customHeight="1">
      <c r="A128" s="47"/>
    </row>
    <row r="129" ht="12.75" customHeight="1">
      <c r="A129" s="65" t="s">
        <v>195</v>
      </c>
      <c r="B129" s="65" t="s">
        <v>164</v>
      </c>
    </row>
    <row r="130" ht="12.75" customHeight="1">
      <c r="A130" s="55" t="s">
        <v>1040</v>
      </c>
      <c r="B130" s="157" t="s">
        <v>1027</v>
      </c>
      <c r="C130" s="158"/>
      <c r="D130" s="158"/>
      <c r="E130" s="158"/>
      <c r="F130" s="158"/>
      <c r="G130" s="158"/>
      <c r="H130" s="159"/>
      <c r="I130" s="25"/>
      <c r="J130" s="25"/>
      <c r="K130" s="25"/>
      <c r="L130" s="25"/>
      <c r="M130" s="25"/>
      <c r="N130" s="25"/>
      <c r="O130" s="25"/>
      <c r="P130" s="25"/>
      <c r="Q130" s="25"/>
      <c r="R130" s="25"/>
      <c r="S130" s="25"/>
      <c r="T130" s="25"/>
      <c r="U130" s="25"/>
      <c r="V130" s="25"/>
      <c r="W130" s="25"/>
      <c r="X130" s="25"/>
      <c r="Y130" s="25"/>
      <c r="Z130" s="25"/>
    </row>
    <row r="131" ht="26.25" customHeight="1">
      <c r="A131" s="55"/>
      <c r="B131" s="160"/>
      <c r="C131" s="7"/>
      <c r="D131" s="7"/>
      <c r="E131" s="7"/>
      <c r="F131" s="7"/>
      <c r="G131" s="7"/>
      <c r="H131" s="8"/>
      <c r="I131" s="25"/>
      <c r="J131" s="25"/>
      <c r="K131" s="25"/>
      <c r="L131" s="25"/>
      <c r="M131" s="25"/>
      <c r="N131" s="25"/>
      <c r="O131" s="25"/>
      <c r="P131" s="25"/>
      <c r="Q131" s="25"/>
      <c r="R131" s="25"/>
      <c r="S131" s="25"/>
      <c r="T131" s="25"/>
      <c r="U131" s="25"/>
      <c r="V131" s="25"/>
      <c r="W131" s="25"/>
      <c r="X131" s="25"/>
      <c r="Y131" s="25"/>
      <c r="Z131" s="25"/>
    </row>
    <row r="132" ht="12.75" customHeight="1">
      <c r="A132" s="57" t="s">
        <v>843</v>
      </c>
      <c r="B132" s="346" t="s">
        <v>1041</v>
      </c>
      <c r="C132" s="91"/>
      <c r="D132" s="57"/>
      <c r="E132" s="57"/>
      <c r="F132" s="57"/>
      <c r="G132" s="57"/>
      <c r="H132" s="57"/>
      <c r="I132" s="25"/>
      <c r="J132" s="25"/>
      <c r="K132" s="25"/>
      <c r="L132" s="25"/>
      <c r="M132" s="25"/>
      <c r="N132" s="25"/>
      <c r="O132" s="25"/>
      <c r="P132" s="25"/>
      <c r="Q132" s="25"/>
      <c r="R132" s="25"/>
      <c r="S132" s="25"/>
      <c r="T132" s="25"/>
      <c r="U132" s="25"/>
      <c r="V132" s="25"/>
      <c r="W132" s="25"/>
      <c r="X132" s="25"/>
      <c r="Y132" s="25"/>
      <c r="Z132" s="25"/>
    </row>
    <row r="133" ht="12.75" customHeight="1">
      <c r="A133" s="57" t="s">
        <v>844</v>
      </c>
      <c r="B133" s="346" t="s">
        <v>1041</v>
      </c>
      <c r="C133" s="91"/>
      <c r="D133" s="57"/>
      <c r="E133" s="57"/>
      <c r="F133" s="57"/>
      <c r="G133" s="57"/>
      <c r="H133" s="57"/>
      <c r="I133" s="25"/>
      <c r="J133" s="25"/>
      <c r="K133" s="25"/>
      <c r="L133" s="25"/>
      <c r="M133" s="25"/>
      <c r="N133" s="25"/>
      <c r="O133" s="25"/>
      <c r="P133" s="25"/>
      <c r="Q133" s="25"/>
      <c r="R133" s="25"/>
      <c r="S133" s="25"/>
      <c r="T133" s="25"/>
      <c r="U133" s="25"/>
      <c r="V133" s="25"/>
      <c r="W133" s="25"/>
      <c r="X133" s="25"/>
      <c r="Y133" s="25"/>
      <c r="Z133" s="25"/>
    </row>
    <row r="134" ht="12.75" customHeight="1">
      <c r="A134" s="57" t="s">
        <v>845</v>
      </c>
      <c r="B134" s="346" t="s">
        <v>1041</v>
      </c>
      <c r="C134" s="91"/>
      <c r="D134" s="57"/>
      <c r="E134" s="57"/>
      <c r="F134" s="57"/>
      <c r="G134" s="57"/>
      <c r="H134" s="57"/>
      <c r="I134" s="25"/>
      <c r="J134" s="25"/>
      <c r="K134" s="25"/>
      <c r="L134" s="25"/>
      <c r="M134" s="25"/>
      <c r="N134" s="25"/>
      <c r="O134" s="25"/>
      <c r="P134" s="25"/>
      <c r="Q134" s="25"/>
      <c r="R134" s="25"/>
      <c r="S134" s="25"/>
      <c r="T134" s="25"/>
      <c r="U134" s="25"/>
      <c r="V134" s="25"/>
      <c r="W134" s="25"/>
      <c r="X134" s="25"/>
      <c r="Y134" s="25"/>
      <c r="Z134" s="25"/>
    </row>
    <row r="135" ht="12.75" customHeight="1">
      <c r="A135" s="57" t="s">
        <v>846</v>
      </c>
      <c r="B135" s="346" t="s">
        <v>1041</v>
      </c>
      <c r="C135" s="91"/>
      <c r="D135" s="57"/>
      <c r="E135" s="57"/>
      <c r="F135" s="57"/>
      <c r="G135" s="57"/>
      <c r="H135" s="57"/>
      <c r="I135" s="25"/>
      <c r="J135" s="25"/>
      <c r="K135" s="25"/>
      <c r="L135" s="25"/>
      <c r="M135" s="25"/>
      <c r="N135" s="25"/>
      <c r="O135" s="25"/>
      <c r="P135" s="25"/>
      <c r="Q135" s="25"/>
      <c r="R135" s="25"/>
      <c r="S135" s="25"/>
      <c r="T135" s="25"/>
      <c r="U135" s="25"/>
      <c r="V135" s="25"/>
      <c r="W135" s="25"/>
      <c r="X135" s="25"/>
      <c r="Y135" s="25"/>
      <c r="Z135" s="25"/>
    </row>
    <row r="136" ht="12.75" customHeight="1">
      <c r="A136" s="25" t="s">
        <v>989</v>
      </c>
      <c r="B136" s="156" t="s">
        <v>1042</v>
      </c>
    </row>
    <row r="137" ht="12.75" customHeight="1"/>
    <row r="138" ht="12.75" customHeight="1">
      <c r="A138" s="65" t="s">
        <v>847</v>
      </c>
      <c r="B138" s="25"/>
    </row>
    <row r="139" ht="12.75" customHeight="1">
      <c r="A139" s="25" t="s">
        <v>984</v>
      </c>
      <c r="B139" s="156" t="s">
        <v>1043</v>
      </c>
    </row>
    <row r="140" ht="12.75" customHeight="1">
      <c r="A140" s="25"/>
    </row>
    <row r="141" ht="12.75" customHeight="1">
      <c r="A141" s="25" t="s">
        <v>985</v>
      </c>
      <c r="B141" s="156" t="s">
        <v>1043</v>
      </c>
    </row>
    <row r="142" ht="12.75" customHeight="1">
      <c r="A142" s="25"/>
    </row>
    <row r="143" ht="12.75" customHeight="1">
      <c r="A143" s="25" t="s">
        <v>986</v>
      </c>
      <c r="B143" s="156" t="s">
        <v>1043</v>
      </c>
    </row>
    <row r="144" ht="12.75" customHeight="1">
      <c r="A144" s="25"/>
    </row>
    <row r="145" ht="12.75" customHeight="1">
      <c r="A145" s="25" t="s">
        <v>987</v>
      </c>
      <c r="B145" s="156" t="s">
        <v>1044</v>
      </c>
    </row>
    <row r="146" ht="12.75" customHeight="1">
      <c r="A146" s="25"/>
    </row>
    <row r="147" ht="12.75" customHeight="1">
      <c r="A147" s="25" t="s">
        <v>988</v>
      </c>
      <c r="B147" s="25" t="s">
        <v>1045</v>
      </c>
    </row>
    <row r="148" ht="12.75" customHeight="1">
      <c r="A148" s="25" t="s">
        <v>848</v>
      </c>
      <c r="B148" s="56" t="s">
        <v>338</v>
      </c>
    </row>
    <row r="149" ht="12.75" customHeight="1">
      <c r="A149" s="25" t="s">
        <v>849</v>
      </c>
      <c r="B149" s="56" t="s">
        <v>338</v>
      </c>
    </row>
    <row r="150" ht="12.75" customHeight="1">
      <c r="A150" s="25" t="s">
        <v>850</v>
      </c>
      <c r="B150" s="56" t="s">
        <v>338</v>
      </c>
    </row>
    <row r="151" ht="12.75" customHeight="1">
      <c r="A151" s="25" t="s">
        <v>851</v>
      </c>
      <c r="B151" s="56" t="s">
        <v>338</v>
      </c>
    </row>
    <row r="152" ht="12.75" customHeight="1">
      <c r="A152" s="25" t="s">
        <v>852</v>
      </c>
      <c r="B152" s="56" t="s">
        <v>338</v>
      </c>
    </row>
    <row r="153" ht="12.75" customHeight="1">
      <c r="A153" s="25" t="s">
        <v>476</v>
      </c>
      <c r="B153" s="56" t="s">
        <v>338</v>
      </c>
    </row>
    <row r="154" ht="15.0" customHeight="1">
      <c r="A154" s="25" t="s">
        <v>1046</v>
      </c>
      <c r="B154" s="56" t="s">
        <v>338</v>
      </c>
    </row>
    <row r="155" ht="12.75" customHeight="1">
      <c r="A155" s="56" t="s">
        <v>448</v>
      </c>
      <c r="B155" s="56" t="s">
        <v>338</v>
      </c>
    </row>
    <row r="156" ht="12.75" customHeight="1">
      <c r="A156" s="47"/>
    </row>
    <row r="157" ht="15.75" customHeight="1">
      <c r="A157" s="92" t="s">
        <v>859</v>
      </c>
    </row>
    <row r="158" ht="12.75" customHeight="1">
      <c r="A158" s="55" t="s">
        <v>1047</v>
      </c>
      <c r="B158" s="157" t="s">
        <v>1048</v>
      </c>
      <c r="C158" s="158"/>
      <c r="D158" s="158"/>
      <c r="E158" s="158"/>
      <c r="F158" s="158"/>
      <c r="G158" s="158"/>
      <c r="H158" s="159"/>
      <c r="I158" s="25"/>
      <c r="J158" s="25"/>
      <c r="K158" s="25"/>
      <c r="L158" s="25"/>
      <c r="M158" s="25"/>
      <c r="N158" s="25"/>
      <c r="O158" s="25"/>
      <c r="P158" s="25"/>
      <c r="Q158" s="25"/>
      <c r="R158" s="25"/>
      <c r="S158" s="25"/>
      <c r="T158" s="25"/>
      <c r="U158" s="25"/>
      <c r="V158" s="25"/>
      <c r="W158" s="25"/>
      <c r="X158" s="25"/>
      <c r="Y158" s="25"/>
      <c r="Z158" s="25"/>
    </row>
    <row r="159" ht="25.5" customHeight="1">
      <c r="A159" s="55"/>
      <c r="B159" s="160"/>
      <c r="C159" s="7"/>
      <c r="D159" s="7"/>
      <c r="E159" s="7"/>
      <c r="F159" s="7"/>
      <c r="G159" s="7"/>
      <c r="H159" s="8"/>
      <c r="I159" s="25"/>
      <c r="J159" s="25"/>
      <c r="K159" s="25"/>
      <c r="L159" s="25"/>
      <c r="M159" s="25"/>
      <c r="N159" s="25"/>
      <c r="O159" s="25"/>
      <c r="P159" s="25"/>
      <c r="Q159" s="25"/>
      <c r="R159" s="25"/>
      <c r="S159" s="25"/>
      <c r="T159" s="25"/>
      <c r="U159" s="25"/>
      <c r="V159" s="25"/>
      <c r="W159" s="25"/>
      <c r="X159" s="25"/>
      <c r="Y159" s="25"/>
      <c r="Z159" s="25"/>
    </row>
    <row r="160" ht="12.75" customHeight="1">
      <c r="A160" s="55" t="s">
        <v>1049</v>
      </c>
      <c r="B160" s="157" t="s">
        <v>1050</v>
      </c>
      <c r="C160" s="158"/>
      <c r="D160" s="158"/>
      <c r="E160" s="158"/>
      <c r="F160" s="158"/>
      <c r="G160" s="158"/>
      <c r="H160" s="159"/>
      <c r="I160" s="25"/>
      <c r="J160" s="25"/>
      <c r="K160" s="25"/>
      <c r="L160" s="25"/>
      <c r="M160" s="25"/>
      <c r="N160" s="25"/>
      <c r="O160" s="25"/>
      <c r="P160" s="25"/>
      <c r="Q160" s="25"/>
      <c r="R160" s="25"/>
      <c r="S160" s="25"/>
      <c r="T160" s="25"/>
      <c r="U160" s="25"/>
      <c r="V160" s="25"/>
      <c r="W160" s="25"/>
      <c r="X160" s="25"/>
      <c r="Y160" s="25"/>
      <c r="Z160" s="25"/>
    </row>
    <row r="161" ht="12.75" customHeight="1">
      <c r="A161" s="55"/>
      <c r="B161" s="229"/>
      <c r="H161" s="5"/>
      <c r="I161" s="25"/>
      <c r="J161" s="25"/>
      <c r="K161" s="25"/>
      <c r="L161" s="25"/>
      <c r="M161" s="25"/>
      <c r="N161" s="25"/>
      <c r="O161" s="25"/>
      <c r="P161" s="25"/>
      <c r="Q161" s="25"/>
      <c r="R161" s="25"/>
      <c r="S161" s="25"/>
      <c r="T161" s="25"/>
      <c r="U161" s="25"/>
      <c r="V161" s="25"/>
      <c r="W161" s="25"/>
      <c r="X161" s="25"/>
      <c r="Y161" s="25"/>
      <c r="Z161" s="25"/>
    </row>
    <row r="162" ht="12.75" customHeight="1">
      <c r="A162" s="55"/>
      <c r="B162" s="160"/>
      <c r="C162" s="7"/>
      <c r="D162" s="7"/>
      <c r="E162" s="7"/>
      <c r="F162" s="7"/>
      <c r="G162" s="7"/>
      <c r="H162" s="8"/>
      <c r="I162" s="25"/>
      <c r="J162" s="25"/>
      <c r="K162" s="25"/>
      <c r="L162" s="25"/>
      <c r="M162" s="25"/>
      <c r="N162" s="25"/>
      <c r="O162" s="25"/>
      <c r="P162" s="25"/>
      <c r="Q162" s="25"/>
      <c r="R162" s="25"/>
      <c r="S162" s="25"/>
      <c r="T162" s="25"/>
      <c r="U162" s="25"/>
      <c r="V162" s="25"/>
      <c r="W162" s="25"/>
      <c r="X162" s="25"/>
      <c r="Y162" s="25"/>
      <c r="Z162" s="25"/>
    </row>
    <row r="163" ht="12.75" customHeight="1">
      <c r="A163" s="57" t="s">
        <v>865</v>
      </c>
      <c r="B163" s="227" t="s">
        <v>1051</v>
      </c>
      <c r="C163" s="158"/>
      <c r="D163" s="158"/>
      <c r="E163" s="158"/>
      <c r="F163" s="158"/>
      <c r="G163" s="158"/>
      <c r="H163" s="159"/>
      <c r="I163" s="25"/>
      <c r="J163" s="25"/>
      <c r="K163" s="25"/>
      <c r="L163" s="25"/>
      <c r="M163" s="25"/>
      <c r="N163" s="25"/>
      <c r="O163" s="25"/>
      <c r="P163" s="25"/>
      <c r="Q163" s="25"/>
      <c r="R163" s="25"/>
      <c r="S163" s="25"/>
      <c r="T163" s="25"/>
      <c r="U163" s="25"/>
      <c r="V163" s="25"/>
      <c r="W163" s="25"/>
      <c r="X163" s="25"/>
      <c r="Y163" s="25"/>
      <c r="Z163" s="25"/>
    </row>
    <row r="164" ht="12.75" customHeight="1">
      <c r="A164" s="57"/>
      <c r="B164" s="160"/>
      <c r="C164" s="7"/>
      <c r="D164" s="7"/>
      <c r="E164" s="7"/>
      <c r="F164" s="7"/>
      <c r="G164" s="7"/>
      <c r="H164" s="8"/>
      <c r="I164" s="25"/>
      <c r="J164" s="25"/>
      <c r="K164" s="25"/>
      <c r="L164" s="25"/>
      <c r="M164" s="25"/>
      <c r="N164" s="25"/>
      <c r="O164" s="25"/>
      <c r="P164" s="25"/>
      <c r="Q164" s="25"/>
      <c r="R164" s="25"/>
      <c r="S164" s="25"/>
      <c r="T164" s="25"/>
      <c r="U164" s="25"/>
      <c r="V164" s="25"/>
      <c r="W164" s="25"/>
      <c r="X164" s="25"/>
      <c r="Y164" s="25"/>
      <c r="Z164" s="25"/>
    </row>
    <row r="165" ht="12.75" customHeight="1">
      <c r="A165" s="57" t="s">
        <v>1052</v>
      </c>
      <c r="B165" s="346" t="s">
        <v>1053</v>
      </c>
      <c r="C165" s="90"/>
      <c r="D165" s="90"/>
      <c r="E165" s="90"/>
      <c r="F165" s="90"/>
      <c r="G165" s="90"/>
      <c r="H165" s="91"/>
      <c r="I165" s="25"/>
      <c r="J165" s="25"/>
      <c r="K165" s="25"/>
      <c r="L165" s="25"/>
      <c r="M165" s="25"/>
      <c r="N165" s="25"/>
      <c r="O165" s="25"/>
      <c r="P165" s="25"/>
      <c r="Q165" s="25"/>
      <c r="R165" s="25"/>
      <c r="S165" s="25"/>
      <c r="T165" s="25"/>
      <c r="U165" s="25"/>
      <c r="V165" s="25"/>
      <c r="W165" s="25"/>
      <c r="X165" s="25"/>
      <c r="Y165" s="25"/>
      <c r="Z165" s="25"/>
    </row>
    <row r="166" ht="12.75" customHeight="1">
      <c r="A166" s="57" t="s">
        <v>868</v>
      </c>
      <c r="B166" s="227" t="s">
        <v>1051</v>
      </c>
      <c r="C166" s="158"/>
      <c r="D166" s="158"/>
      <c r="E166" s="158"/>
      <c r="F166" s="158"/>
      <c r="G166" s="158"/>
      <c r="H166" s="159"/>
      <c r="I166" s="25"/>
      <c r="J166" s="25"/>
      <c r="K166" s="25"/>
      <c r="L166" s="25"/>
      <c r="M166" s="25"/>
      <c r="N166" s="25"/>
      <c r="O166" s="25"/>
      <c r="P166" s="25"/>
      <c r="Q166" s="25"/>
      <c r="R166" s="25"/>
      <c r="S166" s="25"/>
      <c r="T166" s="25"/>
      <c r="U166" s="25"/>
      <c r="V166" s="25"/>
      <c r="W166" s="25"/>
      <c r="X166" s="25"/>
      <c r="Y166" s="25"/>
      <c r="Z166" s="25"/>
    </row>
    <row r="167" ht="12.75" customHeight="1">
      <c r="A167" s="57"/>
      <c r="B167" s="160"/>
      <c r="C167" s="7"/>
      <c r="D167" s="7"/>
      <c r="E167" s="7"/>
      <c r="F167" s="7"/>
      <c r="G167" s="7"/>
      <c r="H167" s="8"/>
      <c r="I167" s="25"/>
      <c r="J167" s="25"/>
      <c r="K167" s="25"/>
      <c r="L167" s="25"/>
      <c r="M167" s="25"/>
      <c r="N167" s="25"/>
      <c r="O167" s="25"/>
      <c r="P167" s="25"/>
      <c r="Q167" s="25"/>
      <c r="R167" s="25"/>
      <c r="S167" s="25"/>
      <c r="T167" s="25"/>
      <c r="U167" s="25"/>
      <c r="V167" s="25"/>
      <c r="W167" s="25"/>
      <c r="X167" s="25"/>
      <c r="Y167" s="25"/>
      <c r="Z167" s="25"/>
    </row>
    <row r="168" ht="12.75" customHeight="1">
      <c r="A168" s="57" t="s">
        <v>1054</v>
      </c>
      <c r="B168" s="346" t="s">
        <v>1053</v>
      </c>
      <c r="C168" s="90"/>
      <c r="D168" s="90"/>
      <c r="E168" s="90"/>
      <c r="F168" s="90"/>
      <c r="G168" s="90"/>
      <c r="H168" s="91"/>
      <c r="I168" s="25"/>
      <c r="J168" s="25"/>
      <c r="K168" s="25"/>
      <c r="L168" s="25"/>
      <c r="M168" s="25"/>
      <c r="N168" s="25"/>
      <c r="O168" s="25"/>
      <c r="P168" s="25"/>
      <c r="Q168" s="25"/>
      <c r="R168" s="25"/>
      <c r="S168" s="25"/>
      <c r="T168" s="25"/>
      <c r="U168" s="25"/>
      <c r="V168" s="25"/>
      <c r="W168" s="25"/>
      <c r="X168" s="25"/>
      <c r="Y168" s="25"/>
      <c r="Z168" s="25"/>
    </row>
    <row r="169" ht="12.75" customHeight="1">
      <c r="A169" s="57" t="s">
        <v>872</v>
      </c>
      <c r="B169" s="227" t="s">
        <v>1051</v>
      </c>
      <c r="C169" s="158"/>
      <c r="D169" s="158"/>
      <c r="E169" s="158"/>
      <c r="F169" s="158"/>
      <c r="G169" s="158"/>
      <c r="H169" s="159"/>
      <c r="I169" s="25"/>
      <c r="J169" s="25"/>
      <c r="K169" s="25"/>
      <c r="L169" s="25"/>
      <c r="M169" s="25"/>
      <c r="N169" s="25"/>
      <c r="O169" s="25"/>
      <c r="P169" s="25"/>
      <c r="Q169" s="25"/>
      <c r="R169" s="25"/>
      <c r="S169" s="25"/>
      <c r="T169" s="25"/>
      <c r="U169" s="25"/>
      <c r="V169" s="25"/>
      <c r="W169" s="25"/>
      <c r="X169" s="25"/>
      <c r="Y169" s="25"/>
      <c r="Z169" s="25"/>
    </row>
    <row r="170" ht="12.75" customHeight="1">
      <c r="A170" s="57"/>
      <c r="B170" s="160"/>
      <c r="C170" s="7"/>
      <c r="D170" s="7"/>
      <c r="E170" s="7"/>
      <c r="F170" s="7"/>
      <c r="G170" s="7"/>
      <c r="H170" s="8"/>
      <c r="I170" s="25"/>
      <c r="J170" s="25"/>
      <c r="K170" s="25"/>
      <c r="L170" s="25"/>
      <c r="M170" s="25"/>
      <c r="N170" s="25"/>
      <c r="O170" s="25"/>
      <c r="P170" s="25"/>
      <c r="Q170" s="25"/>
      <c r="R170" s="25"/>
      <c r="S170" s="25"/>
      <c r="T170" s="25"/>
      <c r="U170" s="25"/>
      <c r="V170" s="25"/>
      <c r="W170" s="25"/>
      <c r="X170" s="25"/>
      <c r="Y170" s="25"/>
      <c r="Z170" s="25"/>
    </row>
    <row r="171" ht="12.75" customHeight="1">
      <c r="A171" s="57" t="s">
        <v>1055</v>
      </c>
      <c r="B171" s="346" t="s">
        <v>1053</v>
      </c>
      <c r="C171" s="90"/>
      <c r="D171" s="90"/>
      <c r="E171" s="90"/>
      <c r="F171" s="90"/>
      <c r="G171" s="90"/>
      <c r="H171" s="91"/>
      <c r="I171" s="25"/>
      <c r="J171" s="25"/>
      <c r="K171" s="25"/>
      <c r="L171" s="25"/>
      <c r="M171" s="25"/>
      <c r="N171" s="25"/>
      <c r="O171" s="25"/>
      <c r="P171" s="25"/>
      <c r="Q171" s="25"/>
      <c r="R171" s="25"/>
      <c r="S171" s="25"/>
      <c r="T171" s="25"/>
      <c r="U171" s="25"/>
      <c r="V171" s="25"/>
      <c r="W171" s="25"/>
      <c r="X171" s="25"/>
      <c r="Y171" s="25"/>
      <c r="Z171" s="25"/>
    </row>
    <row r="172" ht="12.75" customHeight="1">
      <c r="A172" s="59" t="s">
        <v>889</v>
      </c>
      <c r="B172" s="347" t="s">
        <v>1056</v>
      </c>
      <c r="C172" s="158"/>
      <c r="D172" s="158"/>
      <c r="E172" s="158"/>
      <c r="F172" s="158"/>
      <c r="G172" s="158"/>
      <c r="H172" s="159"/>
    </row>
    <row r="173" ht="12.75" customHeight="1">
      <c r="A173" s="59"/>
      <c r="B173" s="229"/>
      <c r="H173" s="5"/>
    </row>
    <row r="174" ht="12.75" customHeight="1">
      <c r="A174" s="59"/>
      <c r="B174" s="160"/>
      <c r="C174" s="7"/>
      <c r="D174" s="7"/>
      <c r="E174" s="7"/>
      <c r="F174" s="7"/>
      <c r="G174" s="7"/>
      <c r="H174" s="8"/>
    </row>
    <row r="175" ht="12.75" customHeight="1">
      <c r="A175" s="59" t="s">
        <v>892</v>
      </c>
      <c r="B175" s="344" t="s">
        <v>1057</v>
      </c>
      <c r="C175" s="158"/>
      <c r="D175" s="158"/>
      <c r="E175" s="158"/>
      <c r="F175" s="158"/>
      <c r="G175" s="158"/>
      <c r="H175" s="159"/>
    </row>
    <row r="176" ht="12.75" customHeight="1">
      <c r="A176" s="59"/>
      <c r="B176" s="229"/>
      <c r="H176" s="5"/>
    </row>
    <row r="177" ht="12.75" customHeight="1">
      <c r="A177" s="59"/>
      <c r="B177" s="229"/>
      <c r="H177" s="5"/>
    </row>
    <row r="178" ht="12.75" customHeight="1">
      <c r="A178" s="59"/>
      <c r="B178" s="229"/>
      <c r="H178" s="5"/>
    </row>
    <row r="179" ht="12.75" customHeight="1">
      <c r="A179" s="59"/>
      <c r="B179" s="160"/>
      <c r="C179" s="7"/>
      <c r="D179" s="7"/>
      <c r="E179" s="7"/>
      <c r="F179" s="7"/>
      <c r="G179" s="7"/>
      <c r="H179" s="8"/>
    </row>
    <row r="180" ht="12.75" customHeight="1">
      <c r="A180" s="25" t="s">
        <v>893</v>
      </c>
      <c r="B180" s="56" t="s">
        <v>1058</v>
      </c>
    </row>
    <row r="181" ht="15.0" customHeight="1">
      <c r="A181" s="25" t="s">
        <v>1059</v>
      </c>
      <c r="B181" s="56" t="s">
        <v>1058</v>
      </c>
    </row>
    <row r="182" ht="12.75" customHeight="1">
      <c r="A182" s="59" t="s">
        <v>902</v>
      </c>
      <c r="B182" s="344" t="s">
        <v>1060</v>
      </c>
      <c r="C182" s="158"/>
      <c r="D182" s="158"/>
      <c r="E182" s="158"/>
      <c r="F182" s="158"/>
      <c r="G182" s="158"/>
      <c r="H182" s="159"/>
      <c r="I182" s="25"/>
      <c r="J182" s="25"/>
      <c r="K182" s="25"/>
      <c r="L182" s="25"/>
      <c r="M182" s="25"/>
      <c r="N182" s="25"/>
      <c r="O182" s="25"/>
      <c r="P182" s="25"/>
      <c r="Q182" s="25"/>
      <c r="R182" s="25"/>
      <c r="S182" s="25"/>
      <c r="T182" s="25"/>
      <c r="U182" s="25"/>
      <c r="V182" s="25"/>
      <c r="W182" s="25"/>
      <c r="X182" s="25"/>
      <c r="Y182" s="25"/>
      <c r="Z182" s="25"/>
    </row>
    <row r="183" ht="12.75" customHeight="1">
      <c r="A183" s="348"/>
      <c r="B183" s="229"/>
      <c r="H183" s="5"/>
    </row>
    <row r="184" ht="12.75" customHeight="1">
      <c r="A184" s="348"/>
      <c r="B184" s="160"/>
      <c r="C184" s="7"/>
      <c r="D184" s="7"/>
      <c r="E184" s="7"/>
      <c r="F184" s="7"/>
      <c r="G184" s="7"/>
      <c r="H184" s="8"/>
    </row>
    <row r="185" ht="15.0" customHeight="1">
      <c r="A185" s="348"/>
      <c r="B185" s="349" t="s">
        <v>1061</v>
      </c>
      <c r="C185" s="90"/>
      <c r="D185" s="90"/>
      <c r="E185" s="90"/>
      <c r="F185" s="90"/>
      <c r="G185" s="90"/>
      <c r="H185" s="91"/>
    </row>
    <row r="186" ht="15.75" customHeight="1">
      <c r="A186" s="92" t="s">
        <v>922</v>
      </c>
    </row>
    <row r="187" ht="12.75" customHeight="1">
      <c r="A187" s="55" t="s">
        <v>1062</v>
      </c>
      <c r="B187" s="157" t="s">
        <v>1063</v>
      </c>
      <c r="C187" s="158"/>
      <c r="D187" s="158"/>
      <c r="E187" s="158"/>
      <c r="F187" s="158"/>
      <c r="G187" s="158"/>
      <c r="H187" s="159"/>
      <c r="I187" s="25"/>
      <c r="J187" s="25"/>
      <c r="K187" s="25"/>
      <c r="L187" s="25"/>
      <c r="M187" s="25"/>
      <c r="N187" s="25"/>
      <c r="O187" s="25"/>
      <c r="P187" s="25"/>
      <c r="Q187" s="25"/>
      <c r="R187" s="25"/>
      <c r="S187" s="25"/>
      <c r="T187" s="25"/>
      <c r="U187" s="25"/>
      <c r="V187" s="25"/>
      <c r="W187" s="25"/>
      <c r="X187" s="25"/>
      <c r="Y187" s="25"/>
      <c r="Z187" s="25"/>
    </row>
    <row r="188" ht="26.25" customHeight="1">
      <c r="A188" s="55"/>
      <c r="B188" s="160"/>
      <c r="C188" s="7"/>
      <c r="D188" s="7"/>
      <c r="E188" s="7"/>
      <c r="F188" s="7"/>
      <c r="G188" s="7"/>
      <c r="H188" s="8"/>
      <c r="I188" s="25"/>
      <c r="J188" s="25"/>
      <c r="K188" s="25"/>
      <c r="L188" s="25"/>
      <c r="M188" s="25"/>
      <c r="N188" s="25"/>
      <c r="O188" s="25"/>
      <c r="P188" s="25"/>
      <c r="Q188" s="25"/>
      <c r="R188" s="25"/>
      <c r="S188" s="25"/>
      <c r="T188" s="25"/>
      <c r="U188" s="25"/>
      <c r="V188" s="25"/>
      <c r="W188" s="25"/>
      <c r="X188" s="25"/>
      <c r="Y188" s="25"/>
      <c r="Z188" s="25"/>
    </row>
    <row r="189" ht="12.75" customHeight="1">
      <c r="A189" s="57" t="s">
        <v>925</v>
      </c>
      <c r="B189" s="227" t="s">
        <v>1064</v>
      </c>
      <c r="C189" s="158"/>
      <c r="D189" s="158"/>
      <c r="E189" s="158"/>
      <c r="F189" s="158"/>
      <c r="G189" s="158"/>
      <c r="H189" s="159"/>
      <c r="I189" s="25"/>
      <c r="J189" s="25"/>
      <c r="K189" s="25"/>
      <c r="L189" s="25"/>
      <c r="M189" s="25"/>
      <c r="N189" s="25"/>
      <c r="O189" s="25"/>
      <c r="P189" s="25"/>
      <c r="Q189" s="25"/>
      <c r="R189" s="25"/>
      <c r="S189" s="25"/>
      <c r="T189" s="25"/>
      <c r="U189" s="25"/>
      <c r="V189" s="25"/>
      <c r="W189" s="25"/>
      <c r="X189" s="25"/>
      <c r="Y189" s="25"/>
      <c r="Z189" s="25"/>
    </row>
    <row r="190" ht="12.75" customHeight="1">
      <c r="A190" s="57"/>
      <c r="B190" s="160"/>
      <c r="C190" s="7"/>
      <c r="D190" s="7"/>
      <c r="E190" s="7"/>
      <c r="F190" s="7"/>
      <c r="G190" s="7"/>
      <c r="H190" s="8"/>
      <c r="I190" s="25"/>
      <c r="J190" s="25"/>
      <c r="K190" s="25"/>
      <c r="L190" s="25"/>
      <c r="M190" s="25"/>
      <c r="N190" s="25"/>
      <c r="O190" s="25"/>
      <c r="P190" s="25"/>
      <c r="Q190" s="25"/>
      <c r="R190" s="25"/>
      <c r="S190" s="25"/>
      <c r="T190" s="25"/>
      <c r="U190" s="25"/>
      <c r="V190" s="25"/>
      <c r="W190" s="25"/>
      <c r="X190" s="25"/>
      <c r="Y190" s="25"/>
      <c r="Z190" s="25"/>
    </row>
    <row r="191" ht="12.75" customHeight="1">
      <c r="A191" s="57" t="s">
        <v>1065</v>
      </c>
      <c r="B191" s="346" t="s">
        <v>1066</v>
      </c>
      <c r="C191" s="90"/>
      <c r="D191" s="90"/>
      <c r="E191" s="90"/>
      <c r="F191" s="90"/>
      <c r="G191" s="90"/>
      <c r="H191" s="91"/>
      <c r="I191" s="25"/>
      <c r="J191" s="25"/>
      <c r="K191" s="25"/>
      <c r="L191" s="25"/>
      <c r="M191" s="25"/>
      <c r="N191" s="25"/>
      <c r="O191" s="25"/>
      <c r="P191" s="25"/>
      <c r="Q191" s="25"/>
      <c r="R191" s="25"/>
      <c r="S191" s="25"/>
      <c r="T191" s="25"/>
      <c r="U191" s="25"/>
      <c r="V191" s="25"/>
      <c r="W191" s="25"/>
      <c r="X191" s="25"/>
      <c r="Y191" s="25"/>
      <c r="Z191" s="25"/>
    </row>
    <row r="192" ht="12.75" customHeight="1">
      <c r="A192" s="57" t="s">
        <v>928</v>
      </c>
      <c r="B192" s="227" t="s">
        <v>1064</v>
      </c>
      <c r="C192" s="158"/>
      <c r="D192" s="158"/>
      <c r="E192" s="158"/>
      <c r="F192" s="158"/>
      <c r="G192" s="158"/>
      <c r="H192" s="159"/>
      <c r="I192" s="25"/>
      <c r="J192" s="25"/>
      <c r="K192" s="25"/>
      <c r="L192" s="25"/>
      <c r="M192" s="25"/>
      <c r="N192" s="25"/>
      <c r="O192" s="25"/>
      <c r="P192" s="25"/>
      <c r="Q192" s="25"/>
      <c r="R192" s="25"/>
      <c r="S192" s="25"/>
      <c r="T192" s="25"/>
      <c r="U192" s="25"/>
      <c r="V192" s="25"/>
      <c r="W192" s="25"/>
      <c r="X192" s="25"/>
      <c r="Y192" s="25"/>
      <c r="Z192" s="25"/>
    </row>
    <row r="193" ht="12.75" customHeight="1">
      <c r="A193" s="57"/>
      <c r="B193" s="160"/>
      <c r="C193" s="7"/>
      <c r="D193" s="7"/>
      <c r="E193" s="7"/>
      <c r="F193" s="7"/>
      <c r="G193" s="7"/>
      <c r="H193" s="8"/>
      <c r="I193" s="25"/>
      <c r="J193" s="25"/>
      <c r="K193" s="25"/>
      <c r="L193" s="25"/>
      <c r="M193" s="25"/>
      <c r="N193" s="25"/>
      <c r="O193" s="25"/>
      <c r="P193" s="25"/>
      <c r="Q193" s="25"/>
      <c r="R193" s="25"/>
      <c r="S193" s="25"/>
      <c r="T193" s="25"/>
      <c r="U193" s="25"/>
      <c r="V193" s="25"/>
      <c r="W193" s="25"/>
      <c r="X193" s="25"/>
      <c r="Y193" s="25"/>
      <c r="Z193" s="25"/>
    </row>
    <row r="194" ht="12.75" customHeight="1">
      <c r="A194" s="57" t="s">
        <v>931</v>
      </c>
      <c r="B194" s="346" t="s">
        <v>1053</v>
      </c>
      <c r="C194" s="90"/>
      <c r="D194" s="90"/>
      <c r="E194" s="90"/>
      <c r="F194" s="90"/>
      <c r="G194" s="90"/>
      <c r="H194" s="91"/>
      <c r="I194" s="25"/>
      <c r="J194" s="25"/>
      <c r="K194" s="25"/>
      <c r="L194" s="25"/>
      <c r="M194" s="25"/>
      <c r="N194" s="25"/>
      <c r="O194" s="25"/>
      <c r="P194" s="25"/>
      <c r="Q194" s="25"/>
      <c r="R194" s="25"/>
      <c r="S194" s="25"/>
      <c r="T194" s="25"/>
      <c r="U194" s="25"/>
      <c r="V194" s="25"/>
      <c r="W194" s="25"/>
      <c r="X194" s="25"/>
      <c r="Y194" s="25"/>
      <c r="Z194" s="25"/>
    </row>
    <row r="195" ht="12.75" customHeight="1">
      <c r="A195" s="57" t="s">
        <v>935</v>
      </c>
      <c r="B195" s="227" t="s">
        <v>1064</v>
      </c>
      <c r="C195" s="158"/>
      <c r="D195" s="158"/>
      <c r="E195" s="158"/>
      <c r="F195" s="158"/>
      <c r="G195" s="158"/>
      <c r="H195" s="159"/>
      <c r="I195" s="25"/>
      <c r="J195" s="25"/>
      <c r="K195" s="25"/>
      <c r="L195" s="25"/>
      <c r="M195" s="25"/>
      <c r="N195" s="25"/>
      <c r="O195" s="25"/>
      <c r="P195" s="25"/>
      <c r="Q195" s="25"/>
      <c r="R195" s="25"/>
      <c r="S195" s="25"/>
      <c r="T195" s="25"/>
      <c r="U195" s="25"/>
      <c r="V195" s="25"/>
      <c r="W195" s="25"/>
      <c r="X195" s="25"/>
      <c r="Y195" s="25"/>
      <c r="Z195" s="25"/>
    </row>
    <row r="196" ht="12.75" customHeight="1">
      <c r="A196" s="57"/>
      <c r="B196" s="160"/>
      <c r="C196" s="7"/>
      <c r="D196" s="7"/>
      <c r="E196" s="7"/>
      <c r="F196" s="7"/>
      <c r="G196" s="7"/>
      <c r="H196" s="8"/>
      <c r="I196" s="25"/>
      <c r="J196" s="25"/>
      <c r="K196" s="25"/>
      <c r="L196" s="25"/>
      <c r="M196" s="25"/>
      <c r="N196" s="25"/>
      <c r="O196" s="25"/>
      <c r="P196" s="25"/>
      <c r="Q196" s="25"/>
      <c r="R196" s="25"/>
      <c r="S196" s="25"/>
      <c r="T196" s="25"/>
      <c r="U196" s="25"/>
      <c r="V196" s="25"/>
      <c r="W196" s="25"/>
      <c r="X196" s="25"/>
      <c r="Y196" s="25"/>
      <c r="Z196" s="25"/>
    </row>
    <row r="197" ht="12.75" customHeight="1">
      <c r="A197" s="57" t="s">
        <v>938</v>
      </c>
      <c r="B197" s="346" t="s">
        <v>1066</v>
      </c>
      <c r="C197" s="90"/>
      <c r="D197" s="90"/>
      <c r="E197" s="90"/>
      <c r="F197" s="90"/>
      <c r="G197" s="90"/>
      <c r="H197" s="91"/>
      <c r="I197" s="25"/>
      <c r="J197" s="25"/>
      <c r="K197" s="25"/>
      <c r="L197" s="25"/>
      <c r="M197" s="25"/>
      <c r="N197" s="25"/>
      <c r="O197" s="25"/>
      <c r="P197" s="25"/>
      <c r="Q197" s="25"/>
      <c r="R197" s="25"/>
      <c r="S197" s="25"/>
      <c r="T197" s="25"/>
      <c r="U197" s="25"/>
      <c r="V197" s="25"/>
      <c r="W197" s="25"/>
      <c r="X197" s="25"/>
      <c r="Y197" s="25"/>
      <c r="Z197" s="25"/>
    </row>
    <row r="198" ht="12.75" customHeight="1">
      <c r="A198" s="59" t="s">
        <v>1067</v>
      </c>
      <c r="B198" s="344" t="s">
        <v>1068</v>
      </c>
      <c r="C198" s="158"/>
      <c r="D198" s="158"/>
      <c r="E198" s="158"/>
      <c r="F198" s="158"/>
      <c r="G198" s="158"/>
      <c r="H198" s="159"/>
    </row>
    <row r="199" ht="12.75" customHeight="1">
      <c r="A199" s="59"/>
      <c r="B199" s="229"/>
      <c r="H199" s="5"/>
    </row>
    <row r="200" ht="12.75" customHeight="1">
      <c r="A200" s="59"/>
      <c r="B200" s="229"/>
      <c r="H200" s="5"/>
    </row>
    <row r="201" ht="12.75" customHeight="1">
      <c r="A201" s="59"/>
      <c r="B201" s="160"/>
      <c r="C201" s="7"/>
      <c r="D201" s="7"/>
      <c r="E201" s="7"/>
      <c r="F201" s="7"/>
      <c r="G201" s="7"/>
      <c r="H201" s="8"/>
    </row>
    <row r="202" ht="12.75" customHeight="1">
      <c r="A202" s="25" t="s">
        <v>943</v>
      </c>
      <c r="B202" s="56" t="s">
        <v>338</v>
      </c>
    </row>
    <row r="203" ht="15.0" customHeight="1">
      <c r="A203" s="25" t="s">
        <v>1069</v>
      </c>
      <c r="B203" s="56" t="s">
        <v>338</v>
      </c>
    </row>
    <row r="204" ht="12.75" customHeight="1">
      <c r="A204" s="47"/>
    </row>
    <row r="205" ht="15.75" customHeight="1">
      <c r="A205" s="350" t="s">
        <v>347</v>
      </c>
    </row>
    <row r="206" ht="15.75" customHeight="1">
      <c r="A206" s="351" t="s">
        <v>1070</v>
      </c>
    </row>
    <row r="207" ht="15.75" customHeight="1">
      <c r="I207" s="25"/>
      <c r="J207" s="25"/>
      <c r="K207" s="25"/>
      <c r="L207" s="25"/>
      <c r="M207" s="25"/>
      <c r="N207" s="25"/>
      <c r="O207" s="25"/>
      <c r="P207" s="25"/>
      <c r="Q207" s="25"/>
      <c r="R207" s="25"/>
      <c r="S207" s="25"/>
      <c r="T207" s="25"/>
      <c r="U207" s="25"/>
      <c r="V207" s="25"/>
      <c r="W207" s="25"/>
      <c r="X207" s="25"/>
      <c r="Y207" s="25"/>
      <c r="Z207" s="25"/>
    </row>
    <row r="208" ht="15.75" customHeight="1"/>
    <row r="209" ht="12.75" customHeight="1"/>
    <row r="210" ht="12.75" customHeight="1"/>
    <row r="211" ht="12.75" customHeight="1"/>
    <row r="212" ht="12.75" customHeight="1">
      <c r="A212" s="25"/>
    </row>
    <row r="213" ht="12.75" customHeight="1">
      <c r="A213" s="111"/>
    </row>
    <row r="214" ht="12.75" customHeight="1">
      <c r="A214" s="25"/>
    </row>
    <row r="215" ht="12.75" customHeight="1">
      <c r="A215" s="111"/>
      <c r="C215" s="112"/>
      <c r="D215" s="112"/>
      <c r="E215" s="112"/>
      <c r="F215" s="112"/>
      <c r="G215" s="112"/>
    </row>
    <row r="216" ht="12.75" customHeight="1">
      <c r="A216" s="25"/>
      <c r="B216" s="25"/>
      <c r="C216" s="25"/>
      <c r="D216" s="25"/>
      <c r="E216" s="25"/>
      <c r="F216" s="25"/>
      <c r="G216" s="25"/>
    </row>
    <row r="217" ht="12.75" customHeight="1">
      <c r="A217" s="111"/>
    </row>
    <row r="218" ht="12.75" customHeight="1"/>
    <row r="219" ht="12.75" customHeight="1">
      <c r="A219" s="25"/>
    </row>
    <row r="220" ht="12.75" customHeight="1">
      <c r="A220" s="111"/>
    </row>
    <row r="221" ht="12.75" customHeight="1">
      <c r="A221" s="25"/>
    </row>
    <row r="222" ht="12.75" customHeight="1">
      <c r="A222" s="25"/>
    </row>
    <row r="223" ht="12.75" customHeight="1">
      <c r="A223" s="111"/>
    </row>
    <row r="224" ht="12.75" customHeight="1"/>
    <row r="225" ht="12.75" customHeight="1">
      <c r="A225" s="25"/>
    </row>
    <row r="226" ht="12.75" customHeight="1">
      <c r="A226" s="111"/>
    </row>
    <row r="227" ht="12.75" customHeight="1">
      <c r="A227" s="25"/>
    </row>
    <row r="228" ht="12.75" customHeight="1">
      <c r="A228" s="25"/>
    </row>
    <row r="229" ht="12.75" customHeight="1">
      <c r="A229" s="111"/>
    </row>
    <row r="230" ht="12.75" customHeight="1"/>
    <row r="231" ht="12.75" customHeight="1">
      <c r="A231" s="47"/>
    </row>
    <row r="232" ht="12.75" customHeight="1"/>
    <row r="233" ht="12.75" customHeight="1"/>
    <row r="234" ht="12.75" customHeight="1"/>
    <row r="235" ht="15.75" customHeight="1">
      <c r="A235" s="350"/>
    </row>
    <row r="236" ht="15.75" customHeight="1">
      <c r="A236" s="148"/>
    </row>
    <row r="237" ht="15.75" customHeight="1">
      <c r="A237" s="336"/>
    </row>
    <row r="238" ht="15.75" customHeight="1">
      <c r="A238" s="49"/>
    </row>
    <row r="239" ht="15.75" customHeight="1">
      <c r="A239" s="336"/>
    </row>
    <row r="240" ht="15.75" customHeight="1">
      <c r="A240" s="49"/>
    </row>
    <row r="241" ht="15.75" customHeight="1">
      <c r="A241" s="49"/>
    </row>
    <row r="242" ht="15.75" customHeight="1">
      <c r="A242" s="148"/>
    </row>
    <row r="243" ht="15.75" customHeight="1">
      <c r="A243" s="336"/>
    </row>
    <row r="244" ht="15.75" customHeight="1">
      <c r="A244" s="49"/>
    </row>
    <row r="245" ht="15.75" customHeight="1">
      <c r="A245" s="336"/>
    </row>
    <row r="246" ht="15.75" customHeight="1">
      <c r="A246" s="49"/>
    </row>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6">
    <mergeCell ref="A1:H1"/>
    <mergeCell ref="A2:H3"/>
    <mergeCell ref="A20:H21"/>
    <mergeCell ref="A35:H36"/>
    <mergeCell ref="B39:H41"/>
    <mergeCell ref="B42:H43"/>
    <mergeCell ref="B44:H45"/>
    <mergeCell ref="B46:H47"/>
    <mergeCell ref="B48:H56"/>
    <mergeCell ref="B57:H60"/>
    <mergeCell ref="B61:H69"/>
    <mergeCell ref="B70:H73"/>
    <mergeCell ref="B74:H82"/>
    <mergeCell ref="B83:H86"/>
    <mergeCell ref="B94:C94"/>
    <mergeCell ref="B99:H100"/>
    <mergeCell ref="B101:H102"/>
    <mergeCell ref="B106:H108"/>
    <mergeCell ref="B112:H113"/>
    <mergeCell ref="A114:A115"/>
    <mergeCell ref="B114:H115"/>
    <mergeCell ref="B116:H116"/>
    <mergeCell ref="B117:H117"/>
    <mergeCell ref="B118:H118"/>
    <mergeCell ref="B119:H120"/>
    <mergeCell ref="B130:H131"/>
    <mergeCell ref="B132:C132"/>
    <mergeCell ref="B133:C133"/>
    <mergeCell ref="B134:C134"/>
    <mergeCell ref="B135:C135"/>
    <mergeCell ref="B136:H137"/>
    <mergeCell ref="B139:H140"/>
    <mergeCell ref="B141:H142"/>
    <mergeCell ref="B143:H144"/>
    <mergeCell ref="B145:H146"/>
    <mergeCell ref="B158:H159"/>
    <mergeCell ref="B160:H162"/>
    <mergeCell ref="B163:H164"/>
    <mergeCell ref="B165:H165"/>
    <mergeCell ref="B166:H167"/>
    <mergeCell ref="B168:H168"/>
    <mergeCell ref="B169:H170"/>
    <mergeCell ref="B191:H191"/>
    <mergeCell ref="B192:H193"/>
    <mergeCell ref="B194:H194"/>
    <mergeCell ref="B195:H196"/>
    <mergeCell ref="B197:H197"/>
    <mergeCell ref="B198:H201"/>
    <mergeCell ref="A206:H209"/>
    <mergeCell ref="B171:H171"/>
    <mergeCell ref="B172:H174"/>
    <mergeCell ref="B175:H179"/>
    <mergeCell ref="B182:H184"/>
    <mergeCell ref="B185:H185"/>
    <mergeCell ref="B187:H188"/>
    <mergeCell ref="B189:H190"/>
  </mergeCells>
  <printOptions/>
  <pageMargins bottom="0.75" footer="0.0" header="0.0" left="0.7" right="0.7" top="0.75"/>
  <pageSetup orientation="landscape"/>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16.38"/>
    <col customWidth="1" min="3" max="3" width="8.0"/>
    <col customWidth="1" min="4" max="9" width="14.5"/>
    <col customWidth="1" min="10" max="26" width="10.0"/>
  </cols>
  <sheetData>
    <row r="1" ht="12.75" customHeight="1"/>
    <row r="2" ht="12.75" customHeight="1"/>
    <row r="3" ht="33.75" customHeight="1">
      <c r="B3" s="352" t="s">
        <v>1071</v>
      </c>
      <c r="C3" s="353" t="s">
        <v>1072</v>
      </c>
    </row>
    <row r="4" ht="13.5" customHeight="1">
      <c r="B4" s="12"/>
      <c r="C4" s="12"/>
      <c r="D4" s="12" t="s">
        <v>1073</v>
      </c>
      <c r="E4" s="12" t="s">
        <v>1074</v>
      </c>
      <c r="F4" s="12" t="s">
        <v>103</v>
      </c>
      <c r="G4" s="12" t="s">
        <v>1075</v>
      </c>
      <c r="H4" s="12" t="s">
        <v>1076</v>
      </c>
      <c r="I4" s="12" t="s">
        <v>1077</v>
      </c>
    </row>
    <row r="5" ht="27.75" customHeight="1">
      <c r="B5" s="354"/>
      <c r="C5" s="354"/>
      <c r="D5" s="354" t="s">
        <v>1078</v>
      </c>
      <c r="E5" s="354" t="s">
        <v>1079</v>
      </c>
      <c r="F5" s="354"/>
      <c r="G5" s="354" t="s">
        <v>1078</v>
      </c>
      <c r="H5" s="354" t="s">
        <v>1079</v>
      </c>
      <c r="I5" s="354"/>
    </row>
    <row r="6" ht="30.0" customHeight="1">
      <c r="B6" s="156" t="s">
        <v>1080</v>
      </c>
      <c r="C6" s="12"/>
      <c r="D6" s="288">
        <v>449535.5399999999</v>
      </c>
      <c r="E6" s="288">
        <v>144247.22999999992</v>
      </c>
      <c r="F6" s="355">
        <f>D6+E6</f>
        <v>593782.77</v>
      </c>
      <c r="G6" s="12">
        <v>647.6</v>
      </c>
      <c r="H6" s="12">
        <v>208.5</v>
      </c>
      <c r="I6" s="12">
        <v>856.1</v>
      </c>
    </row>
    <row r="7" ht="13.5" customHeight="1">
      <c r="B7" s="12" t="s">
        <v>166</v>
      </c>
      <c r="C7" s="12"/>
      <c r="D7" s="289">
        <v>189553.56</v>
      </c>
      <c r="E7" s="12" t="s">
        <v>1081</v>
      </c>
      <c r="F7" s="12"/>
      <c r="G7" s="12">
        <v>30.1</v>
      </c>
      <c r="H7" s="12">
        <v>0.0</v>
      </c>
      <c r="I7" s="12">
        <v>30.1</v>
      </c>
    </row>
    <row r="8" ht="13.5" customHeight="1">
      <c r="B8" s="12" t="s">
        <v>167</v>
      </c>
      <c r="C8" s="12"/>
      <c r="D8" s="304">
        <v>459714.95000000007</v>
      </c>
      <c r="E8" s="12" t="s">
        <v>1081</v>
      </c>
      <c r="F8" s="12"/>
      <c r="G8" s="12">
        <v>112.6</v>
      </c>
      <c r="H8" s="12">
        <v>0.0</v>
      </c>
      <c r="I8" s="12">
        <v>112.6</v>
      </c>
    </row>
    <row r="9" ht="13.5" customHeight="1">
      <c r="B9" s="12" t="s">
        <v>168</v>
      </c>
      <c r="C9" s="12"/>
      <c r="D9" s="356">
        <v>1562814.21</v>
      </c>
      <c r="E9" s="356">
        <v>492804.069999999</v>
      </c>
      <c r="F9" s="356">
        <f>E9+D9</f>
        <v>2055618.28</v>
      </c>
      <c r="G9" s="12">
        <v>2283.8</v>
      </c>
      <c r="H9" s="12">
        <v>719.1</v>
      </c>
      <c r="I9" s="12">
        <v>3002.9</v>
      </c>
    </row>
    <row r="10" ht="13.5" customHeight="1">
      <c r="B10" s="12" t="s">
        <v>169</v>
      </c>
      <c r="C10" s="12"/>
      <c r="D10" s="304">
        <v>38262.46000000001</v>
      </c>
      <c r="E10" s="12" t="s">
        <v>1081</v>
      </c>
      <c r="F10" s="12"/>
      <c r="G10" s="12">
        <v>20.7</v>
      </c>
      <c r="H10" s="12">
        <v>0.0</v>
      </c>
      <c r="I10" s="12">
        <v>20.7</v>
      </c>
    </row>
    <row r="11" ht="13.5" customHeight="1">
      <c r="B11" s="357" t="s">
        <v>103</v>
      </c>
      <c r="C11" s="357"/>
      <c r="D11" s="357"/>
      <c r="E11" s="357"/>
      <c r="F11" s="357"/>
      <c r="G11" s="357">
        <v>3094.8</v>
      </c>
      <c r="H11" s="357">
        <v>927.6</v>
      </c>
      <c r="I11" s="357">
        <v>4022.4</v>
      </c>
    </row>
    <row r="12" ht="13.5" customHeight="1">
      <c r="B12" s="12"/>
      <c r="C12" s="12"/>
      <c r="D12" s="12"/>
      <c r="E12" s="12"/>
      <c r="F12" s="12"/>
      <c r="G12" s="12"/>
      <c r="H12" s="12"/>
      <c r="I12" s="12"/>
    </row>
    <row r="13" ht="45.75" customHeight="1">
      <c r="B13" s="12" t="s">
        <v>1082</v>
      </c>
      <c r="C13" s="12"/>
      <c r="D13" s="12"/>
      <c r="E13" s="12"/>
      <c r="F13" s="12"/>
      <c r="G13" s="12"/>
      <c r="H13" s="358">
        <f>C15*H11</f>
        <v>48.33414465</v>
      </c>
      <c r="I13" s="359">
        <f>I11+H13</f>
        <v>4070.734145</v>
      </c>
    </row>
    <row r="14" ht="12.75" customHeight="1">
      <c r="B14" s="12"/>
      <c r="C14" s="12"/>
      <c r="D14" s="12"/>
      <c r="E14" s="12"/>
      <c r="F14" s="12"/>
      <c r="G14" s="12"/>
      <c r="H14" s="12"/>
      <c r="I14" s="12"/>
    </row>
    <row r="15" ht="51.75" customHeight="1">
      <c r="B15" s="12" t="s">
        <v>1083</v>
      </c>
      <c r="C15" s="360">
        <v>0.0521066673714628</v>
      </c>
      <c r="D15" s="360"/>
      <c r="E15" s="360"/>
      <c r="F15" s="360"/>
      <c r="G15" s="12"/>
      <c r="H15" s="12"/>
      <c r="I15" s="360"/>
    </row>
    <row r="16" ht="54.75" customHeight="1">
      <c r="B16" s="12" t="s">
        <v>1084</v>
      </c>
      <c r="C16" s="360">
        <v>0.05279824</v>
      </c>
      <c r="D16" s="360"/>
      <c r="E16" s="360"/>
      <c r="F16" s="360"/>
      <c r="G16" s="12"/>
      <c r="H16" s="156"/>
      <c r="I16" s="360"/>
    </row>
    <row r="17" ht="12.75" customHeight="1">
      <c r="B17" s="12"/>
      <c r="C17" s="12"/>
      <c r="D17" s="12"/>
      <c r="E17" s="12"/>
      <c r="F17" s="12"/>
      <c r="G17" s="12"/>
      <c r="H17" s="12"/>
      <c r="I17" s="12"/>
    </row>
    <row r="18" ht="12.75" customHeight="1">
      <c r="B18" s="361" t="s">
        <v>1085</v>
      </c>
      <c r="C18" s="12"/>
      <c r="D18" s="12"/>
      <c r="E18" s="12"/>
      <c r="F18" s="12"/>
      <c r="G18" s="12"/>
      <c r="H18" s="12"/>
      <c r="I18" s="12"/>
    </row>
    <row r="19" ht="12.75" customHeight="1">
      <c r="B19" s="362" t="s">
        <v>1086</v>
      </c>
    </row>
    <row r="20" ht="12.75" customHeight="1">
      <c r="B20" s="362" t="s">
        <v>1087</v>
      </c>
    </row>
    <row r="21" ht="12.75" customHeight="1">
      <c r="B21" s="362" t="s">
        <v>1088</v>
      </c>
    </row>
    <row r="22" ht="12.75" customHeight="1">
      <c r="B22" s="362" t="s">
        <v>1089</v>
      </c>
    </row>
    <row r="23" ht="12.75" customHeight="1"/>
    <row r="24" ht="12.75" customHeight="1"/>
    <row r="25" ht="12.75" customHeight="1"/>
    <row r="26" ht="12.75" customHeight="1">
      <c r="I26" s="56" t="s">
        <v>1090</v>
      </c>
    </row>
    <row r="27" ht="12.75" customHeight="1">
      <c r="I27" s="56" t="s">
        <v>1091</v>
      </c>
    </row>
    <row r="28" ht="12.75" customHeight="1">
      <c r="I28" s="56" t="s">
        <v>1092</v>
      </c>
    </row>
    <row r="29" ht="12.75" customHeight="1">
      <c r="I29" s="56" t="s">
        <v>1093</v>
      </c>
    </row>
    <row r="30" ht="12.75" customHeight="1">
      <c r="I30" s="56" t="s">
        <v>1094</v>
      </c>
    </row>
    <row r="31" ht="12.75" customHeight="1">
      <c r="I31" s="56" t="s">
        <v>1095</v>
      </c>
    </row>
    <row r="32" ht="12.75" customHeight="1">
      <c r="I32" s="56" t="s">
        <v>1096</v>
      </c>
    </row>
    <row r="33" ht="12.75" customHeight="1">
      <c r="I33" s="56" t="s">
        <v>1097</v>
      </c>
    </row>
    <row r="34" ht="12.75" customHeight="1">
      <c r="I34" s="56" t="s">
        <v>1098</v>
      </c>
    </row>
    <row r="35" ht="12.75" customHeight="1">
      <c r="I35" s="56" t="s">
        <v>1099</v>
      </c>
    </row>
    <row r="36" ht="12.75" customHeight="1">
      <c r="I36" s="56" t="s">
        <v>1100</v>
      </c>
    </row>
    <row r="37" ht="12.75" customHeight="1">
      <c r="I37" s="56" t="s">
        <v>1101</v>
      </c>
    </row>
    <row r="38" ht="12.75" customHeight="1">
      <c r="I38" s="56" t="s">
        <v>1102</v>
      </c>
    </row>
    <row r="39" ht="12.75" customHeight="1">
      <c r="I39" s="56" t="s">
        <v>1103</v>
      </c>
    </row>
    <row r="40" ht="12.75" customHeight="1">
      <c r="I40" s="56" t="s">
        <v>1104</v>
      </c>
    </row>
    <row r="41" ht="12.75" customHeight="1">
      <c r="I41" s="56" t="s">
        <v>1105</v>
      </c>
    </row>
    <row r="42" ht="12.75" customHeight="1">
      <c r="I42" s="56" t="s">
        <v>1106</v>
      </c>
    </row>
    <row r="43" ht="12.75" customHeight="1">
      <c r="I43" s="56" t="s">
        <v>1107</v>
      </c>
    </row>
    <row r="44" ht="12.75" customHeight="1">
      <c r="I44" s="56" t="s">
        <v>1108</v>
      </c>
    </row>
    <row r="45" ht="12.75" customHeight="1">
      <c r="I45" s="56" t="s">
        <v>1109</v>
      </c>
    </row>
    <row r="46" ht="12.75" customHeight="1">
      <c r="I46" s="56" t="s">
        <v>1110</v>
      </c>
    </row>
    <row r="47" ht="12.75" customHeight="1">
      <c r="I47" s="56" t="s">
        <v>1111</v>
      </c>
    </row>
    <row r="48" ht="12.75" customHeight="1">
      <c r="I48" s="56" t="s">
        <v>1112</v>
      </c>
    </row>
    <row r="49" ht="12.75" customHeight="1">
      <c r="I49" s="56" t="s">
        <v>1092</v>
      </c>
    </row>
    <row r="50" ht="12.75" customHeight="1">
      <c r="I50" s="56" t="s">
        <v>1113</v>
      </c>
    </row>
    <row r="51" ht="12.75" customHeight="1">
      <c r="I51" s="56" t="s">
        <v>1114</v>
      </c>
    </row>
    <row r="52" ht="12.75" customHeight="1">
      <c r="I52" s="56" t="s">
        <v>1115</v>
      </c>
    </row>
    <row r="53" ht="12.75" customHeight="1">
      <c r="I53" s="56" t="s">
        <v>1116</v>
      </c>
    </row>
    <row r="54" ht="12.75" customHeight="1">
      <c r="I54" s="56" t="s">
        <v>1117</v>
      </c>
    </row>
    <row r="55" ht="12.75" customHeight="1">
      <c r="I55" s="56" t="s">
        <v>1118</v>
      </c>
    </row>
    <row r="56" ht="12.75" customHeight="1">
      <c r="I56" s="56" t="s">
        <v>1119</v>
      </c>
    </row>
    <row r="57" ht="12.75" customHeight="1">
      <c r="I57" s="56" t="s">
        <v>1120</v>
      </c>
    </row>
    <row r="58" ht="12.75" customHeight="1">
      <c r="I58" s="56" t="s">
        <v>1121</v>
      </c>
    </row>
    <row r="59" ht="12.75" customHeight="1">
      <c r="I59" s="56" t="s">
        <v>1122</v>
      </c>
    </row>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3:I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33"/>
    <pageSetUpPr/>
  </sheetPr>
  <sheetViews>
    <sheetView workbookViewId="0"/>
  </sheetViews>
  <sheetFormatPr customHeight="1" defaultColWidth="12.63" defaultRowHeight="15.0"/>
  <cols>
    <col customWidth="1" min="1" max="9" width="8.88"/>
    <col customWidth="1" min="10" max="26" width="10.0"/>
  </cols>
  <sheetData>
    <row r="1" ht="3.0" customHeight="1"/>
    <row r="2" ht="15.75" customHeight="1">
      <c r="A2" s="31" t="s">
        <v>19</v>
      </c>
      <c r="B2" s="32"/>
      <c r="C2" s="32"/>
      <c r="D2" s="32"/>
      <c r="E2" s="32"/>
      <c r="F2" s="32"/>
      <c r="G2" s="32"/>
      <c r="H2" s="33"/>
    </row>
    <row r="3" ht="12.75" customHeight="1">
      <c r="A3" s="34" t="s">
        <v>20</v>
      </c>
      <c r="B3" s="35" t="s">
        <v>21</v>
      </c>
      <c r="C3" s="36"/>
      <c r="D3" s="36"/>
      <c r="E3" s="36"/>
      <c r="F3" s="36"/>
      <c r="G3" s="36"/>
      <c r="H3" s="37"/>
    </row>
    <row r="4" ht="12.75" customHeight="1">
      <c r="A4" s="38"/>
      <c r="B4" s="39"/>
      <c r="H4" s="40"/>
    </row>
    <row r="5" ht="12.75" customHeight="1">
      <c r="A5" s="41"/>
      <c r="B5" s="42"/>
      <c r="C5" s="43"/>
      <c r="D5" s="43"/>
      <c r="E5" s="43"/>
      <c r="F5" s="43"/>
      <c r="G5" s="43"/>
      <c r="H5" s="44"/>
    </row>
    <row r="6" ht="12.75" customHeight="1">
      <c r="A6" s="34" t="s">
        <v>22</v>
      </c>
      <c r="B6" s="35" t="s">
        <v>23</v>
      </c>
      <c r="C6" s="36"/>
      <c r="D6" s="36"/>
      <c r="E6" s="36"/>
      <c r="F6" s="36"/>
      <c r="G6" s="36"/>
      <c r="H6" s="37"/>
    </row>
    <row r="7" ht="12.75" customHeight="1">
      <c r="A7" s="38"/>
      <c r="B7" s="39"/>
      <c r="H7" s="40"/>
    </row>
    <row r="8" ht="12.75" customHeight="1">
      <c r="A8" s="41"/>
      <c r="B8" s="42"/>
      <c r="C8" s="43"/>
      <c r="D8" s="43"/>
      <c r="E8" s="43"/>
      <c r="F8" s="43"/>
      <c r="G8" s="43"/>
      <c r="H8" s="44"/>
    </row>
    <row r="9" ht="12.75" customHeight="1">
      <c r="A9" s="34" t="s">
        <v>24</v>
      </c>
      <c r="B9" s="35" t="s">
        <v>25</v>
      </c>
      <c r="C9" s="36"/>
      <c r="D9" s="36"/>
      <c r="E9" s="36"/>
      <c r="F9" s="36"/>
      <c r="G9" s="36"/>
      <c r="H9" s="37"/>
    </row>
    <row r="10" ht="12.75" customHeight="1">
      <c r="A10" s="38"/>
      <c r="B10" s="39"/>
      <c r="H10" s="40"/>
    </row>
    <row r="11" ht="12.75" customHeight="1">
      <c r="A11" s="41"/>
      <c r="B11" s="42"/>
      <c r="C11" s="43"/>
      <c r="D11" s="43"/>
      <c r="E11" s="43"/>
      <c r="F11" s="43"/>
      <c r="G11" s="43"/>
      <c r="H11" s="44"/>
    </row>
    <row r="12" ht="12.75" customHeight="1">
      <c r="A12" s="34" t="s">
        <v>26</v>
      </c>
      <c r="B12" s="45" t="s">
        <v>27</v>
      </c>
      <c r="C12" s="36"/>
      <c r="D12" s="36"/>
      <c r="E12" s="36"/>
      <c r="F12" s="36"/>
      <c r="G12" s="36"/>
      <c r="H12" s="37"/>
    </row>
    <row r="13" ht="12.75" customHeight="1">
      <c r="A13" s="38"/>
      <c r="B13" s="39"/>
      <c r="H13" s="40"/>
    </row>
    <row r="14" ht="12.75" customHeight="1">
      <c r="A14" s="41"/>
      <c r="B14" s="42"/>
      <c r="C14" s="43"/>
      <c r="D14" s="43"/>
      <c r="E14" s="43"/>
      <c r="F14" s="43"/>
      <c r="G14" s="43"/>
      <c r="H14" s="44"/>
    </row>
    <row r="15" ht="12.75" customHeight="1">
      <c r="A15" s="34" t="s">
        <v>28</v>
      </c>
      <c r="B15" s="35" t="s">
        <v>29</v>
      </c>
      <c r="C15" s="36"/>
      <c r="D15" s="36"/>
      <c r="E15" s="36"/>
      <c r="F15" s="36"/>
      <c r="G15" s="36"/>
      <c r="H15" s="37"/>
    </row>
    <row r="16" ht="12.75" customHeight="1">
      <c r="A16" s="38"/>
      <c r="B16" s="39"/>
      <c r="H16" s="40"/>
    </row>
    <row r="17" ht="6.75" customHeight="1">
      <c r="A17" s="41"/>
      <c r="B17" s="42"/>
      <c r="C17" s="43"/>
      <c r="D17" s="43"/>
      <c r="E17" s="43"/>
      <c r="F17" s="43"/>
      <c r="G17" s="43"/>
      <c r="H17" s="44"/>
    </row>
    <row r="18" ht="12.75" customHeight="1">
      <c r="A18" s="34" t="s">
        <v>30</v>
      </c>
      <c r="B18" s="35" t="s">
        <v>31</v>
      </c>
      <c r="C18" s="36"/>
      <c r="D18" s="36"/>
      <c r="E18" s="36"/>
      <c r="F18" s="36"/>
      <c r="G18" s="36"/>
      <c r="H18" s="37"/>
    </row>
    <row r="19" ht="12.75" customHeight="1">
      <c r="A19" s="38"/>
      <c r="B19" s="39"/>
      <c r="H19" s="40"/>
    </row>
    <row r="20" ht="6.75" customHeight="1">
      <c r="A20" s="41"/>
      <c r="B20" s="42"/>
      <c r="C20" s="43"/>
      <c r="D20" s="43"/>
      <c r="E20" s="43"/>
      <c r="F20" s="43"/>
      <c r="G20" s="43"/>
      <c r="H20" s="44"/>
    </row>
    <row r="21" ht="12.75" customHeight="1">
      <c r="A21" s="34" t="s">
        <v>32</v>
      </c>
      <c r="B21" s="46" t="s">
        <v>33</v>
      </c>
      <c r="C21" s="36"/>
      <c r="D21" s="36"/>
      <c r="E21" s="36"/>
      <c r="F21" s="36"/>
      <c r="G21" s="36"/>
      <c r="H21" s="37"/>
    </row>
    <row r="22" ht="12.75" customHeight="1">
      <c r="A22" s="38"/>
      <c r="B22" s="39"/>
      <c r="H22" s="40"/>
    </row>
    <row r="23" ht="9.0" customHeight="1">
      <c r="A23" s="41"/>
      <c r="B23" s="42"/>
      <c r="C23" s="43"/>
      <c r="D23" s="43"/>
      <c r="E23" s="43"/>
      <c r="F23" s="43"/>
      <c r="G23" s="43"/>
      <c r="H23" s="44"/>
    </row>
    <row r="24" ht="12.75" customHeight="1">
      <c r="A24" s="34" t="s">
        <v>34</v>
      </c>
      <c r="B24" s="35" t="s">
        <v>35</v>
      </c>
      <c r="C24" s="36"/>
      <c r="D24" s="36"/>
      <c r="E24" s="36"/>
      <c r="F24" s="36"/>
      <c r="G24" s="36"/>
      <c r="H24" s="37"/>
    </row>
    <row r="25" ht="12.75" customHeight="1">
      <c r="A25" s="38"/>
      <c r="B25" s="39"/>
      <c r="H25" s="40"/>
    </row>
    <row r="26" ht="12.75" customHeight="1">
      <c r="A26" s="41"/>
      <c r="B26" s="42"/>
      <c r="C26" s="43"/>
      <c r="D26" s="43"/>
      <c r="E26" s="43"/>
      <c r="F26" s="43"/>
      <c r="G26" s="43"/>
      <c r="H26" s="44"/>
    </row>
    <row r="27" ht="7.5" customHeight="1"/>
    <row r="28" ht="12.75" customHeight="1">
      <c r="A28" s="47" t="s">
        <v>36</v>
      </c>
    </row>
    <row r="29" ht="76.5" customHeight="1">
      <c r="A29" s="48" t="s">
        <v>37</v>
      </c>
    </row>
    <row r="30" ht="6.0" customHeight="1">
      <c r="A30" s="49"/>
    </row>
    <row r="31" ht="33.75" customHeight="1">
      <c r="A31" s="48" t="s">
        <v>38</v>
      </c>
    </row>
    <row r="32" ht="6.0" customHeight="1">
      <c r="A32" s="49"/>
    </row>
    <row r="33" ht="45.75" customHeight="1">
      <c r="A33" s="48" t="s">
        <v>39</v>
      </c>
    </row>
    <row r="34" ht="6.0" customHeight="1">
      <c r="A34" s="49"/>
    </row>
    <row r="35" ht="111.0" customHeight="1">
      <c r="A35" s="48" t="s">
        <v>40</v>
      </c>
    </row>
    <row r="36" ht="18.0" customHeight="1">
      <c r="A36" s="48" t="s">
        <v>41</v>
      </c>
    </row>
    <row r="37" ht="6.0" customHeight="1">
      <c r="A37" s="49"/>
    </row>
    <row r="38" ht="18.0" customHeight="1">
      <c r="A38" s="48" t="s">
        <v>42</v>
      </c>
    </row>
    <row r="39" ht="6.75" customHeight="1">
      <c r="A39" s="48"/>
      <c r="B39" s="50"/>
      <c r="C39" s="50"/>
      <c r="D39" s="50"/>
      <c r="E39" s="50"/>
      <c r="F39" s="50"/>
      <c r="G39" s="50"/>
      <c r="H39" s="50"/>
      <c r="I39" s="50"/>
    </row>
    <row r="40" ht="60.75" customHeight="1">
      <c r="A40" s="48" t="s">
        <v>43</v>
      </c>
    </row>
    <row r="41" ht="60.0" customHeight="1">
      <c r="A41" s="51" t="s">
        <v>44</v>
      </c>
    </row>
    <row r="42" ht="12.75" customHeight="1"/>
    <row r="43" ht="12.75" customHeight="1"/>
    <row r="44" ht="15.75" customHeight="1">
      <c r="A44" s="52" t="s">
        <v>45</v>
      </c>
      <c r="C44" s="53"/>
      <c r="D44" s="54"/>
      <c r="E44" s="25"/>
      <c r="F44" s="25"/>
      <c r="G44" s="25"/>
      <c r="H44" s="25"/>
    </row>
    <row r="45" ht="13.5" customHeight="1">
      <c r="A45" s="55"/>
      <c r="B45" s="56" t="s">
        <v>46</v>
      </c>
      <c r="C45" s="53"/>
      <c r="D45" s="54"/>
      <c r="E45" s="25"/>
      <c r="F45" s="25"/>
      <c r="G45" s="25"/>
      <c r="H45" s="25"/>
    </row>
    <row r="46" ht="13.5" customHeight="1">
      <c r="B46" s="25" t="s">
        <v>47</v>
      </c>
      <c r="C46" s="53"/>
      <c r="D46" s="54"/>
      <c r="E46" s="25"/>
      <c r="F46" s="25"/>
      <c r="G46" s="25"/>
      <c r="H46" s="25"/>
    </row>
    <row r="47" ht="13.5" customHeight="1">
      <c r="A47" s="57"/>
      <c r="B47" s="58" t="s">
        <v>48</v>
      </c>
      <c r="C47" s="53"/>
      <c r="D47" s="54"/>
      <c r="E47" s="25"/>
      <c r="F47" s="25"/>
      <c r="G47" s="25"/>
      <c r="H47" s="25"/>
    </row>
    <row r="48" ht="13.5" customHeight="1">
      <c r="B48" s="58" t="s">
        <v>49</v>
      </c>
      <c r="C48" s="53"/>
      <c r="D48" s="54"/>
      <c r="E48" s="25"/>
      <c r="F48" s="25"/>
      <c r="G48" s="25"/>
      <c r="H48" s="25"/>
    </row>
    <row r="49" ht="13.5" customHeight="1">
      <c r="A49" s="59"/>
      <c r="B49" s="56" t="s">
        <v>50</v>
      </c>
      <c r="C49" s="53"/>
      <c r="D49" s="54"/>
      <c r="E49" s="25"/>
      <c r="F49" s="25"/>
      <c r="G49" s="25"/>
      <c r="H49" s="25"/>
    </row>
    <row r="50" ht="13.5" customHeight="1">
      <c r="A50" s="60"/>
      <c r="B50" s="58" t="s">
        <v>51</v>
      </c>
      <c r="C50" s="53"/>
      <c r="D50" s="54"/>
      <c r="E50" s="25"/>
      <c r="F50" s="25"/>
      <c r="G50" s="25"/>
      <c r="H50" s="25"/>
    </row>
    <row r="51" ht="13.5" customHeight="1">
      <c r="A51" s="61"/>
      <c r="B51" s="62" t="s">
        <v>52</v>
      </c>
      <c r="C51" s="53"/>
      <c r="D51" s="54"/>
      <c r="E51" s="25"/>
      <c r="F51" s="25"/>
      <c r="G51" s="25"/>
      <c r="H51" s="25"/>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6">
    <mergeCell ref="A2:H2"/>
    <mergeCell ref="A3:A5"/>
    <mergeCell ref="B3:H5"/>
    <mergeCell ref="A6:A8"/>
    <mergeCell ref="B6:H8"/>
    <mergeCell ref="A9:A11"/>
    <mergeCell ref="B9:H11"/>
    <mergeCell ref="A21:A23"/>
    <mergeCell ref="A24:A26"/>
    <mergeCell ref="A12:A14"/>
    <mergeCell ref="B12:H14"/>
    <mergeCell ref="A15:A17"/>
    <mergeCell ref="B15:H17"/>
    <mergeCell ref="A18:A20"/>
    <mergeCell ref="B18:H20"/>
    <mergeCell ref="B21:H23"/>
    <mergeCell ref="A40:I40"/>
    <mergeCell ref="A41:I41"/>
    <mergeCell ref="A44:B44"/>
    <mergeCell ref="B24:H26"/>
    <mergeCell ref="A29:I29"/>
    <mergeCell ref="A31:I31"/>
    <mergeCell ref="A33:I33"/>
    <mergeCell ref="A35:I35"/>
    <mergeCell ref="A36:I36"/>
    <mergeCell ref="A38:I38"/>
  </mergeCells>
  <hyperlinks>
    <hyperlink r:id="rId1" ref="A41"/>
  </hyperlinks>
  <printOptions/>
  <pageMargins bottom="0.75" footer="0.0" header="0.0" left="0.7" right="0.7" top="0.75"/>
  <pageSetup orientation="landscape"/>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CCCC"/>
    <pageSetUpPr/>
  </sheetPr>
  <sheetViews>
    <sheetView workbookViewId="0"/>
  </sheetViews>
  <sheetFormatPr customHeight="1" defaultColWidth="12.63" defaultRowHeight="15.0"/>
  <cols>
    <col customWidth="1" min="1" max="1" width="33.13"/>
    <col customWidth="1" min="2" max="2" width="9.63"/>
    <col customWidth="1" min="3" max="7" width="9.38"/>
    <col customWidth="1" min="8" max="9" width="9.5"/>
    <col customWidth="1" min="10" max="10" width="8.0"/>
    <col customWidth="1" min="11" max="12" width="8.5"/>
    <col customWidth="1" min="13" max="14" width="8.88"/>
    <col customWidth="1" min="15" max="16" width="8.38"/>
    <col customWidth="1" min="17" max="18" width="8.88"/>
    <col customWidth="1" min="19" max="26" width="10.0"/>
  </cols>
  <sheetData>
    <row r="1" ht="27.75" customHeight="1">
      <c r="A1" s="363" t="s">
        <v>1123</v>
      </c>
      <c r="B1" s="90"/>
      <c r="C1" s="90"/>
      <c r="D1" s="90"/>
      <c r="E1" s="90"/>
      <c r="F1" s="91"/>
      <c r="G1" s="363"/>
      <c r="H1" s="90"/>
      <c r="I1" s="90"/>
      <c r="J1" s="90"/>
      <c r="K1" s="90"/>
      <c r="L1" s="90"/>
      <c r="M1" s="91"/>
    </row>
    <row r="2" ht="12.75" customHeight="1">
      <c r="A2" s="111" t="s">
        <v>1124</v>
      </c>
      <c r="B2" s="25"/>
      <c r="C2" s="25"/>
      <c r="D2" s="25"/>
      <c r="E2" s="25"/>
      <c r="F2" s="25"/>
      <c r="G2" s="25"/>
      <c r="H2" s="25"/>
      <c r="I2" s="25"/>
      <c r="J2" s="25"/>
      <c r="K2" s="25"/>
      <c r="L2" s="25"/>
      <c r="M2" s="25"/>
      <c r="N2" s="25"/>
      <c r="O2" s="25"/>
      <c r="P2" s="25"/>
      <c r="Q2" s="25"/>
      <c r="R2" s="25"/>
      <c r="S2" s="25"/>
      <c r="T2" s="25"/>
      <c r="U2" s="25"/>
      <c r="V2" s="25"/>
      <c r="W2" s="25"/>
      <c r="X2" s="25"/>
      <c r="Y2" s="25"/>
      <c r="Z2" s="25"/>
    </row>
    <row r="3" ht="12.75" customHeight="1">
      <c r="A3" s="56" t="s">
        <v>1125</v>
      </c>
      <c r="B3" s="56" t="s">
        <v>1126</v>
      </c>
      <c r="G3" s="47"/>
    </row>
    <row r="4" ht="12.75" customHeight="1">
      <c r="B4" s="56" t="s">
        <v>1127</v>
      </c>
      <c r="G4" s="86"/>
      <c r="H4" s="86"/>
      <c r="I4" s="86"/>
      <c r="J4" s="86"/>
      <c r="K4" s="86"/>
      <c r="L4" s="86"/>
    </row>
    <row r="5" ht="12.75" customHeight="1">
      <c r="B5" s="56" t="s">
        <v>1128</v>
      </c>
      <c r="G5" s="97"/>
      <c r="H5" s="97"/>
      <c r="I5" s="97"/>
      <c r="J5" s="97"/>
      <c r="K5" s="73"/>
      <c r="L5" s="73"/>
    </row>
    <row r="6" ht="12.75" customHeight="1"/>
    <row r="7" ht="26.25" customHeight="1">
      <c r="A7" s="364" t="s">
        <v>1129</v>
      </c>
    </row>
    <row r="8" ht="12.75" customHeight="1">
      <c r="A8" s="12"/>
      <c r="B8" s="12"/>
      <c r="C8" s="12"/>
      <c r="D8" s="12"/>
      <c r="E8" s="12"/>
      <c r="F8" s="12"/>
    </row>
    <row r="9" ht="15.75" customHeight="1">
      <c r="A9" s="365" t="s">
        <v>1130</v>
      </c>
      <c r="B9" s="12"/>
      <c r="C9" s="12"/>
      <c r="D9" s="12"/>
      <c r="E9" s="12"/>
      <c r="F9" s="12"/>
      <c r="G9" s="25"/>
    </row>
    <row r="10" ht="12.75" customHeight="1">
      <c r="A10" s="47"/>
      <c r="B10" s="65" t="s">
        <v>55</v>
      </c>
      <c r="I10" s="25"/>
    </row>
    <row r="11" ht="12.75" customHeight="1">
      <c r="A11" s="65" t="s">
        <v>195</v>
      </c>
      <c r="B11" s="71" t="s">
        <v>76</v>
      </c>
      <c r="C11" s="71" t="s">
        <v>77</v>
      </c>
      <c r="D11" s="71" t="s">
        <v>78</v>
      </c>
      <c r="E11" s="67" t="s">
        <v>79</v>
      </c>
      <c r="F11" s="67" t="s">
        <v>80</v>
      </c>
      <c r="G11" s="71" t="s">
        <v>81</v>
      </c>
      <c r="H11" s="71" t="s">
        <v>82</v>
      </c>
      <c r="I11" s="71" t="s">
        <v>83</v>
      </c>
      <c r="J11" s="71" t="s">
        <v>84</v>
      </c>
      <c r="K11" s="71" t="s">
        <v>85</v>
      </c>
      <c r="L11" s="71" t="s">
        <v>185</v>
      </c>
      <c r="M11" s="71" t="s">
        <v>186</v>
      </c>
      <c r="N11" s="71" t="s">
        <v>187</v>
      </c>
      <c r="O11" s="71" t="s">
        <v>188</v>
      </c>
      <c r="P11" s="71" t="s">
        <v>189</v>
      </c>
      <c r="Q11" s="71" t="s">
        <v>190</v>
      </c>
      <c r="R11" s="71" t="s">
        <v>191</v>
      </c>
    </row>
    <row r="12" ht="12.75" customHeight="1">
      <c r="A12" s="55" t="s">
        <v>1131</v>
      </c>
      <c r="B12" s="115">
        <v>1107960.0</v>
      </c>
      <c r="C12" s="115">
        <v>1094630.0</v>
      </c>
      <c r="D12" s="115">
        <v>954940.0</v>
      </c>
      <c r="E12" s="124">
        <v>865640.0</v>
      </c>
      <c r="F12" s="124">
        <v>860580.0</v>
      </c>
      <c r="G12" s="115">
        <v>814180.0</v>
      </c>
      <c r="H12" s="124">
        <v>876460.0</v>
      </c>
      <c r="I12" s="124">
        <v>811840.0</v>
      </c>
      <c r="J12" s="115">
        <v>890060.0</v>
      </c>
      <c r="K12" s="115">
        <v>771660.0</v>
      </c>
      <c r="L12" s="115">
        <v>789500.0</v>
      </c>
      <c r="M12" s="115">
        <v>801000.0</v>
      </c>
      <c r="N12" s="115">
        <v>682160.0</v>
      </c>
      <c r="O12" s="115">
        <v>680260.0</v>
      </c>
      <c r="P12" s="115">
        <v>680260.0</v>
      </c>
      <c r="Q12" s="115">
        <v>680260.0</v>
      </c>
      <c r="R12" s="115">
        <v>944360.0</v>
      </c>
      <c r="S12" s="25"/>
      <c r="T12" s="25"/>
      <c r="U12" s="25"/>
      <c r="V12" s="25"/>
      <c r="W12" s="25"/>
      <c r="X12" s="25"/>
      <c r="Y12" s="25"/>
      <c r="Z12" s="25"/>
    </row>
    <row r="13" ht="12.75" customHeight="1">
      <c r="A13" s="55" t="s">
        <v>1132</v>
      </c>
      <c r="B13" s="318">
        <v>0.1</v>
      </c>
      <c r="C13" s="318">
        <v>0.17</v>
      </c>
      <c r="D13" s="318">
        <v>0.22</v>
      </c>
      <c r="E13" s="318">
        <v>0.22</v>
      </c>
      <c r="F13" s="318">
        <v>1.0</v>
      </c>
      <c r="G13" s="318">
        <v>1.0</v>
      </c>
      <c r="H13" s="318">
        <v>1.0</v>
      </c>
      <c r="I13" s="318">
        <v>1.0</v>
      </c>
      <c r="J13" s="318">
        <v>1.0</v>
      </c>
      <c r="K13" s="318">
        <v>1.0</v>
      </c>
      <c r="L13" s="318">
        <v>1.0</v>
      </c>
      <c r="M13" s="318">
        <v>1.0</v>
      </c>
      <c r="N13" s="318">
        <v>1.0</v>
      </c>
      <c r="O13" s="318">
        <v>1.0</v>
      </c>
      <c r="P13" s="318">
        <v>1.0</v>
      </c>
      <c r="Q13" s="318">
        <v>1.0</v>
      </c>
      <c r="R13" s="318">
        <v>1.0</v>
      </c>
      <c r="S13" s="25"/>
      <c r="T13" s="25"/>
      <c r="U13" s="25"/>
      <c r="V13" s="25"/>
      <c r="W13" s="25"/>
      <c r="X13" s="25"/>
      <c r="Y13" s="25"/>
      <c r="Z13" s="25"/>
    </row>
    <row r="14" ht="12.75" customHeight="1">
      <c r="A14" s="55" t="s">
        <v>1133</v>
      </c>
      <c r="B14" s="318">
        <v>0.9</v>
      </c>
      <c r="C14" s="318">
        <v>0.83</v>
      </c>
      <c r="D14" s="318">
        <v>0.78</v>
      </c>
      <c r="E14" s="318">
        <v>0.78</v>
      </c>
      <c r="F14" s="318">
        <v>0.0</v>
      </c>
      <c r="G14" s="318">
        <v>0.0</v>
      </c>
      <c r="H14" s="318">
        <v>0.0</v>
      </c>
      <c r="I14" s="318">
        <v>0.0</v>
      </c>
      <c r="J14" s="318">
        <v>0.0</v>
      </c>
      <c r="K14" s="318">
        <v>0.0</v>
      </c>
      <c r="L14" s="318">
        <v>0.0</v>
      </c>
      <c r="M14" s="318">
        <v>0.0</v>
      </c>
      <c r="N14" s="318">
        <v>0.0</v>
      </c>
      <c r="O14" s="318">
        <v>0.0</v>
      </c>
      <c r="P14" s="318">
        <v>0.0</v>
      </c>
      <c r="Q14" s="318">
        <v>0.0</v>
      </c>
      <c r="R14" s="318">
        <v>0.0</v>
      </c>
      <c r="S14" s="25"/>
      <c r="T14" s="25"/>
      <c r="U14" s="25"/>
      <c r="V14" s="25"/>
      <c r="W14" s="25"/>
      <c r="X14" s="25"/>
      <c r="Y14" s="25"/>
      <c r="Z14" s="25"/>
    </row>
    <row r="15" ht="13.5" customHeight="1">
      <c r="A15" s="65" t="s">
        <v>1134</v>
      </c>
      <c r="B15" s="225"/>
      <c r="C15" s="25"/>
      <c r="D15" s="25"/>
      <c r="E15" s="25"/>
      <c r="F15" s="25"/>
      <c r="G15" s="25"/>
      <c r="H15" s="25"/>
      <c r="I15" s="25"/>
      <c r="J15" s="25"/>
      <c r="K15" s="25"/>
      <c r="L15" s="25"/>
      <c r="M15" s="25"/>
      <c r="N15" s="25"/>
      <c r="O15" s="25"/>
      <c r="P15" s="25"/>
      <c r="Q15" s="25"/>
      <c r="R15" s="25"/>
      <c r="S15" s="25"/>
      <c r="T15" s="25"/>
      <c r="U15" s="25"/>
      <c r="V15" s="25"/>
      <c r="W15" s="25"/>
      <c r="X15" s="25"/>
      <c r="Y15" s="25"/>
      <c r="Z15" s="25"/>
    </row>
    <row r="16" ht="12.75" customHeight="1">
      <c r="A16" s="55" t="s">
        <v>1135</v>
      </c>
      <c r="B16" s="366">
        <v>0.0</v>
      </c>
      <c r="C16" s="367">
        <v>0.52</v>
      </c>
      <c r="D16" s="367">
        <v>0.5</v>
      </c>
      <c r="E16" s="367">
        <v>0.43</v>
      </c>
      <c r="F16" s="367">
        <v>0.39</v>
      </c>
      <c r="G16" s="368">
        <v>0.36</v>
      </c>
      <c r="H16" s="368">
        <v>0.24</v>
      </c>
      <c r="I16" s="368">
        <v>0.24</v>
      </c>
      <c r="J16" s="368">
        <v>0.24</v>
      </c>
      <c r="K16" s="368">
        <v>0.24</v>
      </c>
      <c r="L16" s="368">
        <v>0.24</v>
      </c>
      <c r="M16" s="368">
        <v>0.24</v>
      </c>
      <c r="N16" s="368">
        <v>0.24</v>
      </c>
      <c r="O16" s="368">
        <v>0.24</v>
      </c>
      <c r="P16" s="368">
        <v>0.24</v>
      </c>
      <c r="Q16" s="368">
        <v>0.24</v>
      </c>
      <c r="R16" s="368">
        <v>0.24</v>
      </c>
      <c r="S16" s="25"/>
      <c r="T16" s="25"/>
      <c r="U16" s="25"/>
      <c r="V16" s="25"/>
      <c r="W16" s="25"/>
      <c r="X16" s="25"/>
      <c r="Y16" s="25"/>
      <c r="Z16" s="25"/>
    </row>
    <row r="17" ht="15.0" customHeight="1">
      <c r="A17" s="55" t="s">
        <v>1136</v>
      </c>
      <c r="B17" s="369">
        <f>1-B18</f>
        <v>0.208</v>
      </c>
      <c r="C17" s="367">
        <v>0.07</v>
      </c>
      <c r="D17" s="367">
        <v>0.075</v>
      </c>
      <c r="E17" s="367">
        <v>0.01</v>
      </c>
      <c r="F17" s="367">
        <v>0.0</v>
      </c>
      <c r="G17" s="368">
        <v>0.0</v>
      </c>
      <c r="H17" s="368">
        <v>0.0</v>
      </c>
      <c r="I17" s="368">
        <v>0.0</v>
      </c>
      <c r="J17" s="368">
        <v>0.0</v>
      </c>
      <c r="K17" s="368">
        <v>0.0</v>
      </c>
      <c r="L17" s="368">
        <v>0.0</v>
      </c>
      <c r="M17" s="368">
        <v>0.0</v>
      </c>
      <c r="N17" s="368">
        <v>0.0</v>
      </c>
      <c r="O17" s="368">
        <v>0.0</v>
      </c>
      <c r="P17" s="368">
        <v>0.0</v>
      </c>
      <c r="Q17" s="368">
        <v>0.0</v>
      </c>
      <c r="R17" s="368">
        <v>0.0</v>
      </c>
      <c r="S17" s="25"/>
      <c r="T17" s="25"/>
      <c r="U17" s="25"/>
      <c r="V17" s="25"/>
      <c r="W17" s="25"/>
      <c r="X17" s="25"/>
      <c r="Y17" s="25"/>
      <c r="Z17" s="25"/>
    </row>
    <row r="18" ht="13.5" customHeight="1">
      <c r="A18" s="55" t="s">
        <v>1137</v>
      </c>
      <c r="B18" s="370">
        <v>0.792</v>
      </c>
      <c r="C18" s="367">
        <v>0.41</v>
      </c>
      <c r="D18" s="367">
        <v>0.425</v>
      </c>
      <c r="E18" s="367">
        <v>0.56</v>
      </c>
      <c r="F18" s="367">
        <v>0.61</v>
      </c>
      <c r="G18" s="368">
        <v>0.64</v>
      </c>
      <c r="H18" s="368">
        <v>0.76</v>
      </c>
      <c r="I18" s="368">
        <v>0.76</v>
      </c>
      <c r="J18" s="368">
        <v>0.76</v>
      </c>
      <c r="K18" s="368">
        <v>0.76</v>
      </c>
      <c r="L18" s="368">
        <v>0.76</v>
      </c>
      <c r="M18" s="368">
        <v>0.76</v>
      </c>
      <c r="N18" s="368">
        <v>0.76</v>
      </c>
      <c r="O18" s="368">
        <v>0.76</v>
      </c>
      <c r="P18" s="368">
        <v>0.76</v>
      </c>
      <c r="Q18" s="368">
        <v>0.76</v>
      </c>
      <c r="R18" s="368">
        <v>0.76</v>
      </c>
      <c r="S18" s="25"/>
      <c r="T18" s="25"/>
      <c r="U18" s="25"/>
      <c r="V18" s="25"/>
      <c r="W18" s="25"/>
      <c r="X18" s="25"/>
      <c r="Y18" s="25"/>
      <c r="Z18" s="25"/>
    </row>
    <row r="19" ht="12.75" customHeight="1">
      <c r="A19" s="25" t="s">
        <v>175</v>
      </c>
      <c r="B19" s="106">
        <f t="shared" ref="B19:R19" si="1">B$12*B13*$B43</f>
        <v>55.398</v>
      </c>
      <c r="C19" s="106">
        <f t="shared" si="1"/>
        <v>93.04355</v>
      </c>
      <c r="D19" s="106">
        <f t="shared" si="1"/>
        <v>105.0434</v>
      </c>
      <c r="E19" s="106">
        <f t="shared" si="1"/>
        <v>95.2204</v>
      </c>
      <c r="F19" s="106">
        <f t="shared" si="1"/>
        <v>430.29</v>
      </c>
      <c r="G19" s="106">
        <f t="shared" si="1"/>
        <v>407.09</v>
      </c>
      <c r="H19" s="106">
        <f t="shared" si="1"/>
        <v>438.23</v>
      </c>
      <c r="I19" s="106">
        <f t="shared" si="1"/>
        <v>405.92</v>
      </c>
      <c r="J19" s="106">
        <f t="shared" si="1"/>
        <v>445.03</v>
      </c>
      <c r="K19" s="106">
        <f t="shared" si="1"/>
        <v>385.83</v>
      </c>
      <c r="L19" s="106">
        <f t="shared" si="1"/>
        <v>394.75</v>
      </c>
      <c r="M19" s="106">
        <f t="shared" si="1"/>
        <v>400.5</v>
      </c>
      <c r="N19" s="106">
        <f t="shared" si="1"/>
        <v>341.08</v>
      </c>
      <c r="O19" s="106">
        <f t="shared" si="1"/>
        <v>340.13</v>
      </c>
      <c r="P19" s="106">
        <f t="shared" si="1"/>
        <v>340.13</v>
      </c>
      <c r="Q19" s="106">
        <f t="shared" si="1"/>
        <v>340.13</v>
      </c>
      <c r="R19" s="106">
        <f t="shared" si="1"/>
        <v>472.18</v>
      </c>
      <c r="S19" s="25"/>
      <c r="T19" s="25"/>
      <c r="U19" s="25"/>
      <c r="V19" s="25"/>
      <c r="W19" s="25"/>
      <c r="X19" s="25"/>
      <c r="Y19" s="25"/>
      <c r="Z19" s="25"/>
    </row>
    <row r="20" ht="15.0" customHeight="1">
      <c r="A20" s="25" t="s">
        <v>1138</v>
      </c>
      <c r="B20" s="252">
        <f t="shared" ref="B20:R20" si="2">B21/B19</f>
        <v>0.008068273289</v>
      </c>
      <c r="C20" s="252">
        <f t="shared" si="2"/>
        <v>0.02821452835</v>
      </c>
      <c r="D20" s="252">
        <f t="shared" si="2"/>
        <v>0.02743806174</v>
      </c>
      <c r="E20" s="252">
        <f t="shared" si="2"/>
        <v>0.02428857357</v>
      </c>
      <c r="F20" s="252">
        <f t="shared" si="2"/>
        <v>0.02263094822</v>
      </c>
      <c r="G20" s="252">
        <f t="shared" si="2"/>
        <v>0.02142698875</v>
      </c>
      <c r="H20" s="252">
        <f t="shared" si="2"/>
        <v>0.01661115089</v>
      </c>
      <c r="I20" s="252">
        <f t="shared" si="2"/>
        <v>0.01661115089</v>
      </c>
      <c r="J20" s="252">
        <f t="shared" si="2"/>
        <v>0.01661115089</v>
      </c>
      <c r="K20" s="252">
        <f t="shared" si="2"/>
        <v>0.01661115089</v>
      </c>
      <c r="L20" s="252">
        <f t="shared" si="2"/>
        <v>0.01661115089</v>
      </c>
      <c r="M20" s="252">
        <f t="shared" si="2"/>
        <v>0.01661115089</v>
      </c>
      <c r="N20" s="252">
        <f t="shared" si="2"/>
        <v>0.01661115089</v>
      </c>
      <c r="O20" s="252">
        <f t="shared" si="2"/>
        <v>0.01661115089</v>
      </c>
      <c r="P20" s="252">
        <f t="shared" si="2"/>
        <v>0.01661115089</v>
      </c>
      <c r="Q20" s="252">
        <f t="shared" si="2"/>
        <v>0.01661115089</v>
      </c>
      <c r="R20" s="252">
        <f t="shared" si="2"/>
        <v>0.01661115089</v>
      </c>
      <c r="S20" s="25"/>
      <c r="T20" s="25"/>
      <c r="U20" s="25"/>
      <c r="V20" s="25"/>
      <c r="W20" s="25"/>
      <c r="X20" s="25"/>
      <c r="Y20" s="25"/>
      <c r="Z20" s="25"/>
    </row>
    <row r="21" ht="15.0" customHeight="1">
      <c r="A21" s="47" t="s">
        <v>1139</v>
      </c>
      <c r="B21" s="73">
        <f t="shared" ref="B21:R21" si="3">B12*B13*(B16*$B48+B17*$B49+B18*$B50)*$B43</f>
        <v>0.4469662037</v>
      </c>
      <c r="C21" s="73">
        <f t="shared" si="3"/>
        <v>2.625179879</v>
      </c>
      <c r="D21" s="73">
        <f t="shared" si="3"/>
        <v>2.882187294</v>
      </c>
      <c r="E21" s="73">
        <f t="shared" si="3"/>
        <v>2.312767691</v>
      </c>
      <c r="F21" s="73">
        <f t="shared" si="3"/>
        <v>9.737870709</v>
      </c>
      <c r="G21" s="73">
        <f t="shared" si="3"/>
        <v>8.722712851</v>
      </c>
      <c r="H21" s="73">
        <f t="shared" si="3"/>
        <v>7.279504654</v>
      </c>
      <c r="I21" s="73">
        <f t="shared" si="3"/>
        <v>6.742798369</v>
      </c>
      <c r="J21" s="73">
        <f t="shared" si="3"/>
        <v>7.39246048</v>
      </c>
      <c r="K21" s="73">
        <f t="shared" si="3"/>
        <v>6.409080348</v>
      </c>
      <c r="L21" s="73">
        <f t="shared" si="3"/>
        <v>6.557251814</v>
      </c>
      <c r="M21" s="73">
        <f t="shared" si="3"/>
        <v>6.652765931</v>
      </c>
      <c r="N21" s="73">
        <f t="shared" si="3"/>
        <v>5.665731345</v>
      </c>
      <c r="O21" s="73">
        <f t="shared" si="3"/>
        <v>5.649950752</v>
      </c>
      <c r="P21" s="73">
        <f t="shared" si="3"/>
        <v>5.649950752</v>
      </c>
      <c r="Q21" s="73">
        <f t="shared" si="3"/>
        <v>5.649950752</v>
      </c>
      <c r="R21" s="73">
        <f t="shared" si="3"/>
        <v>7.843453227</v>
      </c>
      <c r="S21" s="25"/>
      <c r="T21" s="25"/>
      <c r="U21" s="25"/>
      <c r="V21" s="25"/>
      <c r="W21" s="25"/>
      <c r="X21" s="25"/>
      <c r="Y21" s="25"/>
      <c r="Z21" s="25"/>
    </row>
    <row r="22" ht="13.5" customHeight="1">
      <c r="A22" s="65" t="s">
        <v>1140</v>
      </c>
      <c r="B22" s="225"/>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2.75" customHeight="1">
      <c r="A23" s="55" t="s">
        <v>1135</v>
      </c>
      <c r="B23" s="366">
        <v>0.0</v>
      </c>
      <c r="C23" s="367">
        <v>0.35</v>
      </c>
      <c r="D23" s="367">
        <v>0.23</v>
      </c>
      <c r="E23" s="367">
        <v>0.18</v>
      </c>
      <c r="F23" s="367">
        <v>0.0</v>
      </c>
      <c r="G23" s="367">
        <v>0.0</v>
      </c>
      <c r="H23" s="367">
        <v>0.0</v>
      </c>
      <c r="I23" s="367">
        <v>0.0</v>
      </c>
      <c r="J23" s="367">
        <v>0.0</v>
      </c>
      <c r="K23" s="367">
        <v>0.0</v>
      </c>
      <c r="L23" s="367">
        <v>0.0</v>
      </c>
      <c r="M23" s="367">
        <v>0.0</v>
      </c>
      <c r="N23" s="367">
        <v>0.0</v>
      </c>
      <c r="O23" s="367">
        <v>0.0</v>
      </c>
      <c r="P23" s="367">
        <v>0.0</v>
      </c>
      <c r="Q23" s="367">
        <v>0.0</v>
      </c>
      <c r="R23" s="367">
        <v>0.0</v>
      </c>
      <c r="S23" s="25"/>
      <c r="T23" s="25"/>
      <c r="U23" s="25"/>
      <c r="V23" s="25"/>
      <c r="W23" s="25"/>
      <c r="X23" s="25"/>
      <c r="Y23" s="25"/>
      <c r="Z23" s="25"/>
    </row>
    <row r="24" ht="15.0" customHeight="1">
      <c r="A24" s="55" t="s">
        <v>1141</v>
      </c>
      <c r="B24" s="369">
        <v>1.0</v>
      </c>
      <c r="C24" s="367">
        <v>0.58</v>
      </c>
      <c r="D24" s="367">
        <v>0.29</v>
      </c>
      <c r="E24" s="367">
        <v>0.0</v>
      </c>
      <c r="F24" s="367">
        <v>0.0</v>
      </c>
      <c r="G24" s="367">
        <v>0.0</v>
      </c>
      <c r="H24" s="367">
        <v>0.0</v>
      </c>
      <c r="I24" s="367">
        <v>0.0</v>
      </c>
      <c r="J24" s="367">
        <v>0.0</v>
      </c>
      <c r="K24" s="367">
        <v>0.0</v>
      </c>
      <c r="L24" s="367">
        <v>0.0</v>
      </c>
      <c r="M24" s="367">
        <v>0.0</v>
      </c>
      <c r="N24" s="367">
        <v>0.0</v>
      </c>
      <c r="O24" s="367">
        <v>0.0</v>
      </c>
      <c r="P24" s="367">
        <v>0.0</v>
      </c>
      <c r="Q24" s="367">
        <v>0.0</v>
      </c>
      <c r="R24" s="367">
        <v>0.0</v>
      </c>
      <c r="S24" s="25"/>
      <c r="T24" s="25"/>
      <c r="U24" s="25"/>
      <c r="V24" s="25"/>
      <c r="W24" s="25"/>
      <c r="X24" s="25"/>
      <c r="Y24" s="25"/>
      <c r="Z24" s="25"/>
    </row>
    <row r="25" ht="13.5" customHeight="1">
      <c r="A25" s="55" t="s">
        <v>1137</v>
      </c>
      <c r="B25" s="370">
        <v>0.0</v>
      </c>
      <c r="C25" s="367">
        <v>0.07</v>
      </c>
      <c r="D25" s="367">
        <v>0.48</v>
      </c>
      <c r="E25" s="367">
        <v>0.82</v>
      </c>
      <c r="F25" s="367">
        <v>0.0</v>
      </c>
      <c r="G25" s="367">
        <v>0.0</v>
      </c>
      <c r="H25" s="367">
        <v>0.0</v>
      </c>
      <c r="I25" s="367">
        <v>0.0</v>
      </c>
      <c r="J25" s="367">
        <v>0.0</v>
      </c>
      <c r="K25" s="367">
        <v>0.0</v>
      </c>
      <c r="L25" s="367">
        <v>0.0</v>
      </c>
      <c r="M25" s="367">
        <v>0.0</v>
      </c>
      <c r="N25" s="367">
        <v>0.0</v>
      </c>
      <c r="O25" s="367">
        <v>0.0</v>
      </c>
      <c r="P25" s="367">
        <v>0.0</v>
      </c>
      <c r="Q25" s="367">
        <v>0.0</v>
      </c>
      <c r="R25" s="367">
        <v>0.0</v>
      </c>
      <c r="S25" s="25"/>
      <c r="T25" s="25"/>
      <c r="U25" s="25"/>
      <c r="V25" s="25"/>
      <c r="W25" s="25"/>
      <c r="X25" s="25"/>
      <c r="Y25" s="25"/>
      <c r="Z25" s="25"/>
    </row>
    <row r="26" ht="12.75" customHeight="1">
      <c r="A26" s="25" t="s">
        <v>175</v>
      </c>
      <c r="B26" s="106">
        <f t="shared" ref="B26:F26" si="4">B$12*B14*$B43</f>
        <v>498.582</v>
      </c>
      <c r="C26" s="106">
        <f t="shared" si="4"/>
        <v>454.27145</v>
      </c>
      <c r="D26" s="106">
        <f t="shared" si="4"/>
        <v>372.4266</v>
      </c>
      <c r="E26" s="106">
        <f t="shared" si="4"/>
        <v>337.5996</v>
      </c>
      <c r="F26" s="106">
        <f t="shared" si="4"/>
        <v>0</v>
      </c>
      <c r="G26" s="371">
        <v>0.0</v>
      </c>
      <c r="H26" s="371">
        <v>0.0</v>
      </c>
      <c r="I26" s="371">
        <v>0.0</v>
      </c>
      <c r="J26" s="371">
        <v>0.0</v>
      </c>
      <c r="K26" s="371">
        <v>0.0</v>
      </c>
      <c r="L26" s="371">
        <v>0.0</v>
      </c>
      <c r="M26" s="371">
        <v>0.0</v>
      </c>
      <c r="N26" s="371">
        <v>0.0</v>
      </c>
      <c r="O26" s="371">
        <v>0.0</v>
      </c>
      <c r="P26" s="371">
        <v>0.0</v>
      </c>
      <c r="Q26" s="371">
        <v>0.0</v>
      </c>
      <c r="R26" s="371">
        <v>0.0</v>
      </c>
      <c r="S26" s="25"/>
      <c r="T26" s="25"/>
      <c r="U26" s="25"/>
      <c r="V26" s="25"/>
      <c r="W26" s="25"/>
      <c r="X26" s="25"/>
      <c r="Y26" s="25"/>
      <c r="Z26" s="25"/>
    </row>
    <row r="27" ht="15.0" customHeight="1">
      <c r="A27" s="25" t="s">
        <v>1142</v>
      </c>
      <c r="B27" s="252">
        <f t="shared" ref="B27:E27" si="5">B28/B26</f>
        <v>0.01221408154</v>
      </c>
      <c r="C27" s="252">
        <f t="shared" si="5"/>
        <v>0.02406174063</v>
      </c>
      <c r="D27" s="252">
        <f t="shared" si="5"/>
        <v>0.01772786692</v>
      </c>
      <c r="E27" s="252">
        <f t="shared" si="5"/>
        <v>0.01420323196</v>
      </c>
      <c r="F27" s="252">
        <v>0.0</v>
      </c>
      <c r="G27" s="371">
        <v>0.0</v>
      </c>
      <c r="H27" s="371">
        <v>0.0</v>
      </c>
      <c r="I27" s="371">
        <v>0.0</v>
      </c>
      <c r="J27" s="371">
        <v>0.0</v>
      </c>
      <c r="K27" s="371">
        <v>0.0</v>
      </c>
      <c r="L27" s="371">
        <v>0.0</v>
      </c>
      <c r="M27" s="371">
        <v>0.0</v>
      </c>
      <c r="N27" s="371">
        <v>0.0</v>
      </c>
      <c r="O27" s="371">
        <v>0.0</v>
      </c>
      <c r="P27" s="371">
        <v>0.0</v>
      </c>
      <c r="Q27" s="371">
        <v>0.0</v>
      </c>
      <c r="R27" s="371">
        <v>0.0</v>
      </c>
      <c r="S27" s="25"/>
      <c r="T27" s="25"/>
      <c r="U27" s="25"/>
      <c r="V27" s="25"/>
      <c r="W27" s="25"/>
      <c r="X27" s="25"/>
      <c r="Y27" s="25"/>
      <c r="Z27" s="25"/>
    </row>
    <row r="28" ht="15.0" customHeight="1">
      <c r="A28" s="47" t="s">
        <v>1143</v>
      </c>
      <c r="B28" s="73">
        <f t="shared" ref="B28:F28" si="6">B12*B14*(B23*$B48+B24*$B49+B25*$B50)*$B43</f>
        <v>6.089721201</v>
      </c>
      <c r="C28" s="73">
        <f t="shared" si="6"/>
        <v>10.9305618</v>
      </c>
      <c r="D28" s="73">
        <f t="shared" si="6"/>
        <v>6.602329201</v>
      </c>
      <c r="E28" s="73">
        <f t="shared" si="6"/>
        <v>4.795005428</v>
      </c>
      <c r="F28" s="73">
        <f t="shared" si="6"/>
        <v>0</v>
      </c>
      <c r="G28" s="371">
        <v>0.0</v>
      </c>
      <c r="H28" s="371">
        <v>0.0</v>
      </c>
      <c r="I28" s="371">
        <v>0.0</v>
      </c>
      <c r="J28" s="371">
        <v>0.0</v>
      </c>
      <c r="K28" s="371">
        <v>0.0</v>
      </c>
      <c r="L28" s="371">
        <v>0.0</v>
      </c>
      <c r="M28" s="371">
        <v>0.0</v>
      </c>
      <c r="N28" s="371">
        <v>0.0</v>
      </c>
      <c r="O28" s="371">
        <v>0.0</v>
      </c>
      <c r="P28" s="371">
        <v>0.0</v>
      </c>
      <c r="Q28" s="371">
        <v>0.0</v>
      </c>
      <c r="R28" s="371">
        <v>0.0</v>
      </c>
      <c r="S28" s="25"/>
      <c r="T28" s="25"/>
      <c r="U28" s="25"/>
      <c r="V28" s="25"/>
      <c r="W28" s="25"/>
      <c r="X28" s="25"/>
      <c r="Y28" s="25"/>
      <c r="Z28" s="25"/>
    </row>
    <row r="29" ht="12.75" customHeight="1">
      <c r="A29" s="47"/>
      <c r="B29" s="73"/>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365" t="s">
        <v>1144</v>
      </c>
      <c r="B30" s="25"/>
    </row>
    <row r="31" ht="12.75" customHeight="1">
      <c r="A31" s="47"/>
    </row>
    <row r="32" ht="12.75" customHeight="1">
      <c r="A32" s="65" t="s">
        <v>195</v>
      </c>
      <c r="B32" s="71" t="s">
        <v>76</v>
      </c>
      <c r="C32" s="71" t="s">
        <v>77</v>
      </c>
      <c r="D32" s="71" t="s">
        <v>78</v>
      </c>
      <c r="E32" s="67" t="s">
        <v>79</v>
      </c>
      <c r="F32" s="67" t="s">
        <v>80</v>
      </c>
      <c r="G32" s="71" t="s">
        <v>81</v>
      </c>
      <c r="H32" s="71" t="s">
        <v>63</v>
      </c>
      <c r="I32" s="71" t="s">
        <v>64</v>
      </c>
      <c r="J32" s="71" t="s">
        <v>65</v>
      </c>
      <c r="K32" s="71" t="s">
        <v>66</v>
      </c>
      <c r="L32" s="71" t="s">
        <v>185</v>
      </c>
      <c r="M32" s="71" t="s">
        <v>186</v>
      </c>
      <c r="N32" s="71" t="s">
        <v>187</v>
      </c>
      <c r="O32" s="71" t="s">
        <v>188</v>
      </c>
      <c r="P32" s="71" t="s">
        <v>189</v>
      </c>
      <c r="Q32" s="71" t="s">
        <v>190</v>
      </c>
      <c r="R32" s="71" t="s">
        <v>191</v>
      </c>
    </row>
    <row r="33" ht="15.0" customHeight="1">
      <c r="A33" s="57" t="s">
        <v>1145</v>
      </c>
      <c r="B33" s="105">
        <v>0.27</v>
      </c>
      <c r="C33" s="57">
        <v>0.27</v>
      </c>
      <c r="D33" s="57">
        <v>0.27</v>
      </c>
      <c r="E33" s="57">
        <v>0.27</v>
      </c>
      <c r="F33" s="57">
        <v>0.27</v>
      </c>
      <c r="G33" s="57">
        <v>0.27</v>
      </c>
      <c r="H33" s="57">
        <v>0.27</v>
      </c>
      <c r="I33" s="57">
        <v>0.27</v>
      </c>
      <c r="J33" s="57">
        <v>0.27</v>
      </c>
      <c r="K33" s="57">
        <v>0.27</v>
      </c>
      <c r="L33" s="57">
        <v>0.27</v>
      </c>
      <c r="M33" s="57">
        <v>0.27</v>
      </c>
      <c r="N33" s="57">
        <v>0.27</v>
      </c>
      <c r="O33" s="57">
        <v>0.27</v>
      </c>
      <c r="P33" s="57">
        <v>0.27</v>
      </c>
      <c r="Q33" s="57">
        <v>0.27</v>
      </c>
      <c r="R33" s="57">
        <v>0.27</v>
      </c>
      <c r="S33" s="25"/>
      <c r="T33" s="25"/>
      <c r="U33" s="25"/>
      <c r="V33" s="25"/>
      <c r="W33" s="25"/>
      <c r="X33" s="25"/>
      <c r="Y33" s="25"/>
      <c r="Z33" s="25"/>
    </row>
    <row r="34" ht="15.0" customHeight="1">
      <c r="A34" s="57" t="s">
        <v>1146</v>
      </c>
      <c r="B34" s="105">
        <v>0.07</v>
      </c>
      <c r="C34" s="57">
        <v>0.07</v>
      </c>
      <c r="D34" s="57">
        <v>0.07</v>
      </c>
      <c r="E34" s="57">
        <v>0.07</v>
      </c>
      <c r="F34" s="57">
        <v>0.07</v>
      </c>
      <c r="G34" s="57">
        <v>0.07</v>
      </c>
      <c r="H34" s="57">
        <v>0.07</v>
      </c>
      <c r="I34" s="57">
        <v>0.07</v>
      </c>
      <c r="J34" s="57">
        <v>0.07</v>
      </c>
      <c r="K34" s="57">
        <v>0.07</v>
      </c>
      <c r="L34" s="57">
        <v>0.07</v>
      </c>
      <c r="M34" s="57">
        <v>0.07</v>
      </c>
      <c r="N34" s="57">
        <v>0.07</v>
      </c>
      <c r="O34" s="57">
        <v>0.07</v>
      </c>
      <c r="P34" s="57">
        <v>0.07</v>
      </c>
      <c r="Q34" s="57">
        <v>0.07</v>
      </c>
      <c r="R34" s="57">
        <v>0.07</v>
      </c>
      <c r="S34" s="25"/>
      <c r="T34" s="25"/>
      <c r="U34" s="25"/>
      <c r="V34" s="25"/>
      <c r="W34" s="25"/>
      <c r="X34" s="25"/>
      <c r="Y34" s="25"/>
      <c r="Z34" s="25"/>
    </row>
    <row r="35" ht="15.0" customHeight="1">
      <c r="A35" s="57" t="s">
        <v>1147</v>
      </c>
      <c r="B35" s="105">
        <v>0.04</v>
      </c>
      <c r="C35" s="57">
        <v>0.04</v>
      </c>
      <c r="D35" s="57">
        <v>0.04</v>
      </c>
      <c r="E35" s="57">
        <v>0.04</v>
      </c>
      <c r="F35" s="57">
        <v>0.04</v>
      </c>
      <c r="G35" s="57">
        <v>0.04</v>
      </c>
      <c r="H35" s="57">
        <v>0.04</v>
      </c>
      <c r="I35" s="57">
        <v>0.04</v>
      </c>
      <c r="J35" s="57">
        <v>0.04</v>
      </c>
      <c r="K35" s="57">
        <v>0.04</v>
      </c>
      <c r="L35" s="57">
        <v>0.04</v>
      </c>
      <c r="M35" s="57">
        <v>0.04</v>
      </c>
      <c r="N35" s="57">
        <v>0.04</v>
      </c>
      <c r="O35" s="57">
        <v>0.04</v>
      </c>
      <c r="P35" s="57">
        <v>0.04</v>
      </c>
      <c r="Q35" s="57">
        <v>0.04</v>
      </c>
      <c r="R35" s="57">
        <v>0.04</v>
      </c>
      <c r="S35" s="25"/>
      <c r="T35" s="25"/>
      <c r="U35" s="25"/>
      <c r="V35" s="25"/>
      <c r="W35" s="25"/>
      <c r="X35" s="25"/>
      <c r="Y35" s="25"/>
      <c r="Z35" s="25"/>
    </row>
    <row r="36" ht="12.75" customHeight="1">
      <c r="A36" s="25" t="s">
        <v>175</v>
      </c>
      <c r="B36" s="106">
        <f t="shared" ref="B36:R36" si="7">B19+B26</f>
        <v>553.98</v>
      </c>
      <c r="C36" s="106">
        <f t="shared" si="7"/>
        <v>547.315</v>
      </c>
      <c r="D36" s="106">
        <f t="shared" si="7"/>
        <v>477.47</v>
      </c>
      <c r="E36" s="106">
        <f t="shared" si="7"/>
        <v>432.82</v>
      </c>
      <c r="F36" s="106">
        <f t="shared" si="7"/>
        <v>430.29</v>
      </c>
      <c r="G36" s="106">
        <f t="shared" si="7"/>
        <v>407.09</v>
      </c>
      <c r="H36" s="106">
        <f t="shared" si="7"/>
        <v>438.23</v>
      </c>
      <c r="I36" s="106">
        <f t="shared" si="7"/>
        <v>405.92</v>
      </c>
      <c r="J36" s="106">
        <f t="shared" si="7"/>
        <v>445.03</v>
      </c>
      <c r="K36" s="106">
        <f t="shared" si="7"/>
        <v>385.83</v>
      </c>
      <c r="L36" s="106">
        <f t="shared" si="7"/>
        <v>394.75</v>
      </c>
      <c r="M36" s="106">
        <f t="shared" si="7"/>
        <v>400.5</v>
      </c>
      <c r="N36" s="106">
        <f t="shared" si="7"/>
        <v>341.08</v>
      </c>
      <c r="O36" s="106">
        <f t="shared" si="7"/>
        <v>340.13</v>
      </c>
      <c r="P36" s="106">
        <f t="shared" si="7"/>
        <v>340.13</v>
      </c>
      <c r="Q36" s="106">
        <f t="shared" si="7"/>
        <v>340.13</v>
      </c>
      <c r="R36" s="106">
        <f t="shared" si="7"/>
        <v>472.18</v>
      </c>
    </row>
    <row r="37" ht="15.0" customHeight="1">
      <c r="A37" s="25" t="s">
        <v>1148</v>
      </c>
      <c r="B37" s="106">
        <f t="shared" ref="B37:R37" si="8">B21+B28</f>
        <v>6.536687404</v>
      </c>
      <c r="C37" s="106">
        <f t="shared" si="8"/>
        <v>13.55574168</v>
      </c>
      <c r="D37" s="106">
        <f t="shared" si="8"/>
        <v>9.484516495</v>
      </c>
      <c r="E37" s="106">
        <f t="shared" si="8"/>
        <v>7.107773118</v>
      </c>
      <c r="F37" s="106">
        <f t="shared" si="8"/>
        <v>9.737870709</v>
      </c>
      <c r="G37" s="106">
        <f t="shared" si="8"/>
        <v>8.722712851</v>
      </c>
      <c r="H37" s="106">
        <f t="shared" si="8"/>
        <v>7.279504654</v>
      </c>
      <c r="I37" s="106">
        <f t="shared" si="8"/>
        <v>6.742798369</v>
      </c>
      <c r="J37" s="106">
        <f t="shared" si="8"/>
        <v>7.39246048</v>
      </c>
      <c r="K37" s="106">
        <f t="shared" si="8"/>
        <v>6.409080348</v>
      </c>
      <c r="L37" s="106">
        <f t="shared" si="8"/>
        <v>6.557251814</v>
      </c>
      <c r="M37" s="106">
        <f t="shared" si="8"/>
        <v>6.652765931</v>
      </c>
      <c r="N37" s="106">
        <f t="shared" si="8"/>
        <v>5.665731345</v>
      </c>
      <c r="O37" s="106">
        <f t="shared" si="8"/>
        <v>5.649950752</v>
      </c>
      <c r="P37" s="106">
        <f t="shared" si="8"/>
        <v>5.649950752</v>
      </c>
      <c r="Q37" s="106">
        <f t="shared" si="8"/>
        <v>5.649950752</v>
      </c>
      <c r="R37" s="106">
        <f t="shared" si="8"/>
        <v>7.843453227</v>
      </c>
    </row>
    <row r="38" ht="15.0" customHeight="1">
      <c r="A38" s="120" t="s">
        <v>1149</v>
      </c>
      <c r="B38" s="285">
        <f t="shared" ref="B38:R38" si="9">B37*$B44</f>
        <v>137.2704355</v>
      </c>
      <c r="C38" s="285">
        <f t="shared" si="9"/>
        <v>284.6705753</v>
      </c>
      <c r="D38" s="285">
        <f t="shared" si="9"/>
        <v>199.1748464</v>
      </c>
      <c r="E38" s="285">
        <f t="shared" si="9"/>
        <v>149.2632355</v>
      </c>
      <c r="F38" s="285">
        <f t="shared" si="9"/>
        <v>204.4952849</v>
      </c>
      <c r="G38" s="285">
        <f t="shared" si="9"/>
        <v>183.1769699</v>
      </c>
      <c r="H38" s="285">
        <f t="shared" si="9"/>
        <v>152.8695977</v>
      </c>
      <c r="I38" s="285">
        <f t="shared" si="9"/>
        <v>141.5987658</v>
      </c>
      <c r="J38" s="285">
        <f t="shared" si="9"/>
        <v>155.2416701</v>
      </c>
      <c r="K38" s="285">
        <f t="shared" si="9"/>
        <v>134.5906873</v>
      </c>
      <c r="L38" s="285">
        <f t="shared" si="9"/>
        <v>137.7022881</v>
      </c>
      <c r="M38" s="285">
        <f t="shared" si="9"/>
        <v>139.7080846</v>
      </c>
      <c r="N38" s="285">
        <f t="shared" si="9"/>
        <v>118.9803583</v>
      </c>
      <c r="O38" s="285">
        <f t="shared" si="9"/>
        <v>118.6489658</v>
      </c>
      <c r="P38" s="285">
        <f t="shared" si="9"/>
        <v>118.6489658</v>
      </c>
      <c r="Q38" s="285">
        <f t="shared" si="9"/>
        <v>118.6489658</v>
      </c>
      <c r="R38" s="285">
        <f t="shared" si="9"/>
        <v>164.7125178</v>
      </c>
    </row>
    <row r="39" ht="12.75" customHeight="1">
      <c r="A39" s="25"/>
    </row>
    <row r="40" ht="15.75" customHeight="1">
      <c r="A40" s="148" t="s">
        <v>1150</v>
      </c>
    </row>
    <row r="41" ht="15.75" customHeight="1">
      <c r="A41" s="92" t="s">
        <v>606</v>
      </c>
    </row>
    <row r="42" ht="12.75" customHeight="1">
      <c r="A42" s="65" t="s">
        <v>252</v>
      </c>
    </row>
    <row r="43" ht="12.75" customHeight="1">
      <c r="A43" s="113" t="s">
        <v>1151</v>
      </c>
      <c r="B43" s="308">
        <f>1/2000</f>
        <v>0.0005</v>
      </c>
    </row>
    <row r="44" ht="15.0" customHeight="1">
      <c r="A44" s="143" t="s">
        <v>1152</v>
      </c>
      <c r="B44" s="61">
        <v>21.0</v>
      </c>
    </row>
    <row r="45" ht="12.75" customHeight="1">
      <c r="A45" s="47" t="s">
        <v>1153</v>
      </c>
      <c r="B45" s="112">
        <f>((12.011+32)/12.011)</f>
        <v>3.664224461</v>
      </c>
    </row>
    <row r="46" ht="12.75" customHeight="1"/>
    <row r="47" ht="12.75" customHeight="1">
      <c r="A47" s="65" t="s">
        <v>1154</v>
      </c>
    </row>
    <row r="48" ht="15.0" customHeight="1">
      <c r="A48" s="143" t="s">
        <v>1155</v>
      </c>
      <c r="B48" s="145">
        <f t="shared" ref="B48:B50" si="10">(B33*B$45)/B$44</f>
        <v>0.04711145735</v>
      </c>
    </row>
    <row r="49" ht="15.0" customHeight="1">
      <c r="A49" s="143" t="s">
        <v>1156</v>
      </c>
      <c r="B49" s="145">
        <f t="shared" si="10"/>
        <v>0.01221408154</v>
      </c>
    </row>
    <row r="50" ht="15.0" customHeight="1">
      <c r="A50" s="143" t="s">
        <v>1157</v>
      </c>
      <c r="B50" s="145">
        <f t="shared" si="10"/>
        <v>0.006979475164</v>
      </c>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F1"/>
    <mergeCell ref="G1:M1"/>
    <mergeCell ref="A7:F7"/>
  </mergeCells>
  <printOptions/>
  <pageMargins bottom="0.75" footer="0.0" header="0.0" left="0.7" right="0.7" top="0.75"/>
  <pageSetup orientation="landscape"/>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13"/>
    <col customWidth="1" min="2" max="2" width="8.88"/>
    <col customWidth="1" min="3" max="3" width="8.13"/>
    <col customWidth="1" min="4" max="4" width="8.38"/>
    <col customWidth="1" min="5" max="5" width="7.63"/>
    <col customWidth="1" min="6" max="6" width="8.0"/>
    <col customWidth="1" min="7" max="7" width="8.5"/>
    <col customWidth="1" min="8" max="8" width="9.88"/>
    <col customWidth="1" min="9" max="9" width="8.88"/>
    <col customWidth="1" min="10" max="10" width="11.0"/>
    <col customWidth="1" min="11" max="12" width="8.88"/>
    <col customWidth="1" min="13" max="13" width="10.0"/>
    <col customWidth="1" min="14" max="19" width="8.88"/>
    <col customWidth="1" min="20" max="26" width="10.0"/>
  </cols>
  <sheetData>
    <row r="1" ht="27.75" customHeight="1">
      <c r="A1" s="372" t="s">
        <v>1158</v>
      </c>
      <c r="B1" s="90"/>
      <c r="C1" s="90"/>
      <c r="D1" s="90"/>
      <c r="E1" s="90"/>
      <c r="F1" s="90"/>
      <c r="G1" s="90"/>
      <c r="H1" s="91"/>
    </row>
    <row r="2" ht="12.75" customHeight="1">
      <c r="A2" s="263" t="s">
        <v>1124</v>
      </c>
      <c r="I2" s="25"/>
      <c r="J2" s="25"/>
      <c r="K2" s="25"/>
      <c r="L2" s="25"/>
      <c r="M2" s="25"/>
      <c r="N2" s="25"/>
      <c r="O2" s="25"/>
      <c r="P2" s="25"/>
      <c r="Q2" s="25"/>
      <c r="R2" s="25"/>
      <c r="S2" s="25"/>
      <c r="T2" s="25"/>
      <c r="U2" s="25"/>
      <c r="V2" s="25"/>
      <c r="W2" s="25"/>
      <c r="X2" s="25"/>
      <c r="Y2" s="25"/>
      <c r="Z2" s="25"/>
    </row>
    <row r="3" ht="12.75" customHeight="1">
      <c r="A3" s="25" t="s">
        <v>1125</v>
      </c>
      <c r="B3" s="25" t="s">
        <v>1126</v>
      </c>
      <c r="C3" s="25"/>
      <c r="D3" s="25"/>
      <c r="E3" s="25"/>
      <c r="F3" s="25"/>
      <c r="G3" s="25"/>
      <c r="H3" s="25"/>
    </row>
    <row r="4" ht="12.75" customHeight="1">
      <c r="A4" s="25"/>
      <c r="B4" s="25" t="s">
        <v>1127</v>
      </c>
      <c r="C4" s="25"/>
      <c r="D4" s="86"/>
      <c r="E4" s="86"/>
      <c r="F4" s="86"/>
      <c r="G4" s="86"/>
      <c r="H4" s="25"/>
    </row>
    <row r="5" ht="12.75" customHeight="1">
      <c r="A5" s="25"/>
      <c r="B5" s="25" t="s">
        <v>1128</v>
      </c>
      <c r="C5" s="25"/>
      <c r="D5" s="97"/>
      <c r="E5" s="97"/>
      <c r="F5" s="97"/>
      <c r="G5" s="73"/>
      <c r="H5" s="25"/>
    </row>
    <row r="6" ht="12.75" customHeight="1">
      <c r="A6" s="25"/>
      <c r="B6" s="25"/>
      <c r="C6" s="25"/>
      <c r="D6" s="25"/>
      <c r="E6" s="25"/>
      <c r="F6" s="25"/>
      <c r="G6" s="25"/>
      <c r="H6" s="25"/>
    </row>
    <row r="7" ht="26.25" customHeight="1">
      <c r="A7" s="155" t="s">
        <v>1159</v>
      </c>
    </row>
    <row r="8" ht="12.75" customHeight="1">
      <c r="A8" s="12"/>
    </row>
    <row r="9" ht="16.5" customHeight="1">
      <c r="A9" s="373" t="s">
        <v>606</v>
      </c>
    </row>
    <row r="10" ht="12.75" customHeight="1">
      <c r="A10" s="25" t="s">
        <v>1151</v>
      </c>
      <c r="B10" s="83" t="s">
        <v>335</v>
      </c>
      <c r="D10" s="25"/>
      <c r="E10" s="25"/>
      <c r="F10" s="25"/>
      <c r="G10" s="25"/>
      <c r="H10" s="25"/>
    </row>
    <row r="11" ht="15.0" customHeight="1">
      <c r="A11" s="25" t="s">
        <v>1160</v>
      </c>
      <c r="B11" s="25" t="s">
        <v>1161</v>
      </c>
      <c r="C11" s="25"/>
      <c r="D11" s="25"/>
      <c r="E11" s="25"/>
      <c r="F11" s="25"/>
      <c r="G11" s="25"/>
      <c r="H11" s="25"/>
      <c r="I11" s="25"/>
      <c r="J11" s="25"/>
      <c r="K11" s="25"/>
      <c r="L11" s="25"/>
      <c r="M11" s="25"/>
      <c r="N11" s="25"/>
      <c r="O11" s="25"/>
      <c r="P11" s="25"/>
      <c r="Q11" s="25"/>
      <c r="R11" s="25"/>
      <c r="S11" s="25"/>
    </row>
    <row r="12" ht="12.75" customHeight="1">
      <c r="B12" s="25" t="s">
        <v>1162</v>
      </c>
      <c r="C12" s="25"/>
      <c r="D12" s="25"/>
      <c r="E12" s="25"/>
      <c r="F12" s="25"/>
      <c r="G12" s="25"/>
      <c r="H12" s="25"/>
      <c r="I12" s="25"/>
      <c r="J12" s="25"/>
      <c r="K12" s="25"/>
      <c r="L12" s="25"/>
      <c r="M12" s="25"/>
    </row>
    <row r="13" ht="12.75" customHeight="1">
      <c r="B13" s="25" t="s">
        <v>1163</v>
      </c>
      <c r="C13" s="25"/>
      <c r="D13" s="25"/>
      <c r="E13" s="25"/>
      <c r="F13" s="25"/>
      <c r="G13" s="25"/>
      <c r="H13" s="25"/>
    </row>
    <row r="14" ht="15.0" customHeight="1">
      <c r="A14" s="25" t="s">
        <v>1164</v>
      </c>
      <c r="B14" s="25" t="s">
        <v>724</v>
      </c>
      <c r="C14" s="25"/>
      <c r="D14" s="25"/>
      <c r="E14" s="25"/>
      <c r="F14" s="25"/>
      <c r="G14" s="25"/>
      <c r="H14" s="25"/>
    </row>
    <row r="15" ht="15.0" customHeight="1">
      <c r="A15" s="25" t="s">
        <v>1165</v>
      </c>
      <c r="B15" s="25" t="s">
        <v>724</v>
      </c>
      <c r="C15" s="25"/>
      <c r="D15" s="25"/>
      <c r="E15" s="25"/>
      <c r="F15" s="25"/>
      <c r="G15" s="25"/>
      <c r="H15" s="25"/>
    </row>
    <row r="16" ht="12.75" customHeight="1">
      <c r="A16" s="25" t="s">
        <v>1153</v>
      </c>
      <c r="B16" s="156" t="s">
        <v>1166</v>
      </c>
    </row>
    <row r="17" ht="12.75" customHeight="1">
      <c r="A17" s="25"/>
    </row>
    <row r="18" ht="15.75" customHeight="1">
      <c r="A18" s="25" t="s">
        <v>1167</v>
      </c>
      <c r="B18" s="156" t="s">
        <v>1168</v>
      </c>
      <c r="K18" s="156"/>
    </row>
    <row r="19" ht="12.75" customHeight="1">
      <c r="A19" s="12"/>
    </row>
    <row r="20" ht="12.75" customHeight="1">
      <c r="A20" s="12"/>
    </row>
    <row r="21" ht="12.75" customHeight="1">
      <c r="A21" s="12"/>
      <c r="B21" s="156"/>
      <c r="C21" s="156"/>
      <c r="D21" s="156"/>
      <c r="E21" s="156"/>
      <c r="F21" s="156"/>
      <c r="G21" s="156"/>
      <c r="H21" s="156"/>
    </row>
    <row r="22" ht="15.75" customHeight="1">
      <c r="A22" s="365" t="s">
        <v>1130</v>
      </c>
    </row>
    <row r="23" ht="12.75" customHeight="1">
      <c r="A23" s="47"/>
    </row>
    <row r="24" ht="12.75" customHeight="1">
      <c r="A24" s="65" t="s">
        <v>195</v>
      </c>
      <c r="B24" s="65" t="s">
        <v>164</v>
      </c>
    </row>
    <row r="25" ht="12.75" customHeight="1">
      <c r="A25" s="55" t="s">
        <v>1169</v>
      </c>
      <c r="B25" s="157" t="s">
        <v>1170</v>
      </c>
      <c r="C25" s="158"/>
      <c r="D25" s="158"/>
      <c r="E25" s="158"/>
      <c r="F25" s="158"/>
      <c r="G25" s="158"/>
      <c r="H25" s="159"/>
      <c r="I25" s="25"/>
      <c r="J25" s="25"/>
      <c r="K25" s="25"/>
      <c r="L25" s="25"/>
      <c r="M25" s="25"/>
      <c r="N25" s="25"/>
      <c r="O25" s="25"/>
      <c r="P25" s="25"/>
      <c r="Q25" s="25"/>
      <c r="R25" s="25"/>
      <c r="S25" s="25"/>
      <c r="T25" s="25"/>
      <c r="U25" s="25"/>
      <c r="V25" s="25"/>
      <c r="W25" s="25"/>
      <c r="X25" s="25"/>
      <c r="Y25" s="25"/>
      <c r="Z25" s="25"/>
    </row>
    <row r="26" ht="12.75" customHeight="1">
      <c r="A26" s="55"/>
      <c r="B26" s="160"/>
      <c r="C26" s="7"/>
      <c r="D26" s="7"/>
      <c r="E26" s="7"/>
      <c r="F26" s="7"/>
      <c r="G26" s="7"/>
      <c r="H26" s="8"/>
      <c r="I26" s="25"/>
      <c r="J26" s="25"/>
      <c r="K26" s="25"/>
      <c r="L26" s="25"/>
      <c r="M26" s="25"/>
      <c r="N26" s="25"/>
      <c r="O26" s="25"/>
      <c r="P26" s="25"/>
      <c r="Q26" s="25"/>
      <c r="R26" s="25"/>
      <c r="S26" s="25"/>
      <c r="T26" s="25"/>
      <c r="U26" s="25"/>
      <c r="V26" s="25"/>
      <c r="W26" s="25"/>
      <c r="X26" s="25"/>
      <c r="Y26" s="25"/>
      <c r="Z26" s="25"/>
    </row>
    <row r="27" ht="12.75" customHeight="1">
      <c r="A27" s="55" t="s">
        <v>1171</v>
      </c>
      <c r="B27" s="55" t="s">
        <v>1172</v>
      </c>
      <c r="C27" s="55"/>
      <c r="D27" s="55"/>
      <c r="E27" s="55"/>
      <c r="F27" s="55"/>
      <c r="G27" s="55"/>
      <c r="H27" s="55"/>
      <c r="I27" s="25"/>
      <c r="J27" s="25"/>
      <c r="K27" s="25"/>
      <c r="L27" s="25"/>
      <c r="M27" s="25"/>
      <c r="N27" s="25"/>
      <c r="O27" s="25"/>
      <c r="P27" s="25"/>
      <c r="Q27" s="25"/>
      <c r="R27" s="25"/>
      <c r="S27" s="25"/>
      <c r="T27" s="25"/>
      <c r="U27" s="25"/>
      <c r="V27" s="25"/>
      <c r="W27" s="25"/>
      <c r="X27" s="25"/>
      <c r="Y27" s="25"/>
      <c r="Z27" s="25"/>
    </row>
    <row r="28" ht="12.75" customHeight="1">
      <c r="A28" s="55" t="s">
        <v>1173</v>
      </c>
      <c r="B28" s="55" t="s">
        <v>1172</v>
      </c>
      <c r="C28" s="55"/>
      <c r="D28" s="55"/>
      <c r="E28" s="55"/>
      <c r="F28" s="55"/>
      <c r="G28" s="55"/>
      <c r="H28" s="55"/>
      <c r="I28" s="25"/>
      <c r="J28" s="25"/>
      <c r="K28" s="25"/>
      <c r="L28" s="25"/>
      <c r="M28" s="25"/>
      <c r="N28" s="25"/>
      <c r="O28" s="25"/>
      <c r="P28" s="25"/>
      <c r="Q28" s="25"/>
      <c r="R28" s="25"/>
      <c r="S28" s="25"/>
      <c r="T28" s="25"/>
      <c r="U28" s="25"/>
      <c r="V28" s="25"/>
      <c r="W28" s="25"/>
      <c r="X28" s="25"/>
      <c r="Y28" s="25"/>
      <c r="Z28" s="25"/>
    </row>
    <row r="29" ht="12.75" customHeight="1">
      <c r="A29" s="65" t="s">
        <v>1134</v>
      </c>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2.75" customHeight="1">
      <c r="A30" s="55" t="s">
        <v>1135</v>
      </c>
      <c r="B30" s="157" t="s">
        <v>1174</v>
      </c>
      <c r="C30" s="158"/>
      <c r="D30" s="158"/>
      <c r="E30" s="158"/>
      <c r="F30" s="158"/>
      <c r="G30" s="158"/>
      <c r="H30" s="159"/>
      <c r="I30" s="25"/>
      <c r="J30" s="25"/>
      <c r="K30" s="25"/>
      <c r="L30" s="25"/>
      <c r="M30" s="25"/>
      <c r="N30" s="25"/>
      <c r="O30" s="25"/>
      <c r="P30" s="25"/>
      <c r="Q30" s="25"/>
      <c r="R30" s="25"/>
      <c r="S30" s="25"/>
      <c r="T30" s="25"/>
      <c r="U30" s="25"/>
      <c r="V30" s="25"/>
      <c r="W30" s="25"/>
      <c r="X30" s="25"/>
      <c r="Y30" s="25"/>
      <c r="Z30" s="25"/>
    </row>
    <row r="31" ht="12.75" customHeight="1">
      <c r="A31" s="55"/>
      <c r="B31" s="229"/>
      <c r="H31" s="5"/>
      <c r="I31" s="25" t="s">
        <v>1175</v>
      </c>
      <c r="J31" s="25"/>
      <c r="K31" s="25"/>
      <c r="L31" s="25"/>
      <c r="M31" s="25"/>
      <c r="N31" s="25"/>
      <c r="O31" s="25"/>
      <c r="P31" s="25"/>
      <c r="Q31" s="25"/>
      <c r="R31" s="25"/>
      <c r="S31" s="25"/>
      <c r="T31" s="25"/>
      <c r="U31" s="25"/>
      <c r="V31" s="25"/>
      <c r="W31" s="25"/>
      <c r="X31" s="25"/>
      <c r="Y31" s="25"/>
      <c r="Z31" s="25"/>
    </row>
    <row r="32" ht="13.5" customHeight="1">
      <c r="A32" s="55"/>
      <c r="B32" s="229"/>
      <c r="H32" s="5"/>
      <c r="I32" s="25"/>
      <c r="J32" s="25"/>
      <c r="K32" s="25"/>
      <c r="L32" s="25"/>
      <c r="M32" s="25"/>
      <c r="N32" s="25"/>
      <c r="O32" s="25"/>
      <c r="P32" s="25"/>
      <c r="Q32" s="25"/>
      <c r="R32" s="25"/>
      <c r="S32" s="25"/>
      <c r="T32" s="25"/>
      <c r="U32" s="25"/>
      <c r="V32" s="25"/>
      <c r="W32" s="25"/>
      <c r="X32" s="25"/>
      <c r="Y32" s="25"/>
      <c r="Z32" s="25"/>
    </row>
    <row r="33" ht="12.75" hidden="1" customHeight="1">
      <c r="A33" s="55"/>
      <c r="B33" s="160"/>
      <c r="C33" s="7"/>
      <c r="D33" s="7"/>
      <c r="E33" s="7"/>
      <c r="F33" s="7"/>
      <c r="G33" s="7"/>
      <c r="H33" s="8"/>
      <c r="I33" s="25"/>
      <c r="J33" s="25"/>
      <c r="K33" s="25"/>
      <c r="L33" s="25"/>
      <c r="M33" s="25"/>
      <c r="N33" s="25"/>
      <c r="O33" s="25"/>
      <c r="P33" s="25"/>
      <c r="Q33" s="25"/>
      <c r="R33" s="25"/>
      <c r="S33" s="25"/>
      <c r="T33" s="25"/>
      <c r="U33" s="25"/>
      <c r="V33" s="25"/>
      <c r="W33" s="25"/>
      <c r="X33" s="25"/>
      <c r="Y33" s="25"/>
      <c r="Z33" s="25"/>
    </row>
    <row r="34" ht="16.5" customHeight="1">
      <c r="A34" s="55" t="s">
        <v>1176</v>
      </c>
      <c r="B34" s="374" t="s">
        <v>1177</v>
      </c>
      <c r="C34" s="90"/>
      <c r="D34" s="90"/>
      <c r="E34" s="90"/>
      <c r="F34" s="90"/>
      <c r="G34" s="90"/>
      <c r="H34" s="91"/>
      <c r="I34" s="25" t="s">
        <v>1178</v>
      </c>
      <c r="J34" s="25"/>
      <c r="K34" s="25"/>
      <c r="L34" s="25"/>
      <c r="M34" s="25"/>
      <c r="N34" s="25"/>
      <c r="O34" s="25"/>
      <c r="P34" s="25"/>
      <c r="Q34" s="25"/>
      <c r="R34" s="25"/>
      <c r="S34" s="25"/>
      <c r="T34" s="25"/>
      <c r="U34" s="25"/>
      <c r="V34" s="25"/>
      <c r="W34" s="25"/>
      <c r="X34" s="25"/>
      <c r="Y34" s="25"/>
      <c r="Z34" s="25"/>
    </row>
    <row r="35" ht="12.75" customHeight="1">
      <c r="A35" s="55" t="s">
        <v>1137</v>
      </c>
      <c r="B35" s="374" t="s">
        <v>1177</v>
      </c>
      <c r="C35" s="91"/>
      <c r="D35" s="375"/>
      <c r="E35" s="375"/>
      <c r="F35" s="375"/>
      <c r="G35" s="375"/>
      <c r="H35" s="375"/>
      <c r="I35" s="25" t="s">
        <v>1178</v>
      </c>
      <c r="J35" s="25"/>
      <c r="K35" s="25"/>
      <c r="L35" s="25"/>
      <c r="M35" s="25"/>
      <c r="N35" s="25"/>
      <c r="O35" s="25"/>
      <c r="P35" s="25"/>
      <c r="Q35" s="25"/>
      <c r="R35" s="25"/>
      <c r="S35" s="25"/>
      <c r="T35" s="25"/>
      <c r="U35" s="25"/>
      <c r="V35" s="25"/>
      <c r="W35" s="25"/>
      <c r="X35" s="25"/>
      <c r="Y35" s="25"/>
      <c r="Z35" s="25"/>
    </row>
    <row r="36" ht="12.75" customHeight="1">
      <c r="A36" s="111"/>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2.75" customHeight="1">
      <c r="A37" s="65" t="s">
        <v>1140</v>
      </c>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2.75" customHeight="1">
      <c r="A38" s="55" t="s">
        <v>1135</v>
      </c>
      <c r="B38" s="157" t="s">
        <v>1179</v>
      </c>
      <c r="C38" s="158"/>
      <c r="D38" s="158"/>
      <c r="E38" s="158"/>
      <c r="F38" s="158"/>
      <c r="G38" s="158"/>
      <c r="H38" s="159"/>
      <c r="I38" s="25" t="s">
        <v>1175</v>
      </c>
      <c r="J38" s="25"/>
      <c r="K38" s="25"/>
      <c r="L38" s="25"/>
      <c r="M38" s="25"/>
      <c r="N38" s="25"/>
      <c r="O38" s="25"/>
      <c r="P38" s="25"/>
      <c r="Q38" s="25"/>
      <c r="R38" s="25"/>
      <c r="S38" s="25"/>
      <c r="T38" s="25"/>
      <c r="U38" s="25"/>
      <c r="V38" s="25"/>
      <c r="W38" s="25"/>
      <c r="X38" s="25"/>
      <c r="Y38" s="25"/>
      <c r="Z38" s="25"/>
    </row>
    <row r="39" ht="12.75" customHeight="1">
      <c r="A39" s="55"/>
      <c r="B39" s="229"/>
      <c r="H39" s="5"/>
      <c r="I39" s="25"/>
      <c r="J39" s="25"/>
      <c r="K39" s="25"/>
      <c r="L39" s="25"/>
      <c r="M39" s="25"/>
      <c r="N39" s="25"/>
      <c r="O39" s="25"/>
      <c r="P39" s="25"/>
      <c r="Q39" s="25"/>
      <c r="R39" s="25"/>
      <c r="S39" s="25"/>
      <c r="T39" s="25"/>
      <c r="U39" s="25"/>
      <c r="V39" s="25"/>
      <c r="W39" s="25"/>
      <c r="X39" s="25"/>
      <c r="Y39" s="25"/>
      <c r="Z39" s="25"/>
    </row>
    <row r="40" ht="12.75" customHeight="1">
      <c r="A40" s="55"/>
      <c r="B40" s="229"/>
      <c r="H40" s="5"/>
      <c r="I40" s="25"/>
      <c r="J40" s="25"/>
      <c r="K40" s="25"/>
      <c r="L40" s="25"/>
      <c r="M40" s="25"/>
      <c r="N40" s="25"/>
      <c r="O40" s="25"/>
      <c r="P40" s="25"/>
      <c r="Q40" s="25"/>
      <c r="R40" s="25"/>
      <c r="S40" s="25"/>
      <c r="T40" s="25"/>
      <c r="U40" s="25"/>
      <c r="V40" s="25"/>
      <c r="W40" s="25"/>
      <c r="X40" s="25"/>
      <c r="Y40" s="25"/>
      <c r="Z40" s="25"/>
    </row>
    <row r="41" ht="12.75" customHeight="1">
      <c r="A41" s="55"/>
      <c r="B41" s="229"/>
      <c r="H41" s="5"/>
      <c r="I41" s="25"/>
      <c r="J41" s="25"/>
      <c r="K41" s="25"/>
      <c r="L41" s="25"/>
      <c r="M41" s="25"/>
      <c r="N41" s="25"/>
      <c r="O41" s="25"/>
      <c r="P41" s="25"/>
      <c r="Q41" s="25"/>
      <c r="R41" s="25"/>
      <c r="S41" s="25"/>
      <c r="T41" s="25"/>
      <c r="U41" s="25"/>
      <c r="V41" s="25"/>
      <c r="W41" s="25"/>
      <c r="X41" s="25"/>
      <c r="Y41" s="25"/>
      <c r="Z41" s="25"/>
    </row>
    <row r="42" ht="12.75" customHeight="1">
      <c r="A42" s="55"/>
      <c r="B42" s="229"/>
      <c r="H42" s="5"/>
      <c r="I42" s="25"/>
      <c r="J42" s="25"/>
      <c r="K42" s="25"/>
      <c r="L42" s="25"/>
      <c r="M42" s="25"/>
      <c r="N42" s="25"/>
      <c r="O42" s="25"/>
      <c r="P42" s="25"/>
      <c r="Q42" s="25"/>
      <c r="R42" s="25"/>
      <c r="S42" s="25"/>
      <c r="T42" s="25"/>
      <c r="U42" s="25"/>
      <c r="V42" s="25"/>
      <c r="W42" s="25"/>
      <c r="X42" s="25"/>
      <c r="Y42" s="25"/>
      <c r="Z42" s="25"/>
    </row>
    <row r="43" ht="12.75" customHeight="1">
      <c r="A43" s="55"/>
      <c r="B43" s="160"/>
      <c r="C43" s="7"/>
      <c r="D43" s="7"/>
      <c r="E43" s="7"/>
      <c r="F43" s="7"/>
      <c r="G43" s="7"/>
      <c r="H43" s="8"/>
      <c r="I43" s="25"/>
      <c r="J43" s="25"/>
      <c r="K43" s="25"/>
      <c r="L43" s="25"/>
      <c r="M43" s="25"/>
      <c r="N43" s="25"/>
      <c r="O43" s="25"/>
      <c r="P43" s="25"/>
      <c r="Q43" s="25"/>
      <c r="R43" s="25"/>
      <c r="S43" s="25"/>
      <c r="T43" s="25"/>
      <c r="U43" s="25"/>
      <c r="V43" s="25"/>
      <c r="W43" s="25"/>
      <c r="X43" s="25"/>
      <c r="Y43" s="25"/>
      <c r="Z43" s="25"/>
    </row>
    <row r="44" ht="15.75" customHeight="1">
      <c r="A44" s="55" t="s">
        <v>1180</v>
      </c>
      <c r="B44" s="374" t="s">
        <v>1177</v>
      </c>
      <c r="C44" s="90"/>
      <c r="D44" s="91"/>
      <c r="E44" s="375"/>
      <c r="F44" s="375"/>
      <c r="G44" s="375"/>
      <c r="H44" s="375"/>
      <c r="I44" s="25" t="s">
        <v>1178</v>
      </c>
      <c r="J44" s="25"/>
      <c r="K44" s="25"/>
      <c r="L44" s="25"/>
      <c r="M44" s="25"/>
      <c r="N44" s="25"/>
      <c r="O44" s="25"/>
      <c r="P44" s="25"/>
      <c r="Q44" s="25"/>
      <c r="R44" s="25"/>
      <c r="S44" s="25"/>
      <c r="T44" s="25"/>
      <c r="U44" s="25"/>
      <c r="V44" s="25"/>
      <c r="W44" s="25"/>
      <c r="X44" s="25"/>
      <c r="Y44" s="25"/>
      <c r="Z44" s="25"/>
    </row>
    <row r="45" ht="12.75" customHeight="1">
      <c r="A45" s="55" t="s">
        <v>1137</v>
      </c>
      <c r="B45" s="374" t="s">
        <v>1177</v>
      </c>
      <c r="C45" s="90"/>
      <c r="D45" s="91"/>
      <c r="E45" s="376"/>
      <c r="F45" s="376"/>
      <c r="G45" s="376"/>
      <c r="H45" s="376"/>
      <c r="I45" s="25" t="s">
        <v>1178</v>
      </c>
      <c r="J45" s="25"/>
      <c r="K45" s="25"/>
      <c r="L45" s="25"/>
      <c r="M45" s="25"/>
      <c r="N45" s="25"/>
      <c r="O45" s="25"/>
      <c r="P45" s="25"/>
      <c r="Q45" s="25"/>
      <c r="R45" s="25"/>
      <c r="S45" s="25"/>
      <c r="T45" s="25"/>
      <c r="U45" s="25"/>
      <c r="V45" s="25"/>
      <c r="W45" s="25"/>
      <c r="X45" s="25"/>
      <c r="Y45" s="25"/>
      <c r="Z45" s="25"/>
    </row>
    <row r="46" ht="12.0" customHeight="1">
      <c r="A46" s="47"/>
    </row>
    <row r="47" ht="12.75" customHeight="1">
      <c r="A47" s="25"/>
    </row>
    <row r="48" ht="15.75" customHeight="1">
      <c r="A48" s="49"/>
    </row>
    <row r="49" ht="15.75" customHeight="1">
      <c r="A49" s="336"/>
    </row>
    <row r="50" ht="15.75" customHeight="1">
      <c r="A50" s="49"/>
    </row>
    <row r="51" ht="15.75" customHeight="1">
      <c r="A51" s="49"/>
    </row>
    <row r="52" ht="15.75" customHeight="1">
      <c r="A52" s="148"/>
    </row>
    <row r="53" ht="15.75" customHeight="1">
      <c r="A53" s="336"/>
    </row>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4">
    <mergeCell ref="B25:H26"/>
    <mergeCell ref="B30:H33"/>
    <mergeCell ref="B34:H34"/>
    <mergeCell ref="B35:C35"/>
    <mergeCell ref="B38:H43"/>
    <mergeCell ref="B44:D44"/>
    <mergeCell ref="B45:D45"/>
    <mergeCell ref="A1:H1"/>
    <mergeCell ref="A2:H2"/>
    <mergeCell ref="A7:H7"/>
    <mergeCell ref="B10:C10"/>
    <mergeCell ref="B16:H17"/>
    <mergeCell ref="B18:H20"/>
    <mergeCell ref="K18:Q20"/>
  </mergeCells>
  <printOptions/>
  <pageMargins bottom="0.75" footer="0.0" header="0.0" left="0.7" right="0.7" top="0.75"/>
  <pageSetup orientation="landscape"/>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600A5"/>
    <pageSetUpPr/>
  </sheetPr>
  <sheetViews>
    <sheetView workbookViewId="0"/>
  </sheetViews>
  <sheetFormatPr customHeight="1" defaultColWidth="12.63" defaultRowHeight="15.0"/>
  <cols>
    <col customWidth="1" min="1" max="1" width="39.13"/>
    <col customWidth="1" min="2" max="2" width="10.13"/>
    <col customWidth="1" min="3" max="3" width="9.63"/>
    <col customWidth="1" min="4" max="4" width="10.38"/>
    <col customWidth="1" min="5" max="5" width="9.63"/>
    <col customWidth="1" min="6" max="7" width="9.5"/>
    <col customWidth="1" min="8" max="8" width="8.13"/>
    <col customWidth="1" min="9" max="9" width="11.13"/>
    <col customWidth="1" min="10" max="10" width="10.5"/>
    <col customWidth="1" min="11" max="12" width="11.13"/>
    <col customWidth="1" min="13" max="13" width="39.88"/>
    <col customWidth="1" min="14" max="14" width="11.63"/>
    <col customWidth="1" min="15" max="16" width="11.13"/>
    <col customWidth="1" min="17" max="17" width="8.88"/>
    <col customWidth="1" min="18" max="18" width="6.5"/>
    <col customWidth="1" min="19" max="26" width="10.0"/>
  </cols>
  <sheetData>
    <row r="1" ht="27.75" customHeight="1">
      <c r="A1" s="377" t="s">
        <v>1181</v>
      </c>
      <c r="B1" s="158"/>
      <c r="C1" s="158"/>
      <c r="D1" s="158"/>
      <c r="E1" s="158"/>
      <c r="F1" s="158"/>
      <c r="G1" s="158"/>
      <c r="H1" s="159"/>
      <c r="I1" s="25"/>
      <c r="J1" s="25"/>
      <c r="K1" s="25"/>
      <c r="L1" s="25"/>
      <c r="M1" s="378"/>
    </row>
    <row r="2" ht="13.5" customHeight="1">
      <c r="A2" s="160"/>
      <c r="B2" s="7"/>
      <c r="C2" s="7"/>
      <c r="D2" s="7"/>
      <c r="E2" s="7"/>
      <c r="F2" s="7"/>
      <c r="G2" s="7"/>
      <c r="H2" s="8"/>
    </row>
    <row r="3" ht="12.75" customHeight="1">
      <c r="A3" s="110" t="s">
        <v>1182</v>
      </c>
    </row>
    <row r="4" ht="12.75" customHeight="1"/>
    <row r="5" ht="12.75" customHeight="1">
      <c r="A5" s="12"/>
      <c r="B5" s="12"/>
      <c r="C5" s="12"/>
      <c r="D5" s="12"/>
      <c r="E5" s="12"/>
      <c r="F5" s="12"/>
      <c r="G5" s="12"/>
      <c r="H5" s="12"/>
    </row>
    <row r="6" ht="16.5" customHeight="1">
      <c r="A6" s="373" t="s">
        <v>1183</v>
      </c>
      <c r="B6" s="12"/>
      <c r="C6" s="12"/>
      <c r="D6" s="12"/>
      <c r="E6" s="12"/>
      <c r="F6" s="12"/>
      <c r="G6" s="12"/>
      <c r="H6" s="12"/>
      <c r="O6" s="97"/>
      <c r="P6" s="97"/>
      <c r="Q6" s="97"/>
      <c r="R6" s="97"/>
    </row>
    <row r="7" ht="12.75" customHeight="1">
      <c r="B7" s="47" t="s">
        <v>438</v>
      </c>
      <c r="H7" s="12"/>
      <c r="O7" s="97"/>
      <c r="P7" s="97"/>
      <c r="Q7" s="97"/>
      <c r="R7" s="97"/>
    </row>
    <row r="8" ht="13.5" customHeight="1">
      <c r="B8" s="71" t="s">
        <v>76</v>
      </c>
      <c r="C8" s="379" t="s">
        <v>77</v>
      </c>
      <c r="D8" s="71" t="s">
        <v>78</v>
      </c>
      <c r="E8" s="67" t="s">
        <v>79</v>
      </c>
      <c r="F8" s="67" t="s">
        <v>80</v>
      </c>
      <c r="G8" s="67" t="s">
        <v>81</v>
      </c>
      <c r="H8" s="67" t="s">
        <v>82</v>
      </c>
      <c r="I8" s="67" t="s">
        <v>83</v>
      </c>
      <c r="J8" s="67" t="s">
        <v>84</v>
      </c>
      <c r="K8" s="67" t="s">
        <v>85</v>
      </c>
      <c r="L8" s="67" t="s">
        <v>67</v>
      </c>
      <c r="M8" s="97"/>
    </row>
    <row r="9" ht="12.75" customHeight="1">
      <c r="A9" s="56" t="s">
        <v>1184</v>
      </c>
      <c r="B9" s="106">
        <f t="shared" ref="B9:J9" si="1">B17</f>
        <v>10.41</v>
      </c>
      <c r="C9" s="106">
        <f t="shared" si="1"/>
        <v>10.12</v>
      </c>
      <c r="D9" s="106">
        <f t="shared" si="1"/>
        <v>10.09</v>
      </c>
      <c r="E9" s="106">
        <f t="shared" si="1"/>
        <v>9.6</v>
      </c>
      <c r="F9" s="106">
        <f t="shared" si="1"/>
        <v>10.48</v>
      </c>
      <c r="G9" s="106">
        <f t="shared" si="1"/>
        <v>11.37</v>
      </c>
      <c r="H9" s="106">
        <f t="shared" si="1"/>
        <v>11.2</v>
      </c>
      <c r="I9" s="106">
        <f t="shared" si="1"/>
        <v>10.57</v>
      </c>
      <c r="J9" s="106">
        <f t="shared" si="1"/>
        <v>11.88</v>
      </c>
      <c r="K9" s="106">
        <f>K17+K18</f>
        <v>13011.88</v>
      </c>
      <c r="L9" s="106"/>
      <c r="M9" s="97"/>
    </row>
    <row r="10" ht="12.75" customHeight="1">
      <c r="A10" s="56" t="s">
        <v>1185</v>
      </c>
      <c r="B10" s="106">
        <f t="shared" ref="B10:F10" si="2">B30</f>
        <v>854.18</v>
      </c>
      <c r="C10" s="106">
        <f t="shared" si="2"/>
        <v>585</v>
      </c>
      <c r="D10" s="106">
        <f t="shared" si="2"/>
        <v>650</v>
      </c>
      <c r="E10" s="106">
        <f t="shared" si="2"/>
        <v>530</v>
      </c>
      <c r="F10" s="106">
        <f t="shared" si="2"/>
        <v>541</v>
      </c>
      <c r="G10" s="56">
        <v>540.0</v>
      </c>
      <c r="H10" s="56">
        <v>540.0</v>
      </c>
      <c r="I10" s="56">
        <v>634.0</v>
      </c>
      <c r="J10" s="56">
        <v>634.0</v>
      </c>
      <c r="K10" s="56">
        <v>634.0</v>
      </c>
      <c r="L10" s="56">
        <v>633.0</v>
      </c>
      <c r="M10" s="97"/>
    </row>
    <row r="11" ht="12.75" customHeight="1">
      <c r="A11" s="76" t="s">
        <v>1186</v>
      </c>
      <c r="B11" s="380">
        <f t="shared" ref="B11:L11" si="3">SUM(B9:B10)</f>
        <v>864.59</v>
      </c>
      <c r="C11" s="380">
        <f t="shared" si="3"/>
        <v>595.12</v>
      </c>
      <c r="D11" s="380">
        <f t="shared" si="3"/>
        <v>660.09</v>
      </c>
      <c r="E11" s="380">
        <f t="shared" si="3"/>
        <v>539.6</v>
      </c>
      <c r="F11" s="380">
        <f t="shared" si="3"/>
        <v>551.48</v>
      </c>
      <c r="G11" s="380">
        <f t="shared" si="3"/>
        <v>551.37</v>
      </c>
      <c r="H11" s="380">
        <f t="shared" si="3"/>
        <v>551.2</v>
      </c>
      <c r="I11" s="380">
        <f t="shared" si="3"/>
        <v>644.57</v>
      </c>
      <c r="J11" s="380">
        <f t="shared" si="3"/>
        <v>645.88</v>
      </c>
      <c r="K11" s="380">
        <f t="shared" si="3"/>
        <v>13645.88</v>
      </c>
      <c r="L11" s="380">
        <f t="shared" si="3"/>
        <v>633</v>
      </c>
      <c r="M11" s="97"/>
    </row>
    <row r="12" ht="12.75" customHeight="1">
      <c r="A12" s="12"/>
      <c r="B12" s="12"/>
      <c r="C12" s="12"/>
      <c r="D12" s="12"/>
      <c r="E12" s="12"/>
      <c r="F12" s="12"/>
      <c r="G12" s="12"/>
      <c r="H12" s="12"/>
      <c r="I12" s="12"/>
      <c r="J12" s="12"/>
      <c r="K12" s="12"/>
      <c r="L12" s="12"/>
      <c r="N12" s="97"/>
      <c r="O12" s="97"/>
      <c r="P12" s="97"/>
      <c r="Q12" s="97"/>
      <c r="R12" s="97"/>
    </row>
    <row r="13" ht="15.75" customHeight="1">
      <c r="A13" s="52" t="s">
        <v>1184</v>
      </c>
      <c r="D13" s="12"/>
      <c r="E13" s="12"/>
      <c r="F13" s="12"/>
      <c r="G13" s="12"/>
      <c r="H13" s="12"/>
      <c r="I13" s="12"/>
      <c r="J13" s="12"/>
      <c r="K13" s="12"/>
      <c r="L13" s="12"/>
      <c r="N13" s="97"/>
      <c r="O13" s="97"/>
      <c r="P13" s="97"/>
      <c r="Q13" s="97"/>
      <c r="R13" s="97"/>
    </row>
    <row r="14" ht="12.75" customHeight="1">
      <c r="A14" s="47"/>
      <c r="B14" s="65" t="s">
        <v>55</v>
      </c>
    </row>
    <row r="15" ht="13.5" customHeight="1">
      <c r="A15" s="65" t="s">
        <v>195</v>
      </c>
      <c r="B15" s="71" t="s">
        <v>76</v>
      </c>
      <c r="C15" s="379" t="s">
        <v>77</v>
      </c>
      <c r="D15" s="71" t="s">
        <v>78</v>
      </c>
      <c r="E15" s="67" t="s">
        <v>79</v>
      </c>
      <c r="F15" s="67" t="s">
        <v>80</v>
      </c>
      <c r="G15" s="67" t="s">
        <v>81</v>
      </c>
      <c r="H15" s="67" t="s">
        <v>82</v>
      </c>
      <c r="I15" s="67" t="s">
        <v>83</v>
      </c>
      <c r="J15" s="67" t="s">
        <v>84</v>
      </c>
      <c r="K15" s="67" t="s">
        <v>85</v>
      </c>
      <c r="L15" s="67" t="s">
        <v>185</v>
      </c>
    </row>
    <row r="16" ht="12.75" customHeight="1">
      <c r="A16" s="55" t="s">
        <v>1187</v>
      </c>
      <c r="B16" s="115">
        <v>694222.0</v>
      </c>
      <c r="C16" s="381">
        <v>674400.0</v>
      </c>
      <c r="D16" s="115">
        <v>672350.0</v>
      </c>
      <c r="E16" s="115">
        <v>640100.0</v>
      </c>
      <c r="F16" s="115">
        <v>698460.0</v>
      </c>
      <c r="G16" s="55">
        <v>757840.0</v>
      </c>
      <c r="H16" s="115">
        <v>746840.0</v>
      </c>
      <c r="I16" s="115">
        <v>704848.0</v>
      </c>
      <c r="J16" s="115">
        <v>792290.0</v>
      </c>
      <c r="K16" s="115">
        <v>792290.0</v>
      </c>
      <c r="L16" s="115"/>
      <c r="M16" s="97"/>
    </row>
    <row r="17" ht="15.0" customHeight="1">
      <c r="A17" s="278" t="s">
        <v>1188</v>
      </c>
      <c r="B17" s="382">
        <f t="shared" ref="B17:L17" si="4">ROUND(B16*$B53*$B52,2)</f>
        <v>10.41</v>
      </c>
      <c r="C17" s="382">
        <f t="shared" si="4"/>
        <v>10.12</v>
      </c>
      <c r="D17" s="382">
        <f t="shared" si="4"/>
        <v>10.09</v>
      </c>
      <c r="E17" s="382">
        <f t="shared" si="4"/>
        <v>9.6</v>
      </c>
      <c r="F17" s="382">
        <f t="shared" si="4"/>
        <v>10.48</v>
      </c>
      <c r="G17" s="382">
        <f t="shared" si="4"/>
        <v>11.37</v>
      </c>
      <c r="H17" s="382">
        <f t="shared" si="4"/>
        <v>11.2</v>
      </c>
      <c r="I17" s="382">
        <f t="shared" si="4"/>
        <v>10.57</v>
      </c>
      <c r="J17" s="382">
        <f t="shared" si="4"/>
        <v>11.88</v>
      </c>
      <c r="K17" s="382">
        <f t="shared" si="4"/>
        <v>11.88</v>
      </c>
      <c r="L17" s="382">
        <f t="shared" si="4"/>
        <v>0</v>
      </c>
      <c r="M17" s="97"/>
    </row>
    <row r="18" ht="12.75" customHeight="1">
      <c r="A18" s="383" t="s">
        <v>1189</v>
      </c>
      <c r="B18" s="384"/>
      <c r="C18" s="385"/>
      <c r="D18" s="384"/>
      <c r="E18" s="384"/>
      <c r="F18" s="384"/>
      <c r="G18" s="383"/>
      <c r="H18" s="384"/>
      <c r="I18" s="384"/>
      <c r="J18" s="384"/>
      <c r="K18" s="386">
        <v>13000.0</v>
      </c>
      <c r="L18" s="386"/>
      <c r="M18" s="97" t="s">
        <v>1190</v>
      </c>
    </row>
    <row r="19" ht="12.75" customHeight="1">
      <c r="A19" s="60" t="s">
        <v>1191</v>
      </c>
      <c r="B19" s="60"/>
      <c r="C19" s="60"/>
      <c r="D19" s="60"/>
      <c r="E19" s="60"/>
      <c r="F19" s="60"/>
      <c r="G19" s="60"/>
      <c r="H19" s="60"/>
      <c r="I19" s="60"/>
      <c r="J19" s="60"/>
      <c r="K19" s="387">
        <f t="shared" ref="K19:L19" si="5">K18+K17</f>
        <v>13011.88</v>
      </c>
      <c r="L19" s="387">
        <f t="shared" si="5"/>
        <v>0</v>
      </c>
    </row>
    <row r="20" ht="12.75" customHeight="1">
      <c r="A20" s="12"/>
      <c r="B20" s="12"/>
      <c r="C20" s="12"/>
      <c r="D20" s="12"/>
      <c r="E20" s="12"/>
      <c r="F20" s="12"/>
      <c r="G20" s="12"/>
      <c r="H20" s="12"/>
      <c r="I20" s="12"/>
      <c r="J20" s="12"/>
      <c r="K20" s="12"/>
      <c r="L20" s="12"/>
      <c r="N20" s="97"/>
      <c r="O20" s="97"/>
      <c r="P20" s="97"/>
      <c r="Q20" s="97"/>
      <c r="R20" s="97"/>
    </row>
    <row r="21" ht="15.75" customHeight="1">
      <c r="A21" s="64" t="s">
        <v>1185</v>
      </c>
      <c r="D21" s="25"/>
      <c r="E21" s="25"/>
      <c r="F21" s="25"/>
      <c r="G21" s="25"/>
      <c r="H21" s="25"/>
      <c r="I21" s="25"/>
      <c r="J21" s="25"/>
      <c r="K21" s="25"/>
      <c r="L21" s="25"/>
    </row>
    <row r="22" ht="12.75" customHeight="1">
      <c r="A22" s="47"/>
      <c r="B22" s="65" t="s">
        <v>1192</v>
      </c>
    </row>
    <row r="23" ht="13.5" customHeight="1">
      <c r="B23" s="71" t="s">
        <v>76</v>
      </c>
      <c r="C23" s="379" t="s">
        <v>77</v>
      </c>
      <c r="D23" s="71" t="s">
        <v>78</v>
      </c>
      <c r="E23" s="67" t="s">
        <v>79</v>
      </c>
      <c r="F23" s="67" t="s">
        <v>80</v>
      </c>
      <c r="G23" s="67" t="s">
        <v>81</v>
      </c>
      <c r="H23" s="67" t="s">
        <v>82</v>
      </c>
      <c r="I23" s="67" t="s">
        <v>83</v>
      </c>
      <c r="J23" s="67" t="s">
        <v>84</v>
      </c>
      <c r="K23" s="67" t="s">
        <v>84</v>
      </c>
      <c r="L23" s="67"/>
    </row>
    <row r="24" ht="12.75" customHeight="1">
      <c r="A24" s="65" t="s">
        <v>1193</v>
      </c>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2.75" customHeight="1">
      <c r="A25" s="55" t="s">
        <v>1194</v>
      </c>
      <c r="B25" s="55"/>
      <c r="C25" s="55"/>
      <c r="D25" s="55"/>
      <c r="E25" s="55"/>
      <c r="F25" s="55"/>
      <c r="G25" s="55"/>
      <c r="H25" s="55"/>
      <c r="I25" s="55"/>
      <c r="J25" s="55"/>
      <c r="K25" s="55"/>
      <c r="L25" s="55"/>
      <c r="M25" s="25"/>
      <c r="N25" s="25"/>
      <c r="O25" s="25"/>
      <c r="P25" s="25"/>
      <c r="Q25" s="25"/>
      <c r="R25" s="25"/>
      <c r="S25" s="25"/>
      <c r="T25" s="25"/>
      <c r="U25" s="25"/>
      <c r="V25" s="25"/>
      <c r="W25" s="25"/>
      <c r="X25" s="25"/>
      <c r="Y25" s="25"/>
      <c r="Z25" s="25"/>
    </row>
    <row r="26" ht="12.75" customHeight="1">
      <c r="A26" s="55" t="s">
        <v>1195</v>
      </c>
      <c r="B26" s="55"/>
      <c r="C26" s="55"/>
      <c r="D26" s="55"/>
      <c r="E26" s="55"/>
      <c r="F26" s="55"/>
      <c r="G26" s="55"/>
      <c r="H26" s="55"/>
      <c r="I26" s="55"/>
      <c r="J26" s="55"/>
      <c r="K26" s="55"/>
      <c r="L26" s="55"/>
      <c r="M26" s="25"/>
      <c r="N26" s="25"/>
      <c r="O26" s="25"/>
      <c r="P26" s="25"/>
      <c r="Q26" s="25"/>
      <c r="R26" s="25"/>
      <c r="S26" s="25"/>
      <c r="T26" s="25"/>
      <c r="U26" s="25"/>
      <c r="V26" s="25"/>
      <c r="W26" s="25"/>
      <c r="X26" s="25"/>
      <c r="Y26" s="25"/>
      <c r="Z26" s="25"/>
    </row>
    <row r="27" ht="12.75" customHeight="1">
      <c r="A27" s="55" t="s">
        <v>1196</v>
      </c>
      <c r="B27" s="388">
        <v>680.0</v>
      </c>
      <c r="C27" s="55">
        <v>585.0</v>
      </c>
      <c r="D27" s="55">
        <v>650.0</v>
      </c>
      <c r="E27" s="55">
        <v>530.0</v>
      </c>
      <c r="F27" s="55">
        <v>541.0</v>
      </c>
      <c r="G27" s="55">
        <v>540.0</v>
      </c>
      <c r="H27" s="55"/>
      <c r="I27" s="55"/>
      <c r="J27" s="55"/>
      <c r="K27" s="55"/>
      <c r="L27" s="55"/>
      <c r="M27" s="25"/>
      <c r="N27" s="25"/>
      <c r="O27" s="25"/>
      <c r="P27" s="25"/>
      <c r="Q27" s="25"/>
      <c r="R27" s="25"/>
      <c r="S27" s="25"/>
      <c r="T27" s="25"/>
      <c r="U27" s="25"/>
      <c r="V27" s="25"/>
      <c r="W27" s="25"/>
      <c r="X27" s="25"/>
      <c r="Y27" s="25"/>
      <c r="Z27" s="25"/>
    </row>
    <row r="28" ht="12.75" customHeight="1">
      <c r="A28" s="55" t="s">
        <v>1197</v>
      </c>
      <c r="B28" s="55"/>
      <c r="C28" s="55"/>
      <c r="D28" s="55"/>
      <c r="E28" s="55"/>
      <c r="F28" s="55"/>
      <c r="G28" s="55"/>
      <c r="H28" s="55"/>
      <c r="I28" s="55"/>
      <c r="J28" s="55"/>
      <c r="K28" s="55"/>
      <c r="L28" s="55"/>
      <c r="M28" s="25"/>
      <c r="N28" s="25"/>
      <c r="O28" s="25"/>
      <c r="P28" s="25"/>
      <c r="Q28" s="25"/>
      <c r="R28" s="25"/>
      <c r="S28" s="25"/>
      <c r="T28" s="25"/>
      <c r="U28" s="25"/>
      <c r="V28" s="25"/>
      <c r="W28" s="25"/>
      <c r="X28" s="25"/>
      <c r="Y28" s="25"/>
      <c r="Z28" s="25"/>
    </row>
    <row r="29" ht="12.75" customHeight="1">
      <c r="A29" s="55" t="s">
        <v>1198</v>
      </c>
      <c r="B29" s="388">
        <v>174.18</v>
      </c>
      <c r="C29" s="55"/>
      <c r="D29" s="55"/>
      <c r="E29" s="55"/>
      <c r="F29" s="55"/>
      <c r="G29" s="55"/>
      <c r="H29" s="55"/>
      <c r="I29" s="55"/>
      <c r="J29" s="55"/>
      <c r="K29" s="55"/>
      <c r="L29" s="55"/>
      <c r="M29" s="25"/>
      <c r="N29" s="25"/>
      <c r="O29" s="25"/>
      <c r="P29" s="25"/>
      <c r="Q29" s="25"/>
      <c r="R29" s="25"/>
      <c r="S29" s="25"/>
      <c r="T29" s="25"/>
      <c r="U29" s="25"/>
      <c r="V29" s="25"/>
      <c r="W29" s="25"/>
      <c r="X29" s="25"/>
      <c r="Y29" s="25"/>
      <c r="Z29" s="25"/>
    </row>
    <row r="30" ht="12.75" customHeight="1">
      <c r="A30" s="120" t="s">
        <v>103</v>
      </c>
      <c r="B30" s="389">
        <f t="shared" ref="B30:K30" si="6">SUM(B25:B29)</f>
        <v>854.18</v>
      </c>
      <c r="C30" s="389">
        <f t="shared" si="6"/>
        <v>585</v>
      </c>
      <c r="D30" s="389">
        <f t="shared" si="6"/>
        <v>650</v>
      </c>
      <c r="E30" s="389">
        <f t="shared" si="6"/>
        <v>530</v>
      </c>
      <c r="F30" s="389">
        <f t="shared" si="6"/>
        <v>541</v>
      </c>
      <c r="G30" s="389">
        <f t="shared" si="6"/>
        <v>540</v>
      </c>
      <c r="H30" s="389">
        <f t="shared" si="6"/>
        <v>0</v>
      </c>
      <c r="I30" s="389">
        <f t="shared" si="6"/>
        <v>0</v>
      </c>
      <c r="J30" s="389">
        <f t="shared" si="6"/>
        <v>0</v>
      </c>
      <c r="K30" s="389">
        <f t="shared" si="6"/>
        <v>0</v>
      </c>
      <c r="L30" s="389"/>
      <c r="M30" s="25"/>
      <c r="N30" s="25"/>
      <c r="O30" s="25"/>
      <c r="P30" s="25"/>
      <c r="Q30" s="25"/>
      <c r="R30" s="25"/>
      <c r="S30" s="25"/>
      <c r="T30" s="25"/>
      <c r="U30" s="25"/>
      <c r="V30" s="25"/>
      <c r="W30" s="25"/>
      <c r="X30" s="25"/>
      <c r="Y30" s="25"/>
      <c r="Z30" s="25"/>
    </row>
    <row r="31" ht="12.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2.75" customHeight="1">
      <c r="A32" s="65" t="s">
        <v>1199</v>
      </c>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2.75" customHeight="1">
      <c r="A33" s="55" t="s">
        <v>1194</v>
      </c>
      <c r="B33" s="55"/>
      <c r="C33" s="55"/>
      <c r="D33" s="55"/>
      <c r="E33" s="55"/>
      <c r="F33" s="55"/>
      <c r="G33" s="55"/>
      <c r="H33" s="55"/>
      <c r="I33" s="55"/>
      <c r="J33" s="55"/>
      <c r="K33" s="55"/>
      <c r="L33" s="55"/>
      <c r="M33" s="25"/>
      <c r="N33" s="25"/>
      <c r="O33" s="25"/>
      <c r="P33" s="25"/>
      <c r="Q33" s="25"/>
      <c r="R33" s="25"/>
      <c r="S33" s="25"/>
      <c r="T33" s="25"/>
      <c r="U33" s="25"/>
      <c r="V33" s="25"/>
      <c r="W33" s="25"/>
      <c r="X33" s="25"/>
      <c r="Y33" s="25"/>
      <c r="Z33" s="25"/>
    </row>
    <row r="34" ht="12.75" customHeight="1">
      <c r="A34" s="55" t="s">
        <v>1195</v>
      </c>
      <c r="B34" s="55"/>
      <c r="C34" s="55"/>
      <c r="D34" s="55"/>
      <c r="E34" s="55"/>
      <c r="F34" s="55"/>
      <c r="G34" s="55"/>
      <c r="H34" s="55"/>
      <c r="I34" s="55"/>
      <c r="J34" s="55"/>
      <c r="K34" s="55"/>
      <c r="L34" s="55"/>
      <c r="M34" s="25"/>
      <c r="N34" s="25"/>
      <c r="O34" s="25"/>
      <c r="P34" s="25"/>
      <c r="Q34" s="25"/>
      <c r="R34" s="25"/>
      <c r="S34" s="25"/>
      <c r="T34" s="25"/>
      <c r="U34" s="25"/>
      <c r="V34" s="25"/>
      <c r="W34" s="25"/>
      <c r="X34" s="25"/>
      <c r="Y34" s="25"/>
      <c r="Z34" s="25"/>
    </row>
    <row r="35" ht="12.75" customHeight="1">
      <c r="A35" s="55" t="s">
        <v>1196</v>
      </c>
      <c r="B35" s="55"/>
      <c r="C35" s="55"/>
      <c r="D35" s="55"/>
      <c r="E35" s="55"/>
      <c r="F35" s="55"/>
      <c r="G35" s="55"/>
      <c r="H35" s="55"/>
      <c r="I35" s="55"/>
      <c r="J35" s="55"/>
      <c r="K35" s="55"/>
      <c r="L35" s="55"/>
      <c r="M35" s="25"/>
      <c r="N35" s="25"/>
      <c r="O35" s="25"/>
      <c r="P35" s="25"/>
      <c r="Q35" s="25"/>
      <c r="R35" s="25"/>
      <c r="S35" s="25"/>
      <c r="T35" s="25"/>
      <c r="U35" s="25"/>
      <c r="V35" s="25"/>
      <c r="W35" s="25"/>
      <c r="X35" s="25"/>
      <c r="Y35" s="25"/>
      <c r="Z35" s="25"/>
    </row>
    <row r="36" ht="12.75" customHeight="1">
      <c r="A36" s="55" t="s">
        <v>1197</v>
      </c>
      <c r="B36" s="390"/>
      <c r="C36" s="390"/>
      <c r="D36" s="55"/>
      <c r="E36" s="55"/>
      <c r="F36" s="55"/>
      <c r="G36" s="55"/>
      <c r="H36" s="55"/>
      <c r="I36" s="55"/>
      <c r="J36" s="55"/>
      <c r="K36" s="55"/>
      <c r="L36" s="55"/>
      <c r="M36" s="25"/>
      <c r="N36" s="25"/>
      <c r="O36" s="25"/>
      <c r="P36" s="25"/>
      <c r="Q36" s="25"/>
      <c r="R36" s="25"/>
      <c r="S36" s="25"/>
      <c r="T36" s="25"/>
      <c r="U36" s="25"/>
      <c r="V36" s="25"/>
      <c r="W36" s="25"/>
      <c r="X36" s="25"/>
      <c r="Y36" s="25"/>
      <c r="Z36" s="25"/>
    </row>
    <row r="37" ht="12.75" customHeight="1">
      <c r="A37" s="55" t="s">
        <v>1200</v>
      </c>
      <c r="B37" s="390"/>
      <c r="C37" s="390"/>
      <c r="D37" s="55"/>
      <c r="E37" s="55"/>
      <c r="F37" s="55"/>
      <c r="G37" s="55"/>
      <c r="H37" s="55"/>
      <c r="I37" s="55"/>
      <c r="J37" s="55"/>
      <c r="K37" s="55"/>
      <c r="L37" s="55"/>
      <c r="M37" s="25"/>
      <c r="N37" s="25"/>
      <c r="O37" s="25"/>
      <c r="P37" s="25"/>
      <c r="Q37" s="25"/>
      <c r="R37" s="25"/>
      <c r="S37" s="25"/>
      <c r="T37" s="25"/>
      <c r="U37" s="25"/>
      <c r="V37" s="25"/>
      <c r="W37" s="25"/>
      <c r="X37" s="25"/>
      <c r="Y37" s="25"/>
      <c r="Z37" s="25"/>
    </row>
    <row r="38" ht="12.75" customHeight="1">
      <c r="A38" s="120" t="s">
        <v>103</v>
      </c>
      <c r="B38" s="120">
        <f t="shared" ref="B38:K38" si="7">SUM(B33:B36)</f>
        <v>0</v>
      </c>
      <c r="C38" s="120">
        <f t="shared" si="7"/>
        <v>0</v>
      </c>
      <c r="D38" s="120">
        <f t="shared" si="7"/>
        <v>0</v>
      </c>
      <c r="E38" s="120">
        <f t="shared" si="7"/>
        <v>0</v>
      </c>
      <c r="F38" s="120">
        <f t="shared" si="7"/>
        <v>0</v>
      </c>
      <c r="G38" s="120">
        <f t="shared" si="7"/>
        <v>0</v>
      </c>
      <c r="H38" s="120">
        <f t="shared" si="7"/>
        <v>0</v>
      </c>
      <c r="I38" s="120">
        <f t="shared" si="7"/>
        <v>0</v>
      </c>
      <c r="J38" s="120">
        <f t="shared" si="7"/>
        <v>0</v>
      </c>
      <c r="K38" s="120">
        <f t="shared" si="7"/>
        <v>0</v>
      </c>
      <c r="L38" s="120"/>
      <c r="M38" s="25"/>
      <c r="N38" s="25"/>
      <c r="O38" s="25"/>
      <c r="P38" s="25"/>
      <c r="Q38" s="25"/>
      <c r="R38" s="25"/>
      <c r="S38" s="25"/>
      <c r="T38" s="25"/>
      <c r="U38" s="25"/>
      <c r="V38" s="25"/>
      <c r="W38" s="25"/>
      <c r="X38" s="25"/>
      <c r="Y38" s="25"/>
      <c r="Z38" s="25"/>
    </row>
    <row r="39" ht="12.75" customHeight="1">
      <c r="A39" s="25"/>
      <c r="B39" s="25"/>
      <c r="C39" s="225"/>
      <c r="D39" s="225"/>
      <c r="E39" s="225"/>
      <c r="F39" s="225"/>
      <c r="G39" s="225"/>
      <c r="H39" s="225"/>
      <c r="I39" s="225"/>
      <c r="J39" s="225"/>
      <c r="K39" s="225"/>
      <c r="L39" s="225"/>
      <c r="M39" s="25"/>
      <c r="N39" s="25"/>
      <c r="O39" s="25"/>
      <c r="P39" s="25"/>
      <c r="Q39" s="25"/>
      <c r="R39" s="25"/>
      <c r="S39" s="25"/>
      <c r="T39" s="25"/>
      <c r="U39" s="25"/>
      <c r="V39" s="25"/>
      <c r="W39" s="25"/>
      <c r="X39" s="25"/>
      <c r="Y39" s="25"/>
      <c r="Z39" s="25"/>
    </row>
    <row r="40" ht="15.75" customHeight="1">
      <c r="A40" s="64" t="s">
        <v>1201</v>
      </c>
      <c r="B40" s="64"/>
      <c r="C40" s="64"/>
      <c r="D40" s="225"/>
      <c r="E40" s="225"/>
      <c r="F40" s="225"/>
      <c r="G40" s="225"/>
      <c r="H40" s="225"/>
      <c r="I40" s="225"/>
      <c r="J40" s="225"/>
      <c r="K40" s="225"/>
      <c r="L40" s="225"/>
      <c r="M40" s="25"/>
      <c r="N40" s="25"/>
      <c r="O40" s="25"/>
      <c r="P40" s="25"/>
      <c r="Q40" s="25"/>
      <c r="R40" s="25"/>
      <c r="S40" s="25"/>
      <c r="T40" s="25"/>
      <c r="U40" s="25"/>
      <c r="V40" s="25"/>
      <c r="W40" s="25"/>
      <c r="X40" s="25"/>
      <c r="Y40" s="25"/>
      <c r="Z40" s="25"/>
    </row>
    <row r="41" ht="12.75" customHeight="1">
      <c r="A41" s="47"/>
      <c r="B41" s="65" t="s">
        <v>1192</v>
      </c>
      <c r="H41" s="225"/>
      <c r="I41" s="225"/>
      <c r="J41" s="225"/>
      <c r="K41" s="225"/>
      <c r="L41" s="225"/>
      <c r="M41" s="25"/>
      <c r="N41" s="25"/>
      <c r="O41" s="25"/>
      <c r="P41" s="25"/>
      <c r="Q41" s="25"/>
      <c r="R41" s="25"/>
      <c r="S41" s="25"/>
      <c r="T41" s="25"/>
      <c r="U41" s="25"/>
      <c r="V41" s="25"/>
      <c r="W41" s="25"/>
      <c r="X41" s="25"/>
      <c r="Y41" s="25"/>
      <c r="Z41" s="25"/>
    </row>
    <row r="42" ht="12.75" customHeight="1">
      <c r="A42" s="25"/>
      <c r="B42" s="391" t="s">
        <v>76</v>
      </c>
      <c r="C42" s="225"/>
      <c r="D42" s="25"/>
      <c r="E42" s="391" t="s">
        <v>79</v>
      </c>
      <c r="F42" s="391" t="s">
        <v>80</v>
      </c>
      <c r="G42" s="25"/>
      <c r="H42" s="25"/>
      <c r="I42" s="25"/>
      <c r="J42" s="25"/>
      <c r="K42" s="25"/>
      <c r="L42" s="25"/>
      <c r="M42" s="25"/>
      <c r="N42" s="25"/>
      <c r="O42" s="25"/>
      <c r="P42" s="25"/>
      <c r="Q42" s="25"/>
      <c r="R42" s="25"/>
      <c r="S42" s="25"/>
      <c r="T42" s="25"/>
      <c r="U42" s="25"/>
      <c r="V42" s="25"/>
      <c r="W42" s="25"/>
      <c r="X42" s="25"/>
      <c r="Y42" s="25"/>
      <c r="Z42" s="25"/>
    </row>
    <row r="43" ht="12.75" customHeight="1">
      <c r="A43" s="65" t="s">
        <v>1193</v>
      </c>
      <c r="B43" s="25"/>
      <c r="C43" s="225"/>
      <c r="D43" s="25"/>
      <c r="E43" s="25"/>
      <c r="F43" s="25"/>
      <c r="G43" s="25"/>
      <c r="H43" s="25"/>
      <c r="I43" s="25"/>
      <c r="J43" s="25"/>
      <c r="K43" s="25"/>
      <c r="L43" s="25"/>
      <c r="M43" s="25"/>
      <c r="N43" s="25"/>
      <c r="O43" s="25"/>
      <c r="P43" s="25"/>
      <c r="Q43" s="25"/>
      <c r="R43" s="25"/>
      <c r="S43" s="25"/>
      <c r="T43" s="25"/>
      <c r="U43" s="25"/>
      <c r="V43" s="25"/>
      <c r="W43" s="25"/>
      <c r="X43" s="25"/>
      <c r="Y43" s="25"/>
      <c r="Z43" s="25"/>
    </row>
    <row r="44" ht="12.75" customHeight="1">
      <c r="A44" s="55" t="s">
        <v>1194</v>
      </c>
      <c r="B44" s="392"/>
      <c r="C44" s="390"/>
      <c r="D44" s="55"/>
      <c r="E44" s="55"/>
      <c r="F44" s="55"/>
      <c r="G44" s="55"/>
      <c r="H44" s="55"/>
      <c r="I44" s="55"/>
      <c r="J44" s="55"/>
      <c r="K44" s="55"/>
      <c r="L44" s="55"/>
      <c r="M44" s="25"/>
      <c r="N44" s="25"/>
      <c r="O44" s="25"/>
      <c r="P44" s="25"/>
      <c r="Q44" s="25"/>
      <c r="R44" s="25"/>
      <c r="S44" s="25"/>
      <c r="T44" s="25"/>
      <c r="U44" s="25"/>
      <c r="V44" s="25"/>
      <c r="W44" s="25"/>
      <c r="X44" s="25"/>
      <c r="Y44" s="25"/>
      <c r="Z44" s="25"/>
    </row>
    <row r="45" ht="12.75" customHeight="1">
      <c r="A45" s="55" t="s">
        <v>1195</v>
      </c>
      <c r="B45" s="392"/>
      <c r="C45" s="390"/>
      <c r="D45" s="55"/>
      <c r="E45" s="55"/>
      <c r="F45" s="55"/>
      <c r="G45" s="55"/>
      <c r="H45" s="55"/>
      <c r="I45" s="55"/>
      <c r="J45" s="55"/>
      <c r="K45" s="55"/>
      <c r="L45" s="55"/>
      <c r="M45" s="25"/>
      <c r="N45" s="25"/>
      <c r="O45" s="25"/>
      <c r="P45" s="25"/>
      <c r="Q45" s="25"/>
      <c r="R45" s="25"/>
      <c r="S45" s="25"/>
      <c r="T45" s="25"/>
      <c r="U45" s="25"/>
      <c r="V45" s="25"/>
      <c r="W45" s="25"/>
      <c r="X45" s="25"/>
      <c r="Y45" s="25"/>
      <c r="Z45" s="25"/>
    </row>
    <row r="46" ht="12.75" customHeight="1">
      <c r="A46" s="55" t="s">
        <v>1196</v>
      </c>
      <c r="B46" s="392"/>
      <c r="C46" s="390"/>
      <c r="D46" s="55"/>
      <c r="E46" s="55"/>
      <c r="F46" s="55"/>
      <c r="G46" s="55"/>
      <c r="H46" s="55"/>
      <c r="I46" s="55"/>
      <c r="J46" s="55"/>
      <c r="K46" s="55"/>
      <c r="L46" s="55"/>
      <c r="M46" s="25"/>
      <c r="N46" s="25"/>
      <c r="O46" s="25"/>
      <c r="P46" s="25"/>
      <c r="Q46" s="25"/>
      <c r="R46" s="25"/>
      <c r="S46" s="25"/>
      <c r="T46" s="25"/>
      <c r="U46" s="25"/>
      <c r="V46" s="25"/>
      <c r="W46" s="25"/>
      <c r="X46" s="25"/>
      <c r="Y46" s="25"/>
      <c r="Z46" s="25"/>
    </row>
    <row r="47" ht="12.75" customHeight="1">
      <c r="A47" s="55" t="s">
        <v>1197</v>
      </c>
      <c r="B47" s="392"/>
      <c r="C47" s="390"/>
      <c r="D47" s="55"/>
      <c r="E47" s="55"/>
      <c r="F47" s="55"/>
      <c r="G47" s="55"/>
      <c r="H47" s="55"/>
      <c r="I47" s="55"/>
      <c r="J47" s="55"/>
      <c r="K47" s="55"/>
      <c r="L47" s="55"/>
      <c r="M47" s="25"/>
      <c r="N47" s="25"/>
      <c r="O47" s="25"/>
      <c r="P47" s="25"/>
      <c r="Q47" s="25"/>
      <c r="R47" s="25"/>
      <c r="S47" s="25"/>
      <c r="T47" s="25"/>
      <c r="U47" s="25"/>
      <c r="V47" s="25"/>
      <c r="W47" s="25"/>
      <c r="X47" s="25"/>
      <c r="Y47" s="25"/>
      <c r="Z47" s="25"/>
    </row>
    <row r="48" ht="12.75" customHeight="1">
      <c r="A48" s="55" t="s">
        <v>1200</v>
      </c>
      <c r="B48" s="392"/>
      <c r="C48" s="390"/>
      <c r="D48" s="55"/>
      <c r="E48" s="55"/>
      <c r="F48" s="55"/>
      <c r="G48" s="55"/>
      <c r="H48" s="55"/>
      <c r="I48" s="55"/>
      <c r="J48" s="55"/>
      <c r="K48" s="55"/>
      <c r="L48" s="55"/>
      <c r="M48" s="25"/>
      <c r="N48" s="25"/>
      <c r="O48" s="25"/>
      <c r="P48" s="25"/>
      <c r="Q48" s="25"/>
      <c r="R48" s="25"/>
      <c r="S48" s="25"/>
      <c r="T48" s="25"/>
      <c r="U48" s="25"/>
      <c r="V48" s="25"/>
      <c r="W48" s="25"/>
      <c r="X48" s="25"/>
      <c r="Y48" s="25"/>
      <c r="Z48" s="25"/>
    </row>
    <row r="49" ht="12.75" customHeight="1">
      <c r="A49" s="120" t="s">
        <v>103</v>
      </c>
      <c r="B49" s="393">
        <f t="shared" ref="B49:K49" si="8">SUM(B44:B48)</f>
        <v>0</v>
      </c>
      <c r="C49" s="393">
        <f t="shared" si="8"/>
        <v>0</v>
      </c>
      <c r="D49" s="393">
        <f t="shared" si="8"/>
        <v>0</v>
      </c>
      <c r="E49" s="393">
        <f t="shared" si="8"/>
        <v>0</v>
      </c>
      <c r="F49" s="393">
        <f t="shared" si="8"/>
        <v>0</v>
      </c>
      <c r="G49" s="393">
        <f t="shared" si="8"/>
        <v>0</v>
      </c>
      <c r="H49" s="393">
        <f t="shared" si="8"/>
        <v>0</v>
      </c>
      <c r="I49" s="393">
        <f t="shared" si="8"/>
        <v>0</v>
      </c>
      <c r="J49" s="393">
        <f t="shared" si="8"/>
        <v>0</v>
      </c>
      <c r="K49" s="393">
        <f t="shared" si="8"/>
        <v>0</v>
      </c>
      <c r="L49" s="393"/>
      <c r="M49" s="25"/>
      <c r="N49" s="25"/>
      <c r="O49" s="25"/>
      <c r="P49" s="25"/>
      <c r="Q49" s="25"/>
      <c r="R49" s="25"/>
      <c r="S49" s="25"/>
      <c r="T49" s="25"/>
      <c r="U49" s="25"/>
      <c r="V49" s="25"/>
      <c r="W49" s="25"/>
      <c r="X49" s="25"/>
      <c r="Y49" s="25"/>
      <c r="Z49" s="25"/>
    </row>
    <row r="50" ht="12.75" customHeight="1">
      <c r="A50" s="25"/>
      <c r="B50" s="25"/>
      <c r="C50" s="225"/>
      <c r="D50" s="225"/>
      <c r="E50" s="225"/>
      <c r="F50" s="225"/>
      <c r="G50" s="225"/>
      <c r="H50" s="225"/>
      <c r="I50" s="25"/>
      <c r="J50" s="25"/>
      <c r="K50" s="25"/>
      <c r="L50" s="25"/>
      <c r="M50" s="25"/>
      <c r="N50" s="25"/>
      <c r="O50" s="25"/>
      <c r="P50" s="25"/>
      <c r="Q50" s="25"/>
      <c r="R50" s="25"/>
      <c r="S50" s="25"/>
      <c r="T50" s="25"/>
      <c r="U50" s="25"/>
      <c r="V50" s="25"/>
      <c r="W50" s="25"/>
      <c r="X50" s="25"/>
      <c r="Y50" s="25"/>
      <c r="Z50" s="25"/>
    </row>
    <row r="51" ht="15.75" customHeight="1">
      <c r="A51" s="92" t="s">
        <v>606</v>
      </c>
      <c r="B51" s="25"/>
      <c r="C51" s="225"/>
      <c r="D51" s="225"/>
      <c r="E51" s="225"/>
      <c r="F51" s="225"/>
      <c r="G51" s="225"/>
      <c r="H51" s="225"/>
      <c r="I51" s="25"/>
      <c r="J51" s="25"/>
      <c r="K51" s="25"/>
      <c r="L51" s="25"/>
      <c r="M51" s="25"/>
      <c r="N51" s="25"/>
      <c r="O51" s="25"/>
      <c r="P51" s="25"/>
      <c r="Q51" s="25"/>
      <c r="R51" s="25"/>
      <c r="S51" s="25"/>
      <c r="T51" s="25"/>
      <c r="U51" s="25"/>
      <c r="V51" s="25"/>
      <c r="W51" s="25"/>
      <c r="X51" s="25"/>
      <c r="Y51" s="25"/>
      <c r="Z51" s="25"/>
    </row>
    <row r="52" ht="12.75" customHeight="1">
      <c r="A52" s="47" t="s">
        <v>1202</v>
      </c>
      <c r="B52" s="106">
        <v>0.03</v>
      </c>
      <c r="C52" s="225"/>
      <c r="D52" s="225"/>
      <c r="E52" s="225"/>
      <c r="F52" s="225"/>
      <c r="G52" s="225"/>
      <c r="H52" s="225"/>
      <c r="I52" s="25"/>
      <c r="J52" s="25"/>
      <c r="K52" s="25"/>
      <c r="L52" s="25"/>
      <c r="M52" s="25"/>
      <c r="N52" s="25"/>
      <c r="O52" s="25"/>
      <c r="P52" s="25"/>
      <c r="Q52" s="25"/>
      <c r="R52" s="25"/>
      <c r="S52" s="25"/>
      <c r="T52" s="25"/>
      <c r="U52" s="25"/>
      <c r="V52" s="25"/>
      <c r="W52" s="25"/>
      <c r="X52" s="25"/>
      <c r="Y52" s="25"/>
      <c r="Z52" s="25"/>
    </row>
    <row r="53" ht="12.75" customHeight="1">
      <c r="A53" s="113" t="s">
        <v>1203</v>
      </c>
      <c r="B53" s="394">
        <f>1/2000</f>
        <v>0.0005</v>
      </c>
      <c r="C53" s="225"/>
      <c r="D53" s="225"/>
      <c r="E53" s="225"/>
      <c r="F53" s="225"/>
      <c r="G53" s="225"/>
      <c r="H53" s="225"/>
      <c r="I53" s="25"/>
      <c r="J53" s="25"/>
      <c r="K53" s="25"/>
      <c r="L53" s="25"/>
      <c r="M53" s="25"/>
      <c r="N53" s="25"/>
      <c r="O53" s="25"/>
      <c r="P53" s="25"/>
      <c r="Q53" s="25"/>
      <c r="R53" s="25"/>
      <c r="S53" s="25"/>
      <c r="T53" s="25"/>
      <c r="U53" s="25"/>
      <c r="V53" s="25"/>
      <c r="W53" s="25"/>
      <c r="X53" s="25"/>
      <c r="Y53" s="25"/>
      <c r="Z53" s="25"/>
    </row>
    <row r="54" ht="12.75" customHeight="1">
      <c r="A54" s="25"/>
      <c r="B54" s="25"/>
      <c r="C54" s="225"/>
      <c r="D54" s="225"/>
      <c r="E54" s="225"/>
      <c r="F54" s="225"/>
      <c r="G54" s="225"/>
      <c r="H54" s="225"/>
      <c r="I54" s="25"/>
      <c r="J54" s="25"/>
      <c r="K54" s="25"/>
      <c r="L54" s="25"/>
      <c r="M54" s="25"/>
      <c r="N54" s="25"/>
      <c r="O54" s="25"/>
      <c r="P54" s="25"/>
      <c r="Q54" s="25"/>
      <c r="R54" s="25"/>
      <c r="S54" s="25"/>
      <c r="T54" s="25"/>
      <c r="U54" s="25"/>
      <c r="V54" s="25"/>
      <c r="W54" s="25"/>
      <c r="X54" s="25"/>
      <c r="Y54" s="25"/>
      <c r="Z54" s="25"/>
    </row>
    <row r="55" ht="12.75" customHeight="1">
      <c r="A55" s="25"/>
      <c r="B55" s="25"/>
      <c r="C55" s="225"/>
      <c r="D55" s="225"/>
      <c r="E55" s="225"/>
      <c r="F55" s="225"/>
      <c r="G55" s="225"/>
      <c r="H55" s="225"/>
      <c r="I55" s="25"/>
      <c r="J55" s="25"/>
      <c r="K55" s="25"/>
      <c r="L55" s="25"/>
      <c r="M55" s="25"/>
      <c r="N55" s="25"/>
      <c r="O55" s="25"/>
      <c r="P55" s="25"/>
      <c r="Q55" s="25"/>
      <c r="R55" s="25"/>
      <c r="S55" s="25"/>
      <c r="T55" s="25"/>
      <c r="U55" s="25"/>
      <c r="V55" s="25"/>
      <c r="W55" s="25"/>
      <c r="X55" s="25"/>
      <c r="Y55" s="25"/>
      <c r="Z55" s="25"/>
    </row>
    <row r="56" ht="12.75" customHeight="1"/>
    <row r="57" ht="12.75" customHeight="1"/>
    <row r="58" ht="12.75" customHeight="1"/>
    <row r="59" ht="12.75" customHeight="1"/>
    <row r="60" ht="12.75" customHeight="1"/>
    <row r="61" ht="12.75" customHeight="1"/>
    <row r="62" ht="12.75" customHeight="1"/>
    <row r="63" ht="13.5" customHeight="1"/>
    <row r="64" ht="14.25" customHeight="1"/>
    <row r="65" ht="13.5" customHeight="1"/>
    <row r="66" ht="12.75" customHeight="1">
      <c r="D66" s="25"/>
      <c r="E66" s="25"/>
      <c r="F66" s="25"/>
      <c r="G66" s="25"/>
      <c r="H66" s="25"/>
      <c r="I66" s="25"/>
      <c r="J66" s="25"/>
      <c r="K66" s="25"/>
      <c r="L66" s="25"/>
      <c r="M66" s="25"/>
      <c r="N66" s="25"/>
      <c r="O66" s="25"/>
      <c r="P66" s="25"/>
      <c r="Q66" s="25"/>
      <c r="R66" s="25"/>
      <c r="S66" s="25"/>
      <c r="T66" s="25"/>
      <c r="U66" s="25"/>
      <c r="V66" s="25"/>
      <c r="W66" s="25"/>
      <c r="X66" s="25"/>
      <c r="Y66" s="25"/>
      <c r="Z66" s="25"/>
    </row>
    <row r="67" ht="12.75" customHeight="1"/>
    <row r="68" ht="12.75" customHeight="1"/>
    <row r="69" ht="12.75" customHeight="1"/>
    <row r="70" ht="12.75" customHeight="1"/>
    <row r="71" ht="12.75" customHeight="1"/>
    <row r="72" ht="12.75" customHeight="1"/>
    <row r="73" ht="12.75" customHeight="1"/>
    <row r="74" ht="12.75" customHeight="1">
      <c r="A74" s="112"/>
      <c r="B74" s="112"/>
      <c r="C74" s="112"/>
      <c r="D74" s="112"/>
    </row>
    <row r="75" ht="12.75" customHeight="1">
      <c r="A75" s="25"/>
      <c r="B75" s="25"/>
      <c r="C75" s="25"/>
      <c r="D75" s="25"/>
    </row>
    <row r="76" ht="12.75" customHeight="1"/>
    <row r="77" ht="12.75" customHeight="1"/>
    <row r="78" ht="12.75" customHeight="1"/>
    <row r="79" ht="12.75" customHeight="1"/>
    <row r="80" ht="12.75" customHeight="1">
      <c r="C80" s="112"/>
      <c r="D80" s="112"/>
      <c r="E80" s="112"/>
      <c r="F80" s="112"/>
      <c r="G80" s="112"/>
      <c r="H80" s="112"/>
    </row>
    <row r="81" ht="12.75" customHeight="1">
      <c r="C81" s="25"/>
      <c r="D81" s="25"/>
      <c r="E81" s="25"/>
      <c r="F81" s="25"/>
      <c r="G81" s="25"/>
      <c r="H81" s="25"/>
    </row>
    <row r="82" ht="12.75" customHeight="1"/>
    <row r="83" ht="12.75" customHeight="1">
      <c r="C83" s="112"/>
      <c r="D83" s="112"/>
      <c r="E83" s="112"/>
      <c r="F83" s="112"/>
      <c r="G83" s="112"/>
      <c r="H83" s="112"/>
    </row>
    <row r="84" ht="12.75" customHeight="1">
      <c r="A84" s="111"/>
      <c r="C84" s="114"/>
      <c r="D84" s="114"/>
      <c r="E84" s="114"/>
      <c r="F84" s="114"/>
      <c r="G84" s="114"/>
      <c r="H84" s="114"/>
    </row>
    <row r="85" ht="12.75" customHeight="1">
      <c r="A85" s="25"/>
    </row>
    <row r="86" ht="12.75" customHeight="1">
      <c r="A86" s="25"/>
      <c r="C86" s="112"/>
      <c r="D86" s="112"/>
      <c r="E86" s="112"/>
      <c r="F86" s="112"/>
      <c r="G86" s="112"/>
      <c r="H86" s="112"/>
    </row>
    <row r="87" ht="12.75" customHeight="1">
      <c r="A87" s="111"/>
      <c r="B87" s="25"/>
      <c r="C87" s="25"/>
      <c r="D87" s="25"/>
      <c r="E87" s="25"/>
      <c r="F87" s="25"/>
      <c r="G87" s="25"/>
      <c r="H87" s="25"/>
    </row>
    <row r="88" ht="12.75" customHeight="1"/>
    <row r="89" ht="12.75" customHeight="1">
      <c r="A89" s="47"/>
      <c r="C89" s="235"/>
      <c r="D89" s="235"/>
      <c r="E89" s="235"/>
      <c r="F89" s="235"/>
      <c r="G89" s="235"/>
      <c r="H89" s="235"/>
    </row>
    <row r="90" ht="12.75" customHeight="1"/>
    <row r="91" ht="12.75" customHeight="1"/>
    <row r="92" ht="12.75" customHeight="1"/>
    <row r="93" ht="15.75" customHeight="1">
      <c r="A93" s="350"/>
    </row>
    <row r="94" ht="15.75" customHeight="1">
      <c r="A94" s="148"/>
    </row>
    <row r="95" ht="15.75" customHeight="1">
      <c r="A95" s="336"/>
    </row>
    <row r="96" ht="15.75" customHeight="1">
      <c r="A96" s="49"/>
    </row>
    <row r="97" ht="15.75" customHeight="1">
      <c r="A97" s="336"/>
    </row>
    <row r="98" ht="15.75" customHeight="1">
      <c r="A98" s="49"/>
    </row>
    <row r="99" ht="15.75" customHeight="1">
      <c r="A99" s="49"/>
    </row>
    <row r="100" ht="15.75" customHeight="1">
      <c r="A100" s="148"/>
    </row>
    <row r="101" ht="15.75" customHeight="1">
      <c r="A101" s="336"/>
    </row>
    <row r="102" ht="15.75" customHeight="1">
      <c r="A102" s="49"/>
    </row>
    <row r="103" ht="15.75" customHeight="1">
      <c r="A103" s="336"/>
    </row>
    <row r="104" ht="15.75" customHeight="1">
      <c r="A104" s="49"/>
    </row>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H2"/>
    <mergeCell ref="A3:H4"/>
    <mergeCell ref="A13:C13"/>
    <mergeCell ref="A21:C21"/>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5"/>
    <col customWidth="1" min="2" max="2" width="13.0"/>
    <col customWidth="1" min="3" max="4" width="11.13"/>
    <col customWidth="1" min="5" max="5" width="10.5"/>
    <col customWidth="1" min="6" max="6" width="11.13"/>
    <col customWidth="1" min="7" max="8" width="6.5"/>
    <col customWidth="1" min="9" max="10" width="11.13"/>
    <col customWidth="1" min="11" max="11" width="8.88"/>
    <col customWidth="1" min="12" max="12" width="6.5"/>
    <col customWidth="1" min="13" max="13" width="11.13"/>
    <col customWidth="1" min="14" max="26" width="10.0"/>
  </cols>
  <sheetData>
    <row r="1" ht="27.75" customHeight="1">
      <c r="A1" s="395" t="s">
        <v>1181</v>
      </c>
      <c r="B1" s="158"/>
      <c r="C1" s="158"/>
      <c r="D1" s="158"/>
      <c r="E1" s="158"/>
      <c r="F1" s="158"/>
      <c r="G1" s="159"/>
      <c r="H1" s="396"/>
    </row>
    <row r="2" ht="13.5" customHeight="1">
      <c r="A2" s="160"/>
      <c r="B2" s="7"/>
      <c r="C2" s="7"/>
      <c r="D2" s="7"/>
      <c r="E2" s="7"/>
      <c r="F2" s="7"/>
      <c r="G2" s="8"/>
      <c r="H2" s="396"/>
    </row>
    <row r="3" ht="12.75" customHeight="1">
      <c r="A3" s="110" t="s">
        <v>1204</v>
      </c>
      <c r="H3" s="233"/>
      <c r="I3" s="86"/>
      <c r="J3" s="86"/>
      <c r="K3" s="86"/>
      <c r="L3" s="86"/>
    </row>
    <row r="4" ht="12.75" customHeight="1">
      <c r="H4" s="233"/>
      <c r="I4" s="73"/>
      <c r="J4" s="73"/>
      <c r="K4" s="73"/>
      <c r="L4" s="73"/>
    </row>
    <row r="5" ht="12.75" customHeight="1">
      <c r="A5" s="12"/>
      <c r="B5" s="12"/>
      <c r="C5" s="12"/>
      <c r="H5" s="97"/>
      <c r="I5" s="97"/>
      <c r="J5" s="97"/>
      <c r="K5" s="97"/>
      <c r="L5" s="97"/>
    </row>
    <row r="6" ht="16.5" customHeight="1">
      <c r="A6" s="373" t="s">
        <v>606</v>
      </c>
      <c r="B6" s="373"/>
      <c r="C6" s="12"/>
      <c r="H6" s="97"/>
      <c r="I6" s="97"/>
      <c r="J6" s="97"/>
      <c r="K6" s="97"/>
      <c r="L6" s="97"/>
    </row>
    <row r="7" ht="12.75" customHeight="1">
      <c r="A7" s="47" t="s">
        <v>1205</v>
      </c>
      <c r="B7" s="83" t="s">
        <v>335</v>
      </c>
      <c r="G7" s="97"/>
      <c r="H7" s="97"/>
      <c r="I7" s="97"/>
      <c r="J7" s="97"/>
      <c r="K7" s="97"/>
    </row>
    <row r="8" ht="12.75" customHeight="1">
      <c r="A8" s="12"/>
      <c r="B8" s="12"/>
      <c r="C8" s="12"/>
      <c r="H8" s="97"/>
      <c r="I8" s="97"/>
      <c r="J8" s="97"/>
      <c r="K8" s="97"/>
      <c r="L8" s="97"/>
    </row>
    <row r="9" ht="15.75" customHeight="1">
      <c r="A9" s="92" t="s">
        <v>1184</v>
      </c>
      <c r="B9" s="92"/>
      <c r="F9" s="25"/>
      <c r="G9" s="47"/>
      <c r="H9" s="235"/>
      <c r="I9" s="235"/>
      <c r="J9" s="235"/>
      <c r="K9" s="235"/>
      <c r="L9" s="78"/>
      <c r="M9" s="25"/>
    </row>
    <row r="10" ht="12.75" customHeight="1">
      <c r="A10" s="65" t="s">
        <v>195</v>
      </c>
      <c r="B10" s="65" t="s">
        <v>164</v>
      </c>
    </row>
    <row r="11" ht="12.75" customHeight="1">
      <c r="A11" s="55" t="s">
        <v>1187</v>
      </c>
      <c r="B11" s="157" t="s">
        <v>1206</v>
      </c>
      <c r="C11" s="158"/>
      <c r="D11" s="158"/>
      <c r="E11" s="158"/>
      <c r="F11" s="158"/>
      <c r="G11" s="159"/>
      <c r="H11" s="25"/>
      <c r="I11" s="25"/>
      <c r="J11" s="25"/>
      <c r="K11" s="25"/>
      <c r="L11" s="25"/>
      <c r="M11" s="25"/>
      <c r="N11" s="25"/>
      <c r="O11" s="25"/>
      <c r="P11" s="25"/>
      <c r="Q11" s="25"/>
      <c r="R11" s="25"/>
      <c r="S11" s="25"/>
      <c r="T11" s="25"/>
      <c r="U11" s="25"/>
      <c r="V11" s="25"/>
      <c r="W11" s="25"/>
      <c r="X11" s="25"/>
      <c r="Y11" s="25"/>
      <c r="Z11" s="25"/>
    </row>
    <row r="12" ht="12.75" customHeight="1">
      <c r="A12" s="55"/>
      <c r="B12" s="160"/>
      <c r="C12" s="7"/>
      <c r="D12" s="7"/>
      <c r="E12" s="7"/>
      <c r="F12" s="7"/>
      <c r="G12" s="8"/>
      <c r="H12" s="25"/>
      <c r="I12" s="25"/>
      <c r="J12" s="25"/>
      <c r="K12" s="25"/>
      <c r="L12" s="25"/>
      <c r="M12" s="25"/>
      <c r="N12" s="25"/>
      <c r="O12" s="25"/>
      <c r="P12" s="25"/>
      <c r="Q12" s="25"/>
      <c r="R12" s="25"/>
      <c r="S12" s="25"/>
      <c r="T12" s="25"/>
      <c r="U12" s="25"/>
      <c r="V12" s="25"/>
      <c r="W12" s="25"/>
      <c r="X12" s="25"/>
      <c r="Y12" s="25"/>
      <c r="Z12" s="25"/>
    </row>
    <row r="13" ht="12.75" customHeight="1">
      <c r="A13" s="25"/>
      <c r="B13" s="25"/>
      <c r="C13" s="25"/>
    </row>
    <row r="14" ht="15.75" customHeight="1">
      <c r="A14" s="92" t="s">
        <v>1185</v>
      </c>
    </row>
    <row r="15" ht="12.75" customHeight="1">
      <c r="A15" s="55" t="s">
        <v>1194</v>
      </c>
      <c r="B15" s="157" t="s">
        <v>1207</v>
      </c>
      <c r="C15" s="158"/>
      <c r="D15" s="158"/>
      <c r="E15" s="158"/>
      <c r="F15" s="158"/>
      <c r="G15" s="159"/>
    </row>
    <row r="16" ht="12.75" customHeight="1">
      <c r="A16" s="55"/>
      <c r="B16" s="160"/>
      <c r="C16" s="7"/>
      <c r="D16" s="7"/>
      <c r="E16" s="7"/>
      <c r="F16" s="7"/>
      <c r="G16" s="8"/>
    </row>
    <row r="17" ht="12.75" customHeight="1">
      <c r="A17" s="55" t="s">
        <v>1195</v>
      </c>
      <c r="B17" s="157" t="s">
        <v>1207</v>
      </c>
      <c r="C17" s="158"/>
      <c r="D17" s="158"/>
      <c r="E17" s="158"/>
      <c r="F17" s="158"/>
      <c r="G17" s="159"/>
      <c r="H17" s="25"/>
      <c r="I17" s="25"/>
      <c r="J17" s="25"/>
      <c r="K17" s="25"/>
      <c r="L17" s="25"/>
      <c r="M17" s="25"/>
      <c r="N17" s="25"/>
      <c r="O17" s="25"/>
      <c r="P17" s="25"/>
      <c r="Q17" s="25"/>
      <c r="R17" s="25"/>
      <c r="S17" s="25"/>
      <c r="T17" s="25"/>
      <c r="U17" s="25"/>
      <c r="V17" s="25"/>
      <c r="W17" s="25"/>
      <c r="X17" s="25"/>
      <c r="Y17" s="25"/>
      <c r="Z17" s="25"/>
    </row>
    <row r="18" ht="12.75" customHeight="1">
      <c r="A18" s="55"/>
      <c r="B18" s="160"/>
      <c r="C18" s="7"/>
      <c r="D18" s="7"/>
      <c r="E18" s="7"/>
      <c r="F18" s="7"/>
      <c r="G18" s="8"/>
      <c r="H18" s="25"/>
      <c r="I18" s="25"/>
      <c r="J18" s="25"/>
      <c r="K18" s="25"/>
      <c r="L18" s="25"/>
      <c r="M18" s="25"/>
      <c r="N18" s="25"/>
      <c r="O18" s="25"/>
      <c r="P18" s="25"/>
      <c r="Q18" s="25"/>
      <c r="R18" s="25"/>
      <c r="S18" s="25"/>
      <c r="T18" s="25"/>
      <c r="U18" s="25"/>
      <c r="V18" s="25"/>
      <c r="W18" s="25"/>
      <c r="X18" s="25"/>
      <c r="Y18" s="25"/>
      <c r="Z18" s="25"/>
    </row>
    <row r="19" ht="12.75" customHeight="1">
      <c r="A19" s="55" t="s">
        <v>1196</v>
      </c>
      <c r="B19" s="157" t="s">
        <v>1207</v>
      </c>
      <c r="C19" s="158"/>
      <c r="D19" s="158"/>
      <c r="E19" s="158"/>
      <c r="F19" s="158"/>
      <c r="G19" s="159"/>
      <c r="H19" s="25"/>
      <c r="I19" s="25"/>
      <c r="J19" s="25"/>
      <c r="K19" s="25"/>
      <c r="L19" s="25"/>
      <c r="M19" s="25"/>
      <c r="N19" s="25"/>
      <c r="O19" s="25"/>
      <c r="P19" s="25"/>
      <c r="Q19" s="25"/>
      <c r="R19" s="25"/>
      <c r="S19" s="25"/>
      <c r="T19" s="25"/>
      <c r="U19" s="25"/>
      <c r="V19" s="25"/>
      <c r="W19" s="25"/>
      <c r="X19" s="25"/>
      <c r="Y19" s="25"/>
      <c r="Z19" s="25"/>
    </row>
    <row r="20" ht="12.75" customHeight="1">
      <c r="A20" s="55"/>
      <c r="B20" s="160"/>
      <c r="C20" s="7"/>
      <c r="D20" s="7"/>
      <c r="E20" s="7"/>
      <c r="F20" s="7"/>
      <c r="G20" s="8"/>
      <c r="H20" s="25"/>
      <c r="I20" s="25"/>
      <c r="J20" s="25"/>
      <c r="K20" s="25"/>
      <c r="L20" s="25"/>
      <c r="M20" s="25"/>
      <c r="N20" s="25"/>
      <c r="O20" s="25"/>
      <c r="P20" s="25"/>
      <c r="Q20" s="25"/>
      <c r="R20" s="25"/>
      <c r="S20" s="25"/>
      <c r="T20" s="25"/>
      <c r="U20" s="25"/>
      <c r="V20" s="25"/>
      <c r="W20" s="25"/>
      <c r="X20" s="25"/>
      <c r="Y20" s="25"/>
      <c r="Z20" s="25"/>
    </row>
    <row r="21" ht="12.75" customHeight="1">
      <c r="A21" s="55" t="s">
        <v>1197</v>
      </c>
      <c r="B21" s="157" t="s">
        <v>1207</v>
      </c>
      <c r="C21" s="158"/>
      <c r="D21" s="158"/>
      <c r="E21" s="158"/>
      <c r="F21" s="158"/>
      <c r="G21" s="159"/>
      <c r="H21" s="25"/>
      <c r="I21" s="25"/>
      <c r="J21" s="25"/>
      <c r="K21" s="25"/>
      <c r="L21" s="25"/>
      <c r="M21" s="25"/>
      <c r="N21" s="25"/>
      <c r="O21" s="25"/>
      <c r="P21" s="25"/>
      <c r="Q21" s="25"/>
      <c r="R21" s="25"/>
      <c r="S21" s="25"/>
      <c r="T21" s="25"/>
      <c r="U21" s="25"/>
      <c r="V21" s="25"/>
      <c r="W21" s="25"/>
      <c r="X21" s="25"/>
      <c r="Y21" s="25"/>
      <c r="Z21" s="25"/>
    </row>
    <row r="22" ht="12.75" customHeight="1">
      <c r="A22" s="55"/>
      <c r="B22" s="160"/>
      <c r="C22" s="7"/>
      <c r="D22" s="7"/>
      <c r="E22" s="7"/>
      <c r="F22" s="7"/>
      <c r="G22" s="8"/>
      <c r="H22" s="25"/>
      <c r="I22" s="25"/>
      <c r="J22" s="25"/>
      <c r="K22" s="25"/>
      <c r="L22" s="25"/>
      <c r="M22" s="25"/>
      <c r="N22" s="25"/>
      <c r="O22" s="25"/>
      <c r="P22" s="25"/>
      <c r="Q22" s="25"/>
      <c r="R22" s="25"/>
      <c r="S22" s="25"/>
      <c r="T22" s="25"/>
      <c r="U22" s="25"/>
      <c r="V22" s="25"/>
      <c r="W22" s="25"/>
      <c r="X22" s="25"/>
      <c r="Y22" s="25"/>
      <c r="Z22" s="25"/>
    </row>
    <row r="23" ht="12.75" customHeight="1">
      <c r="A23" s="55" t="s">
        <v>1200</v>
      </c>
      <c r="B23" s="157" t="s">
        <v>1207</v>
      </c>
      <c r="C23" s="158"/>
      <c r="D23" s="158"/>
      <c r="E23" s="158"/>
      <c r="F23" s="158"/>
      <c r="G23" s="159"/>
      <c r="H23" s="25"/>
      <c r="I23" s="25"/>
      <c r="J23" s="25"/>
      <c r="K23" s="25"/>
      <c r="L23" s="25"/>
      <c r="M23" s="25"/>
      <c r="N23" s="25"/>
      <c r="O23" s="25"/>
      <c r="P23" s="25"/>
      <c r="Q23" s="25"/>
      <c r="R23" s="25"/>
      <c r="S23" s="25"/>
      <c r="T23" s="25"/>
      <c r="U23" s="25"/>
      <c r="V23" s="25"/>
      <c r="W23" s="25"/>
      <c r="X23" s="25"/>
      <c r="Y23" s="25"/>
      <c r="Z23" s="25"/>
    </row>
    <row r="24" ht="12.75" customHeight="1">
      <c r="A24" s="55"/>
      <c r="B24" s="160"/>
      <c r="C24" s="7"/>
      <c r="D24" s="7"/>
      <c r="E24" s="7"/>
      <c r="F24" s="7"/>
      <c r="G24" s="8"/>
      <c r="H24" s="25"/>
      <c r="I24" s="25"/>
      <c r="J24" s="25"/>
      <c r="K24" s="25"/>
      <c r="L24" s="25"/>
      <c r="M24" s="25"/>
      <c r="N24" s="25"/>
      <c r="O24" s="25"/>
      <c r="P24" s="25"/>
      <c r="Q24" s="25"/>
      <c r="R24" s="25"/>
      <c r="S24" s="25"/>
      <c r="T24" s="25"/>
      <c r="U24" s="25"/>
      <c r="V24" s="25"/>
      <c r="W24" s="25"/>
      <c r="X24" s="25"/>
      <c r="Y24" s="25"/>
      <c r="Z24" s="25"/>
    </row>
    <row r="25" ht="12.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2.75" customHeight="1">
      <c r="A26" s="92" t="s">
        <v>1201</v>
      </c>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2.75" customHeight="1">
      <c r="A27" s="55" t="s">
        <v>1194</v>
      </c>
      <c r="B27" s="157" t="s">
        <v>1207</v>
      </c>
      <c r="C27" s="158"/>
      <c r="D27" s="158"/>
      <c r="E27" s="158"/>
      <c r="F27" s="158"/>
      <c r="G27" s="159"/>
      <c r="H27" s="25"/>
      <c r="I27" s="25"/>
      <c r="J27" s="25"/>
      <c r="K27" s="25"/>
      <c r="L27" s="25"/>
      <c r="M27" s="25"/>
      <c r="N27" s="25"/>
      <c r="O27" s="25"/>
      <c r="P27" s="25"/>
      <c r="Q27" s="25"/>
      <c r="R27" s="25"/>
      <c r="S27" s="25"/>
      <c r="T27" s="25"/>
      <c r="U27" s="25"/>
      <c r="V27" s="25"/>
      <c r="W27" s="25"/>
      <c r="X27" s="25"/>
      <c r="Y27" s="25"/>
      <c r="Z27" s="25"/>
    </row>
    <row r="28" ht="12.75" customHeight="1">
      <c r="A28" s="55"/>
      <c r="B28" s="160"/>
      <c r="C28" s="7"/>
      <c r="D28" s="7"/>
      <c r="E28" s="7"/>
      <c r="F28" s="7"/>
      <c r="G28" s="8"/>
      <c r="H28" s="25"/>
      <c r="I28" s="25"/>
      <c r="J28" s="25"/>
      <c r="K28" s="25"/>
      <c r="L28" s="25"/>
      <c r="M28" s="25"/>
      <c r="N28" s="25"/>
      <c r="O28" s="25"/>
      <c r="P28" s="25"/>
      <c r="Q28" s="25"/>
      <c r="R28" s="25"/>
      <c r="S28" s="25"/>
      <c r="T28" s="25"/>
      <c r="U28" s="25"/>
      <c r="V28" s="25"/>
      <c r="W28" s="25"/>
      <c r="X28" s="25"/>
      <c r="Y28" s="25"/>
      <c r="Z28" s="25"/>
    </row>
    <row r="29" ht="12.75" customHeight="1">
      <c r="A29" s="55" t="s">
        <v>1195</v>
      </c>
      <c r="B29" s="157" t="s">
        <v>1207</v>
      </c>
      <c r="C29" s="158"/>
      <c r="D29" s="158"/>
      <c r="E29" s="158"/>
      <c r="F29" s="158"/>
      <c r="G29" s="159"/>
      <c r="H29" s="25"/>
      <c r="I29" s="25"/>
      <c r="J29" s="25"/>
      <c r="K29" s="25"/>
      <c r="L29" s="25"/>
      <c r="M29" s="25"/>
      <c r="N29" s="25"/>
      <c r="O29" s="25"/>
      <c r="P29" s="25"/>
      <c r="Q29" s="25"/>
      <c r="R29" s="25"/>
      <c r="S29" s="25"/>
      <c r="T29" s="25"/>
      <c r="U29" s="25"/>
      <c r="V29" s="25"/>
      <c r="W29" s="25"/>
      <c r="X29" s="25"/>
      <c r="Y29" s="25"/>
      <c r="Z29" s="25"/>
    </row>
    <row r="30" ht="12.75" customHeight="1">
      <c r="A30" s="55"/>
      <c r="B30" s="160"/>
      <c r="C30" s="7"/>
      <c r="D30" s="7"/>
      <c r="E30" s="7"/>
      <c r="F30" s="7"/>
      <c r="G30" s="8"/>
      <c r="H30" s="25"/>
      <c r="I30" s="25"/>
      <c r="J30" s="25"/>
      <c r="K30" s="25"/>
      <c r="L30" s="25"/>
      <c r="M30" s="25"/>
      <c r="N30" s="25"/>
      <c r="O30" s="25"/>
      <c r="P30" s="25"/>
      <c r="Q30" s="25"/>
      <c r="R30" s="25"/>
      <c r="S30" s="25"/>
      <c r="T30" s="25"/>
      <c r="U30" s="25"/>
      <c r="V30" s="25"/>
      <c r="W30" s="25"/>
      <c r="X30" s="25"/>
      <c r="Y30" s="25"/>
      <c r="Z30" s="25"/>
    </row>
    <row r="31" ht="12.75" customHeight="1">
      <c r="A31" s="55" t="s">
        <v>1196</v>
      </c>
      <c r="B31" s="157" t="s">
        <v>1207</v>
      </c>
      <c r="C31" s="158"/>
      <c r="D31" s="158"/>
      <c r="E31" s="158"/>
      <c r="F31" s="158"/>
      <c r="G31" s="159"/>
      <c r="H31" s="25"/>
      <c r="I31" s="25"/>
      <c r="J31" s="25"/>
      <c r="K31" s="25"/>
      <c r="L31" s="25"/>
      <c r="M31" s="25"/>
      <c r="N31" s="25"/>
      <c r="O31" s="25"/>
      <c r="P31" s="25"/>
      <c r="Q31" s="25"/>
      <c r="R31" s="25"/>
      <c r="S31" s="25"/>
      <c r="T31" s="25"/>
      <c r="U31" s="25"/>
      <c r="V31" s="25"/>
      <c r="W31" s="25"/>
      <c r="X31" s="25"/>
      <c r="Y31" s="25"/>
      <c r="Z31" s="25"/>
    </row>
    <row r="32" ht="12.75" customHeight="1">
      <c r="A32" s="55"/>
      <c r="B32" s="160"/>
      <c r="C32" s="7"/>
      <c r="D32" s="7"/>
      <c r="E32" s="7"/>
      <c r="F32" s="7"/>
      <c r="G32" s="8"/>
      <c r="H32" s="25"/>
      <c r="I32" s="25"/>
      <c r="J32" s="25"/>
      <c r="K32" s="25"/>
      <c r="L32" s="25"/>
      <c r="M32" s="25"/>
      <c r="N32" s="25"/>
      <c r="O32" s="25"/>
      <c r="P32" s="25"/>
      <c r="Q32" s="25"/>
      <c r="R32" s="25"/>
      <c r="S32" s="25"/>
      <c r="T32" s="25"/>
      <c r="U32" s="25"/>
      <c r="V32" s="25"/>
      <c r="W32" s="25"/>
      <c r="X32" s="25"/>
      <c r="Y32" s="25"/>
      <c r="Z32" s="25"/>
    </row>
    <row r="33" ht="12.75" customHeight="1">
      <c r="A33" s="55" t="s">
        <v>1197</v>
      </c>
      <c r="B33" s="157" t="s">
        <v>1207</v>
      </c>
      <c r="C33" s="158"/>
      <c r="D33" s="158"/>
      <c r="E33" s="158"/>
      <c r="F33" s="158"/>
      <c r="G33" s="159"/>
      <c r="H33" s="25"/>
      <c r="I33" s="25"/>
      <c r="J33" s="25"/>
      <c r="K33" s="25"/>
      <c r="L33" s="25"/>
      <c r="M33" s="25"/>
      <c r="N33" s="25"/>
      <c r="O33" s="25"/>
      <c r="P33" s="25"/>
      <c r="Q33" s="25"/>
      <c r="R33" s="25"/>
      <c r="S33" s="25"/>
      <c r="T33" s="25"/>
      <c r="U33" s="25"/>
      <c r="V33" s="25"/>
      <c r="W33" s="25"/>
      <c r="X33" s="25"/>
      <c r="Y33" s="25"/>
      <c r="Z33" s="25"/>
    </row>
    <row r="34" ht="12.75" customHeight="1">
      <c r="A34" s="55"/>
      <c r="B34" s="160"/>
      <c r="C34" s="7"/>
      <c r="D34" s="7"/>
      <c r="E34" s="7"/>
      <c r="F34" s="7"/>
      <c r="G34" s="8"/>
      <c r="H34" s="25"/>
      <c r="I34" s="25"/>
      <c r="J34" s="25"/>
      <c r="K34" s="25"/>
      <c r="L34" s="25"/>
      <c r="M34" s="25"/>
      <c r="N34" s="25"/>
      <c r="O34" s="25"/>
      <c r="P34" s="25"/>
      <c r="Q34" s="25"/>
      <c r="R34" s="25"/>
      <c r="S34" s="25"/>
      <c r="T34" s="25"/>
      <c r="U34" s="25"/>
      <c r="V34" s="25"/>
      <c r="W34" s="25"/>
      <c r="X34" s="25"/>
      <c r="Y34" s="25"/>
      <c r="Z34" s="25"/>
    </row>
    <row r="35" ht="12.75" customHeight="1">
      <c r="A35" s="55" t="s">
        <v>1200</v>
      </c>
      <c r="B35" s="157" t="s">
        <v>1207</v>
      </c>
      <c r="C35" s="158"/>
      <c r="D35" s="158"/>
      <c r="E35" s="158"/>
      <c r="F35" s="158"/>
      <c r="G35" s="159"/>
      <c r="H35" s="25"/>
      <c r="I35" s="25"/>
      <c r="J35" s="25"/>
      <c r="K35" s="25"/>
      <c r="L35" s="25"/>
      <c r="M35" s="25"/>
      <c r="N35" s="25"/>
      <c r="O35" s="25"/>
      <c r="P35" s="25"/>
      <c r="Q35" s="25"/>
      <c r="R35" s="25"/>
      <c r="S35" s="25"/>
      <c r="T35" s="25"/>
      <c r="U35" s="25"/>
      <c r="V35" s="25"/>
      <c r="W35" s="25"/>
      <c r="X35" s="25"/>
      <c r="Y35" s="25"/>
      <c r="Z35" s="25"/>
    </row>
    <row r="36" ht="12.75" customHeight="1">
      <c r="A36" s="55"/>
      <c r="B36" s="160"/>
      <c r="C36" s="7"/>
      <c r="D36" s="7"/>
      <c r="E36" s="7"/>
      <c r="F36" s="7"/>
      <c r="G36" s="8"/>
      <c r="H36" s="25"/>
      <c r="I36" s="25"/>
      <c r="J36" s="25"/>
      <c r="K36" s="25"/>
      <c r="L36" s="25"/>
      <c r="M36" s="25"/>
      <c r="N36" s="25"/>
      <c r="O36" s="25"/>
      <c r="P36" s="25"/>
      <c r="Q36" s="25"/>
      <c r="R36" s="25"/>
      <c r="S36" s="25"/>
      <c r="T36" s="25"/>
      <c r="U36" s="25"/>
      <c r="V36" s="25"/>
      <c r="W36" s="25"/>
      <c r="X36" s="25"/>
      <c r="Y36" s="25"/>
      <c r="Z36" s="25"/>
    </row>
    <row r="37" ht="12.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2.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2.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2.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2.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2.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2.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2.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2.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2.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2.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2.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2.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2.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2.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2.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2.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350"/>
      <c r="B54" s="148"/>
    </row>
    <row r="55" ht="15.75" customHeight="1">
      <c r="A55" s="148"/>
      <c r="B55" s="336"/>
    </row>
    <row r="56" ht="15.75" customHeight="1">
      <c r="A56" s="336"/>
      <c r="B56" s="49"/>
    </row>
    <row r="57" ht="15.75" customHeight="1">
      <c r="A57" s="49"/>
      <c r="B57" s="336"/>
    </row>
    <row r="58" ht="15.75" customHeight="1">
      <c r="A58" s="336"/>
      <c r="B58" s="49"/>
    </row>
    <row r="59" ht="15.75" customHeight="1">
      <c r="A59" s="49"/>
      <c r="B59" s="49"/>
    </row>
    <row r="60" ht="15.75" customHeight="1">
      <c r="A60" s="49"/>
      <c r="B60" s="148"/>
    </row>
    <row r="61" ht="15.75" customHeight="1">
      <c r="A61" s="148"/>
      <c r="B61" s="336"/>
    </row>
    <row r="62" ht="15.75" customHeight="1">
      <c r="A62" s="336"/>
      <c r="B62" s="49"/>
    </row>
    <row r="63" ht="15.75" customHeight="1">
      <c r="A63" s="49"/>
      <c r="B63" s="336"/>
    </row>
    <row r="64" ht="15.75" customHeight="1">
      <c r="A64" s="336"/>
      <c r="B64" s="49"/>
    </row>
    <row r="65" ht="15.75" customHeight="1">
      <c r="A65" s="49"/>
    </row>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4">
    <mergeCell ref="B21:G22"/>
    <mergeCell ref="B23:G24"/>
    <mergeCell ref="B27:G28"/>
    <mergeCell ref="B29:G30"/>
    <mergeCell ref="B31:G32"/>
    <mergeCell ref="B33:G34"/>
    <mergeCell ref="B35:G36"/>
    <mergeCell ref="A1:G2"/>
    <mergeCell ref="A3:G4"/>
    <mergeCell ref="B7:C7"/>
    <mergeCell ref="B11:G12"/>
    <mergeCell ref="B15:G16"/>
    <mergeCell ref="B17:G18"/>
    <mergeCell ref="B19:G20"/>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00"/>
    <pageSetUpPr/>
  </sheetPr>
  <sheetViews>
    <sheetView workbookViewId="0"/>
  </sheetViews>
  <sheetFormatPr customHeight="1" defaultColWidth="12.63" defaultRowHeight="15.0"/>
  <cols>
    <col customWidth="1" min="1" max="1" width="22.88"/>
    <col customWidth="1" min="2" max="2" width="10.5"/>
    <col customWidth="1" min="3" max="3" width="14.13"/>
    <col customWidth="1" min="4" max="4" width="14.0"/>
    <col customWidth="1" min="5" max="5" width="8.88"/>
    <col customWidth="1" min="6" max="6" width="12.13"/>
    <col customWidth="1" min="7" max="7" width="12.88"/>
    <col customWidth="1" min="8" max="8" width="11.63"/>
    <col customWidth="1" min="9" max="9" width="12.63"/>
    <col customWidth="1" min="10" max="10" width="11.88"/>
    <col customWidth="1" min="11" max="11" width="13.63"/>
    <col customWidth="1" min="12" max="12" width="12.0"/>
    <col customWidth="1" min="13" max="13" width="12.88"/>
    <col customWidth="1" min="14" max="14" width="13.38"/>
    <col customWidth="1" min="15" max="15" width="12.63"/>
    <col customWidth="1" min="16" max="16" width="23.63"/>
    <col customWidth="1" min="17" max="25" width="8.88"/>
    <col customWidth="1" min="26" max="26" width="10.0"/>
  </cols>
  <sheetData>
    <row r="1" ht="27.75" customHeight="1">
      <c r="A1" s="397" t="s">
        <v>1208</v>
      </c>
      <c r="B1" s="397"/>
      <c r="C1" s="397"/>
      <c r="D1" s="397"/>
      <c r="E1" s="397"/>
      <c r="F1" s="397"/>
      <c r="G1" s="397"/>
      <c r="H1" s="397"/>
      <c r="I1" s="397"/>
      <c r="J1" s="397"/>
      <c r="K1" s="397"/>
      <c r="L1" s="59"/>
      <c r="M1" s="59"/>
      <c r="N1" s="59"/>
      <c r="O1" s="59"/>
    </row>
    <row r="2" ht="36.0" customHeight="1">
      <c r="A2" s="110" t="s">
        <v>1209</v>
      </c>
      <c r="K2" s="110"/>
      <c r="L2" s="110"/>
      <c r="M2" s="110"/>
      <c r="N2" s="110"/>
    </row>
    <row r="3" ht="12.75" customHeight="1">
      <c r="A3" s="110"/>
      <c r="B3" s="110"/>
      <c r="C3" s="110"/>
      <c r="D3" s="110"/>
      <c r="E3" s="110"/>
      <c r="F3" s="110"/>
      <c r="G3" s="110"/>
      <c r="H3" s="110"/>
      <c r="I3" s="110"/>
      <c r="J3" s="110"/>
      <c r="K3" s="110"/>
      <c r="L3" s="110"/>
      <c r="M3" s="110"/>
      <c r="N3" s="110"/>
    </row>
    <row r="4" ht="15.75" customHeight="1">
      <c r="A4" s="92" t="s">
        <v>437</v>
      </c>
    </row>
    <row r="5" ht="12.75" customHeight="1">
      <c r="B5" s="47" t="s">
        <v>438</v>
      </c>
    </row>
    <row r="6" ht="12.75" customHeight="1">
      <c r="A6" s="47" t="s">
        <v>164</v>
      </c>
      <c r="B6" s="86" t="s">
        <v>76</v>
      </c>
      <c r="C6" s="235" t="s">
        <v>77</v>
      </c>
      <c r="D6" s="235" t="s">
        <v>78</v>
      </c>
      <c r="E6" s="86"/>
      <c r="G6" s="235"/>
      <c r="I6" s="97"/>
    </row>
    <row r="7" ht="12.75" customHeight="1">
      <c r="A7" s="120" t="s">
        <v>1210</v>
      </c>
      <c r="B7" s="121">
        <f>C204</f>
        <v>4050.3</v>
      </c>
      <c r="C7" s="121">
        <f>E204</f>
        <v>2331.8</v>
      </c>
      <c r="D7" s="121">
        <f>H204</f>
        <v>3374.4</v>
      </c>
      <c r="E7" s="78"/>
      <c r="F7" s="25"/>
      <c r="G7" s="78"/>
      <c r="I7" s="97"/>
    </row>
    <row r="8" ht="12.75" customHeight="1"/>
    <row r="9" ht="15.75" customHeight="1">
      <c r="A9" s="92" t="s">
        <v>440</v>
      </c>
      <c r="B9" s="25"/>
      <c r="C9" s="25"/>
      <c r="D9" s="25"/>
      <c r="E9" s="25"/>
      <c r="F9" s="25"/>
      <c r="G9" s="25"/>
    </row>
    <row r="10" ht="12.75" customHeight="1">
      <c r="A10" s="261" t="s">
        <v>1211</v>
      </c>
      <c r="G10" s="261"/>
    </row>
    <row r="11" ht="12.75" customHeight="1">
      <c r="A11" s="261"/>
      <c r="B11" s="261"/>
      <c r="C11" s="261"/>
      <c r="D11" s="261"/>
      <c r="E11" s="261"/>
      <c r="F11" s="261"/>
      <c r="G11" s="261"/>
    </row>
    <row r="12" ht="12.75" customHeight="1">
      <c r="A12" s="47"/>
      <c r="B12" s="72" t="s">
        <v>55</v>
      </c>
      <c r="C12" s="398" t="s">
        <v>1212</v>
      </c>
      <c r="D12" s="399"/>
      <c r="E12" s="400" t="s">
        <v>1213</v>
      </c>
      <c r="F12" s="401"/>
      <c r="G12" s="402" t="s">
        <v>1214</v>
      </c>
      <c r="H12" s="59"/>
    </row>
    <row r="13" ht="15.75" customHeight="1">
      <c r="A13" s="65" t="s">
        <v>195</v>
      </c>
      <c r="B13" s="85"/>
      <c r="C13" s="403" t="s">
        <v>1215</v>
      </c>
      <c r="D13" s="403" t="s">
        <v>1216</v>
      </c>
      <c r="E13" s="401" t="s">
        <v>1215</v>
      </c>
      <c r="F13" s="401" t="s">
        <v>1216</v>
      </c>
      <c r="G13" s="59" t="s">
        <v>1215</v>
      </c>
      <c r="H13" s="59" t="s">
        <v>1216</v>
      </c>
    </row>
    <row r="14" ht="12.75" customHeight="1">
      <c r="A14" s="404" t="s">
        <v>1217</v>
      </c>
      <c r="B14" s="405"/>
      <c r="C14" s="25"/>
      <c r="D14" s="25"/>
      <c r="E14" s="25"/>
      <c r="F14" s="25"/>
      <c r="G14" s="25"/>
      <c r="H14" s="25"/>
      <c r="I14" s="25"/>
      <c r="J14" s="25"/>
      <c r="K14" s="25"/>
      <c r="L14" s="25"/>
      <c r="M14" s="25"/>
      <c r="N14" s="25"/>
      <c r="O14" s="25"/>
      <c r="P14" s="25"/>
      <c r="Q14" s="25"/>
      <c r="R14" s="25"/>
      <c r="S14" s="25"/>
      <c r="T14" s="25"/>
      <c r="U14" s="25"/>
      <c r="V14" s="25"/>
      <c r="W14" s="25"/>
      <c r="X14" s="25"/>
      <c r="Y14" s="25"/>
      <c r="Z14" s="25"/>
    </row>
    <row r="15" ht="12.75" customHeight="1">
      <c r="A15" s="406" t="s">
        <v>1218</v>
      </c>
      <c r="B15" s="407">
        <v>10.42</v>
      </c>
      <c r="C15" s="403">
        <v>2.8</v>
      </c>
      <c r="D15" s="403">
        <f t="shared" ref="D15:D192" si="1">B15*C15*2</f>
        <v>58.352</v>
      </c>
      <c r="E15" s="408">
        <v>6.4</v>
      </c>
      <c r="F15" s="408">
        <f t="shared" ref="F15:F192" si="2">B15*E15*2</f>
        <v>133.376</v>
      </c>
      <c r="G15" s="409">
        <v>8.33</v>
      </c>
      <c r="H15" s="59">
        <f t="shared" ref="H15:H192" si="3">B15*G15*2</f>
        <v>173.5972</v>
      </c>
      <c r="I15" s="25"/>
      <c r="J15" s="25"/>
      <c r="K15" s="25"/>
      <c r="L15" s="25"/>
      <c r="M15" s="25"/>
      <c r="N15" s="25"/>
      <c r="O15" s="25"/>
      <c r="P15" s="25"/>
      <c r="Q15" s="25"/>
      <c r="R15" s="25"/>
      <c r="S15" s="25"/>
      <c r="T15" s="25"/>
      <c r="U15" s="25"/>
      <c r="V15" s="25"/>
      <c r="W15" s="25"/>
      <c r="X15" s="25"/>
      <c r="Y15" s="25"/>
      <c r="Z15" s="25"/>
    </row>
    <row r="16" ht="12.75" customHeight="1">
      <c r="A16" s="406" t="s">
        <v>1219</v>
      </c>
      <c r="B16" s="407">
        <v>202.4</v>
      </c>
      <c r="C16" s="403">
        <v>0.0</v>
      </c>
      <c r="D16" s="403">
        <f t="shared" si="1"/>
        <v>0</v>
      </c>
      <c r="E16" s="401">
        <v>0.0</v>
      </c>
      <c r="F16" s="408">
        <f t="shared" si="2"/>
        <v>0</v>
      </c>
      <c r="G16" s="59">
        <v>0.0</v>
      </c>
      <c r="H16" s="59">
        <f t="shared" si="3"/>
        <v>0</v>
      </c>
      <c r="I16" s="25"/>
      <c r="J16" s="25"/>
      <c r="K16" s="25"/>
      <c r="L16" s="25"/>
      <c r="M16" s="25"/>
      <c r="N16" s="25"/>
      <c r="O16" s="25"/>
      <c r="P16" s="25"/>
      <c r="Q16" s="25"/>
      <c r="R16" s="25"/>
      <c r="S16" s="25"/>
      <c r="T16" s="25"/>
      <c r="U16" s="25"/>
      <c r="V16" s="25"/>
      <c r="W16" s="25"/>
      <c r="X16" s="25"/>
      <c r="Y16" s="25"/>
      <c r="Z16" s="25"/>
    </row>
    <row r="17" ht="12.75" customHeight="1">
      <c r="A17" s="406" t="s">
        <v>1220</v>
      </c>
      <c r="B17" s="407">
        <v>145.61</v>
      </c>
      <c r="C17" s="403">
        <v>0.0</v>
      </c>
      <c r="D17" s="403">
        <f t="shared" si="1"/>
        <v>0</v>
      </c>
      <c r="E17" s="401">
        <v>0.0</v>
      </c>
      <c r="F17" s="408">
        <f t="shared" si="2"/>
        <v>0</v>
      </c>
      <c r="G17" s="409">
        <v>0.0</v>
      </c>
      <c r="H17" s="59">
        <f t="shared" si="3"/>
        <v>0</v>
      </c>
      <c r="I17" s="25"/>
      <c r="J17" s="25"/>
      <c r="K17" s="25"/>
      <c r="L17" s="25"/>
      <c r="M17" s="25"/>
      <c r="N17" s="25"/>
      <c r="O17" s="25"/>
      <c r="P17" s="25"/>
      <c r="Q17" s="25"/>
      <c r="R17" s="25"/>
      <c r="S17" s="25"/>
      <c r="T17" s="25"/>
      <c r="U17" s="25"/>
      <c r="V17" s="25"/>
      <c r="W17" s="25"/>
      <c r="X17" s="25"/>
      <c r="Y17" s="25"/>
      <c r="Z17" s="25"/>
    </row>
    <row r="18" ht="12.75" customHeight="1">
      <c r="A18" s="406" t="s">
        <v>1221</v>
      </c>
      <c r="B18" s="407">
        <v>453.5</v>
      </c>
      <c r="C18" s="403">
        <v>0.0</v>
      </c>
      <c r="D18" s="403">
        <f t="shared" si="1"/>
        <v>0</v>
      </c>
      <c r="E18" s="401">
        <v>1.0</v>
      </c>
      <c r="F18" s="408">
        <f t="shared" si="2"/>
        <v>907</v>
      </c>
      <c r="G18" s="59">
        <v>0.0</v>
      </c>
      <c r="H18" s="59">
        <f t="shared" si="3"/>
        <v>0</v>
      </c>
      <c r="I18" s="25"/>
      <c r="J18" s="25"/>
      <c r="K18" s="25"/>
      <c r="L18" s="25"/>
      <c r="M18" s="25"/>
      <c r="N18" s="25"/>
      <c r="O18" s="25"/>
      <c r="P18" s="25"/>
      <c r="Q18" s="25"/>
      <c r="R18" s="25"/>
      <c r="S18" s="25"/>
      <c r="T18" s="25"/>
      <c r="U18" s="25"/>
      <c r="V18" s="25"/>
      <c r="W18" s="25"/>
      <c r="X18" s="25"/>
      <c r="Y18" s="25"/>
      <c r="Z18" s="25"/>
    </row>
    <row r="19" ht="12.75" customHeight="1">
      <c r="A19" s="406" t="s">
        <v>1222</v>
      </c>
      <c r="B19" s="407">
        <v>76.88</v>
      </c>
      <c r="C19" s="403">
        <v>0.0</v>
      </c>
      <c r="D19" s="403">
        <f t="shared" si="1"/>
        <v>0</v>
      </c>
      <c r="E19" s="401">
        <v>1.0</v>
      </c>
      <c r="F19" s="408">
        <f t="shared" si="2"/>
        <v>153.76</v>
      </c>
      <c r="G19" s="59">
        <v>1.0</v>
      </c>
      <c r="H19" s="59">
        <f t="shared" si="3"/>
        <v>153.76</v>
      </c>
      <c r="I19" s="25"/>
      <c r="J19" s="25"/>
      <c r="K19" s="25"/>
      <c r="L19" s="25"/>
      <c r="M19" s="25"/>
      <c r="N19" s="25"/>
      <c r="O19" s="25"/>
      <c r="P19" s="25"/>
      <c r="Q19" s="25"/>
      <c r="R19" s="25"/>
      <c r="S19" s="25"/>
      <c r="T19" s="25"/>
      <c r="U19" s="25"/>
      <c r="V19" s="25"/>
      <c r="W19" s="25"/>
      <c r="X19" s="25"/>
      <c r="Y19" s="25"/>
      <c r="Z19" s="25"/>
    </row>
    <row r="20" ht="12.75" customHeight="1">
      <c r="A20" s="406" t="s">
        <v>1223</v>
      </c>
      <c r="B20" s="407">
        <v>50.74</v>
      </c>
      <c r="C20" s="403">
        <v>0.0</v>
      </c>
      <c r="D20" s="403">
        <f t="shared" si="1"/>
        <v>0</v>
      </c>
      <c r="E20" s="401">
        <v>0.0</v>
      </c>
      <c r="F20" s="408">
        <f t="shared" si="2"/>
        <v>0</v>
      </c>
      <c r="G20" s="59">
        <v>0.0</v>
      </c>
      <c r="H20" s="59">
        <f t="shared" si="3"/>
        <v>0</v>
      </c>
      <c r="I20" s="25"/>
      <c r="J20" s="25"/>
      <c r="K20" s="25"/>
      <c r="L20" s="25"/>
      <c r="M20" s="25"/>
      <c r="N20" s="25"/>
      <c r="O20" s="25"/>
      <c r="P20" s="25"/>
      <c r="Q20" s="25"/>
      <c r="R20" s="25"/>
      <c r="S20" s="25"/>
      <c r="T20" s="25"/>
      <c r="U20" s="25"/>
      <c r="V20" s="25"/>
      <c r="W20" s="25"/>
      <c r="X20" s="25"/>
      <c r="Y20" s="25"/>
      <c r="Z20" s="25"/>
    </row>
    <row r="21" ht="12.75" customHeight="1">
      <c r="A21" s="406" t="s">
        <v>1224</v>
      </c>
      <c r="B21" s="407">
        <v>26.2</v>
      </c>
      <c r="C21" s="403">
        <v>1.8</v>
      </c>
      <c r="D21" s="403">
        <f t="shared" si="1"/>
        <v>94.32</v>
      </c>
      <c r="E21" s="401">
        <v>1.32</v>
      </c>
      <c r="F21" s="408">
        <f t="shared" si="2"/>
        <v>69.168</v>
      </c>
      <c r="G21" s="409">
        <v>2.0</v>
      </c>
      <c r="H21" s="59">
        <f t="shared" si="3"/>
        <v>104.8</v>
      </c>
      <c r="I21" s="25"/>
      <c r="J21" s="25"/>
      <c r="K21" s="25"/>
      <c r="L21" s="25"/>
      <c r="M21" s="25"/>
      <c r="N21" s="25"/>
      <c r="O21" s="25"/>
      <c r="P21" s="25"/>
      <c r="Q21" s="25"/>
      <c r="R21" s="25"/>
      <c r="S21" s="25"/>
      <c r="T21" s="25"/>
      <c r="U21" s="25"/>
      <c r="V21" s="25"/>
      <c r="W21" s="25"/>
      <c r="X21" s="25"/>
      <c r="Y21" s="25"/>
      <c r="Z21" s="25"/>
    </row>
    <row r="22" ht="12.75" customHeight="1">
      <c r="A22" s="406" t="s">
        <v>1225</v>
      </c>
      <c r="B22" s="407">
        <v>355.47</v>
      </c>
      <c r="C22" s="403">
        <v>0.8</v>
      </c>
      <c r="D22" s="403">
        <f t="shared" si="1"/>
        <v>568.752</v>
      </c>
      <c r="E22" s="401">
        <v>0.0</v>
      </c>
      <c r="F22" s="408">
        <f t="shared" si="2"/>
        <v>0</v>
      </c>
      <c r="G22" s="59">
        <v>0.0</v>
      </c>
      <c r="H22" s="59">
        <f t="shared" si="3"/>
        <v>0</v>
      </c>
      <c r="I22" s="25"/>
      <c r="J22" s="25"/>
      <c r="K22" s="25"/>
      <c r="L22" s="25"/>
      <c r="M22" s="25"/>
      <c r="N22" s="25"/>
      <c r="O22" s="25"/>
      <c r="P22" s="25"/>
      <c r="Q22" s="25"/>
      <c r="R22" s="25"/>
      <c r="S22" s="25"/>
      <c r="T22" s="25"/>
      <c r="U22" s="25"/>
      <c r="V22" s="25"/>
      <c r="W22" s="25"/>
      <c r="X22" s="25"/>
      <c r="Y22" s="25"/>
      <c r="Z22" s="25"/>
    </row>
    <row r="23" ht="12.75" customHeight="1">
      <c r="A23" s="406" t="s">
        <v>1226</v>
      </c>
      <c r="B23" s="407">
        <v>28.16</v>
      </c>
      <c r="C23" s="403">
        <v>0.0</v>
      </c>
      <c r="D23" s="403">
        <f t="shared" si="1"/>
        <v>0</v>
      </c>
      <c r="E23" s="401">
        <v>1.0</v>
      </c>
      <c r="F23" s="408">
        <f t="shared" si="2"/>
        <v>56.32</v>
      </c>
      <c r="G23" s="59">
        <v>1.0</v>
      </c>
      <c r="H23" s="59">
        <f t="shared" si="3"/>
        <v>56.32</v>
      </c>
      <c r="I23" s="25"/>
      <c r="J23" s="25"/>
      <c r="K23" s="25"/>
      <c r="L23" s="25"/>
      <c r="M23" s="25"/>
      <c r="N23" s="25"/>
      <c r="O23" s="25"/>
      <c r="P23" s="25"/>
      <c r="Q23" s="25"/>
      <c r="R23" s="25"/>
      <c r="S23" s="25"/>
      <c r="T23" s="25"/>
      <c r="U23" s="25"/>
      <c r="V23" s="25"/>
      <c r="W23" s="25"/>
      <c r="X23" s="25"/>
      <c r="Y23" s="25"/>
      <c r="Z23" s="25"/>
    </row>
    <row r="24" ht="12.75" customHeight="1">
      <c r="A24" s="406" t="s">
        <v>1227</v>
      </c>
      <c r="B24" s="407">
        <v>194.69</v>
      </c>
      <c r="C24" s="403">
        <v>2.8</v>
      </c>
      <c r="D24" s="403">
        <f t="shared" si="1"/>
        <v>1090.264</v>
      </c>
      <c r="E24" s="401">
        <v>0.0</v>
      </c>
      <c r="F24" s="408">
        <f t="shared" si="2"/>
        <v>0</v>
      </c>
      <c r="G24" s="409">
        <v>1.0</v>
      </c>
      <c r="H24" s="59">
        <f t="shared" si="3"/>
        <v>389.38</v>
      </c>
      <c r="I24" s="25"/>
      <c r="J24" s="25"/>
      <c r="K24" s="25"/>
      <c r="L24" s="25"/>
      <c r="M24" s="25"/>
      <c r="N24" s="25"/>
      <c r="O24" s="25"/>
      <c r="P24" s="25"/>
      <c r="Q24" s="25"/>
      <c r="R24" s="25"/>
      <c r="S24" s="25"/>
      <c r="T24" s="25"/>
      <c r="U24" s="25"/>
      <c r="V24" s="25"/>
      <c r="W24" s="25"/>
      <c r="X24" s="25"/>
      <c r="Y24" s="25"/>
      <c r="Z24" s="25"/>
    </row>
    <row r="25" ht="12.75" customHeight="1">
      <c r="A25" s="406" t="s">
        <v>1228</v>
      </c>
      <c r="B25" s="407">
        <v>17.2</v>
      </c>
      <c r="C25" s="403">
        <v>15.8</v>
      </c>
      <c r="D25" s="403">
        <f t="shared" si="1"/>
        <v>543.52</v>
      </c>
      <c r="E25" s="401">
        <v>46.3</v>
      </c>
      <c r="F25" s="408">
        <f t="shared" si="2"/>
        <v>1592.72</v>
      </c>
      <c r="G25" s="409">
        <v>51.04</v>
      </c>
      <c r="H25" s="59">
        <f t="shared" si="3"/>
        <v>1755.776</v>
      </c>
      <c r="I25" s="25"/>
      <c r="J25" s="25"/>
      <c r="K25" s="25"/>
      <c r="L25" s="25"/>
      <c r="M25" s="25"/>
      <c r="N25" s="25"/>
      <c r="O25" s="25"/>
      <c r="P25" s="25"/>
      <c r="Q25" s="25"/>
      <c r="R25" s="25"/>
      <c r="S25" s="25"/>
      <c r="T25" s="25"/>
      <c r="U25" s="25"/>
      <c r="V25" s="25"/>
      <c r="W25" s="25"/>
      <c r="X25" s="25"/>
      <c r="Y25" s="25"/>
      <c r="Z25" s="25"/>
    </row>
    <row r="26" ht="12.75" customHeight="1">
      <c r="A26" s="406" t="s">
        <v>1229</v>
      </c>
      <c r="B26" s="407">
        <v>8.02</v>
      </c>
      <c r="C26" s="403">
        <v>13.0</v>
      </c>
      <c r="D26" s="403">
        <f t="shared" si="1"/>
        <v>208.52</v>
      </c>
      <c r="E26" s="401">
        <v>21.2</v>
      </c>
      <c r="F26" s="408">
        <f t="shared" si="2"/>
        <v>340.048</v>
      </c>
      <c r="G26" s="409">
        <v>23.87</v>
      </c>
      <c r="H26" s="59">
        <f t="shared" si="3"/>
        <v>382.8748</v>
      </c>
      <c r="I26" s="25"/>
      <c r="J26" s="25"/>
      <c r="K26" s="25"/>
      <c r="L26" s="25"/>
      <c r="M26" s="25"/>
      <c r="N26" s="25"/>
      <c r="O26" s="25"/>
      <c r="P26" s="25"/>
      <c r="Q26" s="25"/>
      <c r="R26" s="25"/>
      <c r="S26" s="25"/>
      <c r="T26" s="25"/>
      <c r="U26" s="25"/>
      <c r="V26" s="25"/>
      <c r="W26" s="25"/>
      <c r="X26" s="25"/>
      <c r="Y26" s="25"/>
      <c r="Z26" s="25"/>
    </row>
    <row r="27" ht="12.75" customHeight="1">
      <c r="A27" s="406" t="s">
        <v>1230</v>
      </c>
      <c r="B27" s="407">
        <v>199.37</v>
      </c>
      <c r="C27" s="403">
        <v>0.0</v>
      </c>
      <c r="D27" s="403">
        <f t="shared" si="1"/>
        <v>0</v>
      </c>
      <c r="E27" s="401">
        <v>0.0</v>
      </c>
      <c r="F27" s="408">
        <f t="shared" si="2"/>
        <v>0</v>
      </c>
      <c r="G27" s="409">
        <v>0.0</v>
      </c>
      <c r="H27" s="59">
        <f t="shared" si="3"/>
        <v>0</v>
      </c>
      <c r="I27" s="25"/>
      <c r="J27" s="25"/>
      <c r="K27" s="25"/>
      <c r="L27" s="25"/>
      <c r="M27" s="25"/>
      <c r="N27" s="25"/>
      <c r="O27" s="25"/>
      <c r="P27" s="25"/>
      <c r="Q27" s="25"/>
      <c r="R27" s="25"/>
      <c r="S27" s="25"/>
      <c r="T27" s="25"/>
      <c r="U27" s="25"/>
      <c r="V27" s="25"/>
      <c r="W27" s="25"/>
      <c r="X27" s="25"/>
      <c r="Y27" s="25"/>
      <c r="Z27" s="25"/>
    </row>
    <row r="28" ht="12.75" customHeight="1">
      <c r="A28" s="406" t="s">
        <v>1231</v>
      </c>
      <c r="B28" s="407">
        <v>11.92</v>
      </c>
      <c r="C28" s="403">
        <v>13.0</v>
      </c>
      <c r="D28" s="403">
        <f t="shared" si="1"/>
        <v>309.92</v>
      </c>
      <c r="E28" s="401">
        <v>49.07</v>
      </c>
      <c r="F28" s="408">
        <f t="shared" si="2"/>
        <v>1169.8288</v>
      </c>
      <c r="G28" s="409">
        <v>63.4</v>
      </c>
      <c r="H28" s="59">
        <f t="shared" si="3"/>
        <v>1511.456</v>
      </c>
      <c r="I28" s="25"/>
      <c r="J28" s="25"/>
      <c r="K28" s="25"/>
      <c r="L28" s="25"/>
      <c r="M28" s="25"/>
      <c r="N28" s="25"/>
      <c r="O28" s="25"/>
      <c r="P28" s="25"/>
      <c r="Q28" s="25"/>
      <c r="R28" s="25"/>
      <c r="S28" s="25"/>
      <c r="T28" s="25"/>
      <c r="U28" s="25"/>
      <c r="V28" s="25"/>
      <c r="W28" s="25"/>
      <c r="X28" s="25"/>
      <c r="Y28" s="25"/>
      <c r="Z28" s="25"/>
    </row>
    <row r="29" ht="12.75" customHeight="1">
      <c r="A29" s="406" t="s">
        <v>1232</v>
      </c>
      <c r="B29" s="407">
        <v>261.43</v>
      </c>
      <c r="C29" s="403">
        <v>0.93</v>
      </c>
      <c r="D29" s="403">
        <f t="shared" si="1"/>
        <v>486.2598</v>
      </c>
      <c r="E29" s="401">
        <v>0.0</v>
      </c>
      <c r="F29" s="408">
        <f t="shared" si="2"/>
        <v>0</v>
      </c>
      <c r="G29" s="409">
        <v>0.0</v>
      </c>
      <c r="H29" s="59">
        <f t="shared" si="3"/>
        <v>0</v>
      </c>
      <c r="I29" s="25"/>
      <c r="J29" s="25"/>
      <c r="K29" s="25"/>
      <c r="L29" s="25"/>
      <c r="M29" s="25"/>
      <c r="N29" s="25"/>
      <c r="O29" s="25"/>
      <c r="P29" s="25"/>
      <c r="Q29" s="25"/>
      <c r="R29" s="25"/>
      <c r="S29" s="25"/>
      <c r="T29" s="25"/>
      <c r="U29" s="25"/>
      <c r="V29" s="25"/>
      <c r="W29" s="25"/>
      <c r="X29" s="25"/>
      <c r="Y29" s="25"/>
      <c r="Z29" s="25"/>
    </row>
    <row r="30" ht="12.75" customHeight="1">
      <c r="A30" s="406" t="s">
        <v>1233</v>
      </c>
      <c r="B30" s="407">
        <v>197.81</v>
      </c>
      <c r="C30" s="403">
        <v>0.93</v>
      </c>
      <c r="D30" s="403">
        <f t="shared" si="1"/>
        <v>367.9266</v>
      </c>
      <c r="E30" s="401">
        <v>0.0</v>
      </c>
      <c r="F30" s="408">
        <f t="shared" si="2"/>
        <v>0</v>
      </c>
      <c r="G30" s="409">
        <v>1.0</v>
      </c>
      <c r="H30" s="59">
        <f t="shared" si="3"/>
        <v>395.62</v>
      </c>
      <c r="I30" s="25"/>
      <c r="J30" s="25"/>
      <c r="K30" s="25"/>
      <c r="L30" s="25"/>
      <c r="M30" s="25"/>
      <c r="N30" s="25"/>
      <c r="O30" s="25"/>
      <c r="P30" s="25"/>
      <c r="Q30" s="25"/>
      <c r="R30" s="25"/>
      <c r="S30" s="25"/>
      <c r="T30" s="25"/>
      <c r="U30" s="25"/>
      <c r="V30" s="25"/>
      <c r="W30" s="25"/>
      <c r="X30" s="25"/>
      <c r="Y30" s="25"/>
      <c r="Z30" s="25"/>
    </row>
    <row r="31" ht="12.75" customHeight="1">
      <c r="A31" s="406" t="s">
        <v>1234</v>
      </c>
      <c r="B31" s="407">
        <v>275.75</v>
      </c>
      <c r="C31" s="403">
        <v>3.7</v>
      </c>
      <c r="D31" s="403">
        <f t="shared" si="1"/>
        <v>2040.55</v>
      </c>
      <c r="E31" s="401">
        <v>0.0</v>
      </c>
      <c r="F31" s="408">
        <f t="shared" si="2"/>
        <v>0</v>
      </c>
      <c r="G31" s="409">
        <v>1.0</v>
      </c>
      <c r="H31" s="59">
        <f t="shared" si="3"/>
        <v>551.5</v>
      </c>
      <c r="I31" s="25"/>
      <c r="J31" s="25"/>
      <c r="K31" s="25"/>
      <c r="L31" s="25"/>
      <c r="M31" s="25"/>
      <c r="N31" s="25"/>
      <c r="O31" s="25"/>
      <c r="P31" s="25"/>
      <c r="Q31" s="25"/>
      <c r="R31" s="25"/>
      <c r="S31" s="25"/>
      <c r="T31" s="25"/>
      <c r="U31" s="25"/>
      <c r="V31" s="25"/>
      <c r="W31" s="25"/>
      <c r="X31" s="25"/>
      <c r="Y31" s="25"/>
      <c r="Z31" s="25"/>
    </row>
    <row r="32" ht="12.75" customHeight="1">
      <c r="A32" s="406" t="s">
        <v>1235</v>
      </c>
      <c r="B32" s="407">
        <v>35.3</v>
      </c>
      <c r="C32" s="403">
        <v>3.7</v>
      </c>
      <c r="D32" s="403">
        <f t="shared" si="1"/>
        <v>261.22</v>
      </c>
      <c r="E32" s="401">
        <v>10.08</v>
      </c>
      <c r="F32" s="408">
        <f t="shared" si="2"/>
        <v>711.648</v>
      </c>
      <c r="G32" s="409">
        <v>14.0</v>
      </c>
      <c r="H32" s="59">
        <f t="shared" si="3"/>
        <v>988.4</v>
      </c>
      <c r="I32" s="25"/>
      <c r="J32" s="25"/>
      <c r="K32" s="25"/>
      <c r="L32" s="25"/>
      <c r="M32" s="25"/>
      <c r="N32" s="25"/>
      <c r="O32" s="25"/>
      <c r="P32" s="25"/>
      <c r="Q32" s="25"/>
      <c r="R32" s="25"/>
      <c r="S32" s="25"/>
      <c r="T32" s="25"/>
      <c r="U32" s="25"/>
      <c r="V32" s="25"/>
      <c r="W32" s="25"/>
      <c r="X32" s="25"/>
      <c r="Y32" s="25"/>
      <c r="Z32" s="25"/>
    </row>
    <row r="33" ht="12.75" customHeight="1">
      <c r="A33" s="406" t="s">
        <v>1236</v>
      </c>
      <c r="B33" s="407">
        <v>193.42</v>
      </c>
      <c r="C33" s="403">
        <v>0.0</v>
      </c>
      <c r="D33" s="403">
        <f t="shared" si="1"/>
        <v>0</v>
      </c>
      <c r="E33" s="401">
        <v>0.0</v>
      </c>
      <c r="F33" s="408">
        <f t="shared" si="2"/>
        <v>0</v>
      </c>
      <c r="G33" s="409">
        <v>0.0</v>
      </c>
      <c r="H33" s="59">
        <f t="shared" si="3"/>
        <v>0</v>
      </c>
      <c r="I33" s="25"/>
      <c r="J33" s="25"/>
      <c r="K33" s="25"/>
      <c r="L33" s="25"/>
      <c r="M33" s="25"/>
      <c r="N33" s="25"/>
      <c r="O33" s="25"/>
      <c r="P33" s="25"/>
      <c r="Q33" s="25"/>
      <c r="R33" s="25"/>
      <c r="S33" s="25"/>
      <c r="T33" s="25"/>
      <c r="U33" s="25"/>
      <c r="V33" s="25"/>
      <c r="W33" s="25"/>
      <c r="X33" s="25"/>
      <c r="Y33" s="25"/>
      <c r="Z33" s="25"/>
    </row>
    <row r="34" ht="12.75" customHeight="1">
      <c r="A34" s="406" t="s">
        <v>1237</v>
      </c>
      <c r="B34" s="407">
        <v>429.45</v>
      </c>
      <c r="C34" s="403">
        <v>0.0</v>
      </c>
      <c r="D34" s="403">
        <f t="shared" si="1"/>
        <v>0</v>
      </c>
      <c r="E34" s="401">
        <v>0.0</v>
      </c>
      <c r="F34" s="408">
        <f t="shared" si="2"/>
        <v>0</v>
      </c>
      <c r="G34" s="409">
        <v>0.0</v>
      </c>
      <c r="H34" s="59">
        <f t="shared" si="3"/>
        <v>0</v>
      </c>
      <c r="I34" s="25"/>
      <c r="J34" s="25"/>
      <c r="K34" s="25"/>
      <c r="L34" s="25"/>
      <c r="M34" s="25"/>
      <c r="N34" s="25"/>
      <c r="O34" s="25"/>
      <c r="P34" s="25"/>
      <c r="Q34" s="25"/>
      <c r="R34" s="25"/>
      <c r="S34" s="25"/>
      <c r="T34" s="25"/>
      <c r="U34" s="25"/>
      <c r="V34" s="25"/>
      <c r="W34" s="25"/>
      <c r="X34" s="25"/>
      <c r="Y34" s="25"/>
      <c r="Z34" s="25"/>
    </row>
    <row r="35" ht="12.75" customHeight="1">
      <c r="A35" s="406" t="s">
        <v>1238</v>
      </c>
      <c r="B35" s="407">
        <v>30.84</v>
      </c>
      <c r="C35" s="403">
        <v>0.93</v>
      </c>
      <c r="D35" s="403">
        <f t="shared" si="1"/>
        <v>57.3624</v>
      </c>
      <c r="E35" s="401">
        <v>0.5</v>
      </c>
      <c r="F35" s="408">
        <f t="shared" si="2"/>
        <v>30.84</v>
      </c>
      <c r="G35" s="409">
        <v>1.0</v>
      </c>
      <c r="H35" s="59">
        <f t="shared" si="3"/>
        <v>61.68</v>
      </c>
      <c r="I35" s="25"/>
      <c r="J35" s="25"/>
      <c r="K35" s="25"/>
      <c r="L35" s="25"/>
      <c r="M35" s="25"/>
      <c r="N35" s="25"/>
      <c r="O35" s="25"/>
      <c r="P35" s="25"/>
      <c r="Q35" s="25"/>
      <c r="R35" s="25"/>
      <c r="S35" s="25"/>
      <c r="T35" s="25"/>
      <c r="U35" s="25"/>
      <c r="V35" s="25"/>
      <c r="W35" s="25"/>
      <c r="X35" s="25"/>
      <c r="Y35" s="25"/>
      <c r="Z35" s="25"/>
    </row>
    <row r="36" ht="12.75" customHeight="1">
      <c r="A36" s="406" t="s">
        <v>1239</v>
      </c>
      <c r="B36" s="407">
        <v>35.04</v>
      </c>
      <c r="C36" s="403">
        <v>0.0</v>
      </c>
      <c r="D36" s="403">
        <f t="shared" si="1"/>
        <v>0</v>
      </c>
      <c r="E36" s="401">
        <v>0.0</v>
      </c>
      <c r="F36" s="408">
        <f t="shared" si="2"/>
        <v>0</v>
      </c>
      <c r="G36" s="409">
        <v>1.0</v>
      </c>
      <c r="H36" s="59">
        <f t="shared" si="3"/>
        <v>70.08</v>
      </c>
      <c r="I36" s="25"/>
      <c r="J36" s="25"/>
      <c r="K36" s="25"/>
      <c r="L36" s="25"/>
      <c r="M36" s="25"/>
      <c r="N36" s="25"/>
      <c r="O36" s="25"/>
      <c r="P36" s="25"/>
      <c r="Q36" s="25"/>
      <c r="R36" s="25"/>
      <c r="S36" s="25"/>
      <c r="T36" s="25"/>
      <c r="U36" s="25"/>
      <c r="V36" s="25"/>
      <c r="W36" s="25"/>
      <c r="X36" s="25"/>
      <c r="Y36" s="25"/>
      <c r="Z36" s="25"/>
    </row>
    <row r="37" ht="12.75" customHeight="1">
      <c r="A37" s="406" t="s">
        <v>1240</v>
      </c>
      <c r="B37" s="407">
        <v>312.4</v>
      </c>
      <c r="C37" s="403">
        <v>0.93</v>
      </c>
      <c r="D37" s="403">
        <f t="shared" si="1"/>
        <v>581.064</v>
      </c>
      <c r="E37" s="401">
        <v>0.0</v>
      </c>
      <c r="F37" s="408">
        <f t="shared" si="2"/>
        <v>0</v>
      </c>
      <c r="G37" s="409">
        <v>0.0</v>
      </c>
      <c r="H37" s="59">
        <f t="shared" si="3"/>
        <v>0</v>
      </c>
      <c r="I37" s="25"/>
      <c r="J37" s="25"/>
      <c r="K37" s="25"/>
      <c r="L37" s="25"/>
      <c r="M37" s="25"/>
      <c r="N37" s="25"/>
      <c r="O37" s="25"/>
      <c r="P37" s="25"/>
      <c r="Q37" s="25"/>
      <c r="R37" s="25"/>
      <c r="S37" s="25"/>
      <c r="T37" s="25"/>
      <c r="U37" s="25"/>
      <c r="V37" s="25"/>
      <c r="W37" s="25"/>
      <c r="X37" s="25"/>
      <c r="Y37" s="25"/>
      <c r="Z37" s="25"/>
    </row>
    <row r="38" ht="12.75" customHeight="1">
      <c r="A38" s="406" t="s">
        <v>1241</v>
      </c>
      <c r="B38" s="407">
        <v>192.99</v>
      </c>
      <c r="C38" s="403">
        <v>0.0</v>
      </c>
      <c r="D38" s="403">
        <f t="shared" si="1"/>
        <v>0</v>
      </c>
      <c r="E38" s="401">
        <v>0.0</v>
      </c>
      <c r="F38" s="408">
        <f t="shared" si="2"/>
        <v>0</v>
      </c>
      <c r="G38" s="409">
        <v>0.0</v>
      </c>
      <c r="H38" s="59">
        <f t="shared" si="3"/>
        <v>0</v>
      </c>
      <c r="I38" s="25"/>
      <c r="J38" s="25"/>
      <c r="K38" s="25"/>
      <c r="L38" s="25"/>
      <c r="M38" s="25"/>
      <c r="N38" s="25"/>
      <c r="O38" s="25"/>
      <c r="P38" s="25"/>
      <c r="Q38" s="25"/>
      <c r="R38" s="25"/>
      <c r="S38" s="25"/>
      <c r="T38" s="25"/>
      <c r="U38" s="25"/>
      <c r="V38" s="25"/>
      <c r="W38" s="25"/>
      <c r="X38" s="25"/>
      <c r="Y38" s="25"/>
      <c r="Z38" s="25"/>
    </row>
    <row r="39" ht="12.75" customHeight="1">
      <c r="A39" s="406" t="s">
        <v>1242</v>
      </c>
      <c r="B39" s="407">
        <v>23.83</v>
      </c>
      <c r="C39" s="403">
        <v>2.8</v>
      </c>
      <c r="D39" s="403">
        <f t="shared" si="1"/>
        <v>133.448</v>
      </c>
      <c r="E39" s="401">
        <v>0.0</v>
      </c>
      <c r="F39" s="408">
        <f t="shared" si="2"/>
        <v>0</v>
      </c>
      <c r="G39" s="409">
        <v>5.0</v>
      </c>
      <c r="H39" s="59">
        <f t="shared" si="3"/>
        <v>238.3</v>
      </c>
      <c r="I39" s="25"/>
      <c r="J39" s="25"/>
      <c r="K39" s="25"/>
      <c r="L39" s="25"/>
      <c r="M39" s="25"/>
      <c r="N39" s="25"/>
      <c r="O39" s="25"/>
      <c r="P39" s="25"/>
      <c r="Q39" s="25"/>
      <c r="R39" s="25"/>
      <c r="S39" s="25"/>
      <c r="T39" s="25"/>
      <c r="U39" s="25"/>
      <c r="V39" s="25"/>
      <c r="W39" s="25"/>
      <c r="X39" s="25"/>
      <c r="Y39" s="25"/>
      <c r="Z39" s="25"/>
    </row>
    <row r="40" ht="12.75" customHeight="1">
      <c r="A40" s="406" t="s">
        <v>1243</v>
      </c>
      <c r="B40" s="407">
        <v>45.1</v>
      </c>
      <c r="C40" s="403">
        <v>0.0</v>
      </c>
      <c r="D40" s="403">
        <f t="shared" si="1"/>
        <v>0</v>
      </c>
      <c r="E40" s="401">
        <v>0.0</v>
      </c>
      <c r="F40" s="408">
        <f t="shared" si="2"/>
        <v>0</v>
      </c>
      <c r="G40" s="409">
        <v>0.63</v>
      </c>
      <c r="H40" s="59">
        <f t="shared" si="3"/>
        <v>56.826</v>
      </c>
      <c r="I40" s="25"/>
      <c r="J40" s="25"/>
      <c r="K40" s="25"/>
      <c r="L40" s="25"/>
      <c r="M40" s="25"/>
      <c r="N40" s="25"/>
      <c r="O40" s="25"/>
      <c r="P40" s="25"/>
      <c r="Q40" s="25"/>
      <c r="R40" s="25"/>
      <c r="S40" s="25"/>
      <c r="T40" s="25"/>
      <c r="U40" s="25"/>
      <c r="V40" s="25"/>
      <c r="W40" s="25"/>
      <c r="X40" s="25"/>
      <c r="Y40" s="25"/>
      <c r="Z40" s="25"/>
    </row>
    <row r="41" ht="12.75" customHeight="1">
      <c r="A41" s="406" t="s">
        <v>1244</v>
      </c>
      <c r="B41" s="407">
        <v>458.82</v>
      </c>
      <c r="C41" s="403">
        <v>0.0</v>
      </c>
      <c r="D41" s="403">
        <f t="shared" si="1"/>
        <v>0</v>
      </c>
      <c r="E41" s="401">
        <v>0.0</v>
      </c>
      <c r="F41" s="408">
        <f t="shared" si="2"/>
        <v>0</v>
      </c>
      <c r="G41" s="409">
        <v>0.0</v>
      </c>
      <c r="H41" s="59">
        <f t="shared" si="3"/>
        <v>0</v>
      </c>
      <c r="I41" s="25"/>
      <c r="J41" s="25"/>
      <c r="K41" s="25"/>
      <c r="L41" s="25"/>
      <c r="M41" s="25"/>
      <c r="N41" s="25"/>
      <c r="O41" s="25"/>
      <c r="P41" s="25"/>
      <c r="Q41" s="25"/>
      <c r="R41" s="25"/>
      <c r="S41" s="25"/>
      <c r="T41" s="25"/>
      <c r="U41" s="25"/>
      <c r="V41" s="25"/>
      <c r="W41" s="25"/>
      <c r="X41" s="25"/>
      <c r="Y41" s="25"/>
      <c r="Z41" s="25"/>
    </row>
    <row r="42" ht="12.75" customHeight="1">
      <c r="A42" s="406" t="s">
        <v>1245</v>
      </c>
      <c r="B42" s="407">
        <v>42.4</v>
      </c>
      <c r="C42" s="403">
        <v>0.93</v>
      </c>
      <c r="D42" s="403">
        <f t="shared" si="1"/>
        <v>78.864</v>
      </c>
      <c r="E42" s="401">
        <v>1.0</v>
      </c>
      <c r="F42" s="408">
        <f t="shared" si="2"/>
        <v>84.8</v>
      </c>
      <c r="G42" s="409">
        <v>1.0</v>
      </c>
      <c r="H42" s="59">
        <f t="shared" si="3"/>
        <v>84.8</v>
      </c>
      <c r="I42" s="25"/>
      <c r="J42" s="25"/>
      <c r="K42" s="25"/>
      <c r="L42" s="25"/>
      <c r="M42" s="25"/>
      <c r="N42" s="25"/>
      <c r="O42" s="25"/>
      <c r="P42" s="25"/>
      <c r="Q42" s="25"/>
      <c r="R42" s="25"/>
      <c r="S42" s="25"/>
      <c r="T42" s="25"/>
      <c r="U42" s="25"/>
      <c r="V42" s="25"/>
      <c r="W42" s="25"/>
      <c r="X42" s="25"/>
      <c r="Y42" s="25"/>
      <c r="Z42" s="25"/>
    </row>
    <row r="43" ht="12.75" customHeight="1">
      <c r="A43" s="406" t="s">
        <v>1246</v>
      </c>
      <c r="B43" s="407">
        <v>133.91</v>
      </c>
      <c r="C43" s="403">
        <v>0.0</v>
      </c>
      <c r="D43" s="403">
        <f t="shared" si="1"/>
        <v>0</v>
      </c>
      <c r="E43" s="401">
        <v>0.0</v>
      </c>
      <c r="F43" s="408">
        <f t="shared" si="2"/>
        <v>0</v>
      </c>
      <c r="G43" s="409">
        <v>0.0</v>
      </c>
      <c r="H43" s="59">
        <f t="shared" si="3"/>
        <v>0</v>
      </c>
      <c r="I43" s="25"/>
      <c r="J43" s="25"/>
      <c r="K43" s="25"/>
      <c r="L43" s="25"/>
      <c r="M43" s="25"/>
      <c r="N43" s="25"/>
      <c r="O43" s="25"/>
      <c r="P43" s="25"/>
      <c r="Q43" s="25"/>
      <c r="R43" s="25"/>
      <c r="S43" s="25"/>
      <c r="T43" s="25"/>
      <c r="U43" s="25"/>
      <c r="V43" s="25"/>
      <c r="W43" s="25"/>
      <c r="X43" s="25"/>
      <c r="Y43" s="25"/>
      <c r="Z43" s="25"/>
    </row>
    <row r="44" ht="12.75" customHeight="1">
      <c r="A44" s="406" t="s">
        <v>1247</v>
      </c>
      <c r="B44" s="407">
        <v>162.71</v>
      </c>
      <c r="C44" s="403">
        <v>1.0</v>
      </c>
      <c r="D44" s="403">
        <f t="shared" si="1"/>
        <v>325.42</v>
      </c>
      <c r="E44" s="401">
        <v>1.0</v>
      </c>
      <c r="F44" s="408">
        <f t="shared" si="2"/>
        <v>325.42</v>
      </c>
      <c r="G44" s="409">
        <v>0.0</v>
      </c>
      <c r="H44" s="59">
        <f t="shared" si="3"/>
        <v>0</v>
      </c>
      <c r="I44" s="25"/>
      <c r="J44" s="25"/>
      <c r="K44" s="25"/>
      <c r="L44" s="25"/>
      <c r="M44" s="25"/>
      <c r="N44" s="25"/>
      <c r="O44" s="25"/>
      <c r="P44" s="25"/>
      <c r="Q44" s="25"/>
      <c r="R44" s="25"/>
      <c r="S44" s="25"/>
      <c r="T44" s="25"/>
      <c r="U44" s="25"/>
      <c r="V44" s="25"/>
      <c r="W44" s="25"/>
      <c r="X44" s="25"/>
      <c r="Y44" s="25"/>
      <c r="Z44" s="25"/>
    </row>
    <row r="45" ht="12.75" customHeight="1">
      <c r="A45" s="406" t="s">
        <v>1248</v>
      </c>
      <c r="B45" s="407">
        <v>98.53</v>
      </c>
      <c r="C45" s="403">
        <v>0.0</v>
      </c>
      <c r="D45" s="403">
        <f t="shared" si="1"/>
        <v>0</v>
      </c>
      <c r="E45" s="401">
        <v>0.0</v>
      </c>
      <c r="F45" s="408">
        <f t="shared" si="2"/>
        <v>0</v>
      </c>
      <c r="G45" s="409">
        <v>0.83</v>
      </c>
      <c r="H45" s="59">
        <f t="shared" si="3"/>
        <v>163.5598</v>
      </c>
      <c r="I45" s="25"/>
      <c r="J45" s="25"/>
      <c r="K45" s="25"/>
      <c r="L45" s="25"/>
      <c r="M45" s="25"/>
      <c r="N45" s="25"/>
      <c r="O45" s="25"/>
      <c r="P45" s="25"/>
      <c r="Q45" s="25"/>
      <c r="R45" s="25"/>
      <c r="S45" s="25"/>
      <c r="T45" s="25"/>
      <c r="U45" s="25"/>
      <c r="V45" s="25"/>
      <c r="W45" s="25"/>
      <c r="X45" s="25"/>
      <c r="Y45" s="25"/>
      <c r="Z45" s="25"/>
    </row>
    <row r="46" ht="12.75" customHeight="1">
      <c r="A46" s="406" t="s">
        <v>1249</v>
      </c>
      <c r="B46" s="407">
        <v>4.11</v>
      </c>
      <c r="C46" s="403">
        <v>9.3</v>
      </c>
      <c r="D46" s="403">
        <f t="shared" si="1"/>
        <v>76.446</v>
      </c>
      <c r="E46" s="401">
        <v>34.8</v>
      </c>
      <c r="F46" s="408">
        <f t="shared" si="2"/>
        <v>286.056</v>
      </c>
      <c r="G46" s="410">
        <v>68.945</v>
      </c>
      <c r="H46" s="59">
        <f t="shared" si="3"/>
        <v>566.7279</v>
      </c>
      <c r="I46" s="25"/>
      <c r="J46" s="25"/>
      <c r="K46" s="25"/>
      <c r="L46" s="25"/>
      <c r="M46" s="25"/>
      <c r="N46" s="25"/>
      <c r="O46" s="25"/>
      <c r="P46" s="25"/>
      <c r="Q46" s="25"/>
      <c r="R46" s="25"/>
      <c r="S46" s="25"/>
      <c r="T46" s="25"/>
      <c r="U46" s="25"/>
      <c r="V46" s="25"/>
      <c r="W46" s="25"/>
      <c r="X46" s="25"/>
      <c r="Y46" s="25"/>
      <c r="Z46" s="25"/>
    </row>
    <row r="47" ht="12.75" customHeight="1">
      <c r="A47" s="406" t="s">
        <v>1250</v>
      </c>
      <c r="B47" s="407">
        <v>17.62</v>
      </c>
      <c r="C47" s="403">
        <v>0.0</v>
      </c>
      <c r="D47" s="403">
        <f t="shared" si="1"/>
        <v>0</v>
      </c>
      <c r="E47" s="401">
        <v>1.32</v>
      </c>
      <c r="F47" s="408">
        <f t="shared" si="2"/>
        <v>46.5168</v>
      </c>
      <c r="G47" s="409">
        <v>3.0</v>
      </c>
      <c r="H47" s="59">
        <f t="shared" si="3"/>
        <v>105.72</v>
      </c>
      <c r="I47" s="25"/>
      <c r="J47" s="25"/>
      <c r="K47" s="25"/>
      <c r="L47" s="25"/>
      <c r="M47" s="25"/>
      <c r="N47" s="25"/>
      <c r="O47" s="25"/>
      <c r="P47" s="25"/>
      <c r="Q47" s="25"/>
      <c r="R47" s="25"/>
      <c r="S47" s="25"/>
      <c r="T47" s="25"/>
      <c r="U47" s="25"/>
      <c r="V47" s="25"/>
      <c r="W47" s="25"/>
      <c r="X47" s="25"/>
      <c r="Y47" s="25"/>
      <c r="Z47" s="25"/>
    </row>
    <row r="48" ht="12.75" customHeight="1">
      <c r="A48" s="406" t="s">
        <v>1251</v>
      </c>
      <c r="B48" s="407">
        <v>320.93</v>
      </c>
      <c r="C48" s="403">
        <v>0.0</v>
      </c>
      <c r="D48" s="403">
        <f t="shared" si="1"/>
        <v>0</v>
      </c>
      <c r="E48" s="401">
        <v>0.0</v>
      </c>
      <c r="F48" s="408">
        <f t="shared" si="2"/>
        <v>0</v>
      </c>
      <c r="G48" s="409">
        <v>0.0</v>
      </c>
      <c r="H48" s="59">
        <f t="shared" si="3"/>
        <v>0</v>
      </c>
      <c r="I48" s="25"/>
      <c r="J48" s="25"/>
      <c r="K48" s="25"/>
      <c r="L48" s="25"/>
      <c r="M48" s="25"/>
      <c r="N48" s="25"/>
      <c r="O48" s="25"/>
      <c r="P48" s="25"/>
      <c r="Q48" s="25"/>
      <c r="R48" s="25"/>
      <c r="S48" s="25"/>
      <c r="T48" s="25"/>
      <c r="U48" s="25"/>
      <c r="V48" s="25"/>
      <c r="W48" s="25"/>
      <c r="X48" s="25"/>
      <c r="Y48" s="25"/>
      <c r="Z48" s="25"/>
    </row>
    <row r="49" ht="12.75" customHeight="1">
      <c r="A49" s="406" t="s">
        <v>1252</v>
      </c>
      <c r="B49" s="407">
        <v>87.03</v>
      </c>
      <c r="C49" s="403">
        <v>0.0</v>
      </c>
      <c r="D49" s="403">
        <f t="shared" si="1"/>
        <v>0</v>
      </c>
      <c r="E49" s="401">
        <v>0.0</v>
      </c>
      <c r="F49" s="408">
        <f t="shared" si="2"/>
        <v>0</v>
      </c>
      <c r="G49" s="409">
        <v>0.0</v>
      </c>
      <c r="H49" s="59">
        <f t="shared" si="3"/>
        <v>0</v>
      </c>
      <c r="I49" s="25"/>
      <c r="J49" s="25"/>
      <c r="K49" s="25"/>
      <c r="L49" s="25"/>
      <c r="M49" s="25"/>
      <c r="N49" s="25"/>
      <c r="O49" s="25"/>
      <c r="P49" s="25"/>
      <c r="Q49" s="25"/>
      <c r="R49" s="25"/>
      <c r="S49" s="25"/>
      <c r="T49" s="25"/>
      <c r="U49" s="25"/>
      <c r="V49" s="25"/>
      <c r="W49" s="25"/>
      <c r="X49" s="25"/>
      <c r="Y49" s="25"/>
      <c r="Z49" s="25"/>
    </row>
    <row r="50" ht="12.75" customHeight="1">
      <c r="A50" s="406" t="s">
        <v>1253</v>
      </c>
      <c r="B50" s="407">
        <v>258.27</v>
      </c>
      <c r="C50" s="403">
        <v>0.0</v>
      </c>
      <c r="D50" s="403">
        <f t="shared" si="1"/>
        <v>0</v>
      </c>
      <c r="E50" s="401">
        <v>0.0</v>
      </c>
      <c r="F50" s="408">
        <f t="shared" si="2"/>
        <v>0</v>
      </c>
      <c r="G50" s="409">
        <v>0.0</v>
      </c>
      <c r="H50" s="59">
        <f t="shared" si="3"/>
        <v>0</v>
      </c>
      <c r="I50" s="25"/>
      <c r="J50" s="25"/>
      <c r="K50" s="25"/>
      <c r="L50" s="25"/>
      <c r="M50" s="25"/>
      <c r="N50" s="25"/>
      <c r="O50" s="25"/>
      <c r="P50" s="25"/>
      <c r="Q50" s="25"/>
      <c r="R50" s="25"/>
      <c r="S50" s="25"/>
      <c r="T50" s="25"/>
      <c r="U50" s="25"/>
      <c r="V50" s="25"/>
      <c r="W50" s="25"/>
      <c r="X50" s="25"/>
      <c r="Y50" s="25"/>
      <c r="Z50" s="25"/>
    </row>
    <row r="51" ht="12.75" customHeight="1">
      <c r="A51" s="406" t="s">
        <v>1254</v>
      </c>
      <c r="B51" s="407">
        <v>4.99</v>
      </c>
      <c r="C51" s="403">
        <v>11.1</v>
      </c>
      <c r="D51" s="403">
        <f t="shared" si="1"/>
        <v>110.778</v>
      </c>
      <c r="E51" s="401">
        <v>18.6</v>
      </c>
      <c r="F51" s="408">
        <f t="shared" si="2"/>
        <v>185.628</v>
      </c>
      <c r="G51" s="409">
        <v>37.47</v>
      </c>
      <c r="H51" s="59">
        <f t="shared" si="3"/>
        <v>373.9506</v>
      </c>
      <c r="I51" s="25"/>
      <c r="J51" s="25"/>
      <c r="K51" s="25"/>
      <c r="L51" s="25"/>
      <c r="M51" s="25"/>
      <c r="N51" s="25"/>
      <c r="O51" s="25"/>
      <c r="P51" s="25"/>
      <c r="Q51" s="25"/>
      <c r="R51" s="25"/>
      <c r="S51" s="25"/>
      <c r="T51" s="25"/>
      <c r="U51" s="25"/>
      <c r="V51" s="25"/>
      <c r="W51" s="25"/>
      <c r="X51" s="25"/>
      <c r="Y51" s="25"/>
      <c r="Z51" s="25"/>
    </row>
    <row r="52" ht="12.75" customHeight="1">
      <c r="A52" s="406" t="s">
        <v>1255</v>
      </c>
      <c r="B52" s="407">
        <v>35.85</v>
      </c>
      <c r="C52" s="403">
        <v>0.0</v>
      </c>
      <c r="D52" s="403">
        <f t="shared" si="1"/>
        <v>0</v>
      </c>
      <c r="E52" s="408">
        <v>0.0</v>
      </c>
      <c r="F52" s="408">
        <f t="shared" si="2"/>
        <v>0</v>
      </c>
      <c r="G52" s="409">
        <v>0.5</v>
      </c>
      <c r="H52" s="59">
        <f t="shared" si="3"/>
        <v>35.85</v>
      </c>
      <c r="I52" s="25"/>
      <c r="J52" s="25"/>
      <c r="K52" s="25"/>
      <c r="L52" s="25"/>
      <c r="M52" s="25"/>
      <c r="N52" s="25"/>
      <c r="O52" s="25"/>
      <c r="P52" s="25"/>
      <c r="Q52" s="25"/>
      <c r="R52" s="25"/>
      <c r="S52" s="25"/>
      <c r="T52" s="25"/>
      <c r="U52" s="25"/>
      <c r="V52" s="25"/>
      <c r="W52" s="25"/>
      <c r="X52" s="25"/>
      <c r="Y52" s="25"/>
      <c r="Z52" s="25"/>
    </row>
    <row r="53" ht="12.75" customHeight="1">
      <c r="A53" s="406" t="s">
        <v>1256</v>
      </c>
      <c r="B53" s="407">
        <v>150.75</v>
      </c>
      <c r="C53" s="403">
        <v>0.0</v>
      </c>
      <c r="D53" s="403">
        <f t="shared" si="1"/>
        <v>0</v>
      </c>
      <c r="E53" s="401">
        <v>0.0</v>
      </c>
      <c r="F53" s="408">
        <f t="shared" si="2"/>
        <v>0</v>
      </c>
      <c r="G53" s="409">
        <v>0.0</v>
      </c>
      <c r="H53" s="59">
        <f t="shared" si="3"/>
        <v>0</v>
      </c>
      <c r="I53" s="25"/>
      <c r="J53" s="25"/>
      <c r="K53" s="25"/>
      <c r="L53" s="25"/>
      <c r="M53" s="25"/>
      <c r="N53" s="25"/>
      <c r="O53" s="25"/>
      <c r="P53" s="25"/>
      <c r="Q53" s="25"/>
      <c r="R53" s="25"/>
      <c r="S53" s="25"/>
      <c r="T53" s="25"/>
      <c r="U53" s="25"/>
      <c r="V53" s="25"/>
      <c r="W53" s="25"/>
      <c r="X53" s="25"/>
      <c r="Y53" s="25"/>
      <c r="Z53" s="25"/>
    </row>
    <row r="54" ht="12.75" customHeight="1">
      <c r="A54" s="406" t="s">
        <v>1257</v>
      </c>
      <c r="B54" s="407">
        <v>268.5</v>
      </c>
      <c r="C54" s="403">
        <v>0.0</v>
      </c>
      <c r="D54" s="403">
        <f t="shared" si="1"/>
        <v>0</v>
      </c>
      <c r="E54" s="401">
        <v>0.0</v>
      </c>
      <c r="F54" s="408">
        <f t="shared" si="2"/>
        <v>0</v>
      </c>
      <c r="G54" s="409">
        <v>0.0</v>
      </c>
      <c r="H54" s="59">
        <f t="shared" si="3"/>
        <v>0</v>
      </c>
      <c r="I54" s="25"/>
      <c r="J54" s="25"/>
      <c r="K54" s="25"/>
      <c r="L54" s="25"/>
      <c r="M54" s="25"/>
      <c r="N54" s="25"/>
      <c r="O54" s="25"/>
      <c r="P54" s="25"/>
      <c r="Q54" s="25"/>
      <c r="R54" s="25"/>
      <c r="S54" s="25"/>
      <c r="T54" s="25"/>
      <c r="U54" s="25"/>
      <c r="V54" s="25"/>
      <c r="W54" s="25"/>
      <c r="X54" s="25"/>
      <c r="Y54" s="25"/>
      <c r="Z54" s="25"/>
    </row>
    <row r="55" ht="12.75" customHeight="1">
      <c r="A55" s="406" t="s">
        <v>1258</v>
      </c>
      <c r="B55" s="407">
        <v>80.31</v>
      </c>
      <c r="C55" s="403">
        <v>0.0</v>
      </c>
      <c r="D55" s="403">
        <f t="shared" si="1"/>
        <v>0</v>
      </c>
      <c r="E55" s="401">
        <v>1.0</v>
      </c>
      <c r="F55" s="408">
        <f t="shared" si="2"/>
        <v>160.62</v>
      </c>
      <c r="G55" s="409">
        <v>0.0</v>
      </c>
      <c r="H55" s="59">
        <f t="shared" si="3"/>
        <v>0</v>
      </c>
      <c r="I55" s="25"/>
      <c r="J55" s="25"/>
      <c r="K55" s="25"/>
      <c r="L55" s="25"/>
      <c r="M55" s="25"/>
      <c r="N55" s="25"/>
      <c r="O55" s="25"/>
      <c r="P55" s="25"/>
      <c r="Q55" s="25"/>
      <c r="R55" s="25"/>
      <c r="S55" s="25"/>
      <c r="T55" s="25"/>
      <c r="U55" s="25"/>
      <c r="V55" s="25"/>
      <c r="W55" s="25"/>
      <c r="X55" s="25"/>
      <c r="Y55" s="25"/>
      <c r="Z55" s="25"/>
    </row>
    <row r="56" ht="12.75" customHeight="1">
      <c r="A56" s="406" t="s">
        <v>1259</v>
      </c>
      <c r="B56" s="407">
        <v>40.93</v>
      </c>
      <c r="C56" s="403">
        <v>0.0</v>
      </c>
      <c r="D56" s="403">
        <f t="shared" si="1"/>
        <v>0</v>
      </c>
      <c r="E56" s="401">
        <v>1.0</v>
      </c>
      <c r="F56" s="408">
        <f t="shared" si="2"/>
        <v>81.86</v>
      </c>
      <c r="G56" s="409">
        <v>1.0</v>
      </c>
      <c r="H56" s="59">
        <f t="shared" si="3"/>
        <v>81.86</v>
      </c>
      <c r="I56" s="25"/>
      <c r="J56" s="25"/>
      <c r="K56" s="25"/>
      <c r="L56" s="25"/>
      <c r="M56" s="25"/>
      <c r="N56" s="25"/>
      <c r="O56" s="25"/>
      <c r="P56" s="25"/>
      <c r="Q56" s="25"/>
      <c r="R56" s="25"/>
      <c r="S56" s="25"/>
      <c r="T56" s="25"/>
      <c r="U56" s="25"/>
      <c r="V56" s="25"/>
      <c r="W56" s="25"/>
      <c r="X56" s="25"/>
      <c r="Y56" s="25"/>
      <c r="Z56" s="25"/>
    </row>
    <row r="57" ht="12.75" customHeight="1">
      <c r="A57" s="406" t="s">
        <v>1260</v>
      </c>
      <c r="B57" s="407">
        <v>44.82</v>
      </c>
      <c r="C57" s="403">
        <v>0.0</v>
      </c>
      <c r="D57" s="403">
        <f t="shared" si="1"/>
        <v>0</v>
      </c>
      <c r="E57" s="401">
        <v>1.0</v>
      </c>
      <c r="F57" s="408">
        <f t="shared" si="2"/>
        <v>89.64</v>
      </c>
      <c r="G57" s="409">
        <v>1.0</v>
      </c>
      <c r="H57" s="59">
        <f t="shared" si="3"/>
        <v>89.64</v>
      </c>
      <c r="I57" s="25"/>
      <c r="J57" s="25"/>
      <c r="K57" s="25"/>
      <c r="L57" s="25"/>
      <c r="M57" s="25"/>
      <c r="N57" s="25"/>
      <c r="O57" s="25"/>
      <c r="P57" s="25"/>
      <c r="Q57" s="25"/>
      <c r="R57" s="25"/>
      <c r="S57" s="25"/>
      <c r="T57" s="25"/>
      <c r="U57" s="25"/>
      <c r="V57" s="25"/>
      <c r="W57" s="25"/>
      <c r="X57" s="25"/>
      <c r="Y57" s="25"/>
      <c r="Z57" s="25"/>
    </row>
    <row r="58" ht="12.75" customHeight="1">
      <c r="A58" s="406" t="s">
        <v>1261</v>
      </c>
      <c r="B58" s="407">
        <v>170.67</v>
      </c>
      <c r="C58" s="403">
        <v>0.93</v>
      </c>
      <c r="D58" s="403">
        <f t="shared" si="1"/>
        <v>317.4462</v>
      </c>
      <c r="E58" s="401">
        <v>0.0</v>
      </c>
      <c r="F58" s="408">
        <f t="shared" si="2"/>
        <v>0</v>
      </c>
      <c r="G58" s="409">
        <v>0.0</v>
      </c>
      <c r="H58" s="59">
        <f t="shared" si="3"/>
        <v>0</v>
      </c>
      <c r="I58" s="25"/>
      <c r="J58" s="25"/>
      <c r="K58" s="25"/>
      <c r="L58" s="25"/>
      <c r="M58" s="25"/>
      <c r="N58" s="25"/>
      <c r="O58" s="25"/>
      <c r="P58" s="25"/>
      <c r="Q58" s="25"/>
      <c r="R58" s="25"/>
      <c r="S58" s="25"/>
      <c r="T58" s="25"/>
      <c r="U58" s="25"/>
      <c r="V58" s="25"/>
      <c r="W58" s="25"/>
      <c r="X58" s="25"/>
      <c r="Y58" s="25"/>
      <c r="Z58" s="25"/>
    </row>
    <row r="59" ht="12.75" customHeight="1">
      <c r="A59" s="406" t="s">
        <v>1262</v>
      </c>
      <c r="B59" s="407">
        <v>32.5</v>
      </c>
      <c r="C59" s="403">
        <v>0.93</v>
      </c>
      <c r="D59" s="403">
        <f t="shared" si="1"/>
        <v>60.45</v>
      </c>
      <c r="E59" s="401">
        <v>32.5</v>
      </c>
      <c r="F59" s="408">
        <f t="shared" si="2"/>
        <v>2112.5</v>
      </c>
      <c r="G59" s="409">
        <v>3.0</v>
      </c>
      <c r="H59" s="59">
        <f t="shared" si="3"/>
        <v>195</v>
      </c>
      <c r="I59" s="25"/>
      <c r="J59" s="25"/>
      <c r="K59" s="25"/>
      <c r="L59" s="25"/>
      <c r="M59" s="25"/>
      <c r="N59" s="25"/>
      <c r="O59" s="25"/>
      <c r="P59" s="25"/>
      <c r="Q59" s="25"/>
      <c r="R59" s="25"/>
      <c r="S59" s="25"/>
      <c r="T59" s="25"/>
      <c r="U59" s="25"/>
      <c r="V59" s="25"/>
      <c r="W59" s="25"/>
      <c r="X59" s="25"/>
      <c r="Y59" s="25"/>
      <c r="Z59" s="25"/>
    </row>
    <row r="60" ht="12.75" customHeight="1">
      <c r="A60" s="406" t="s">
        <v>1263</v>
      </c>
      <c r="B60" s="407">
        <v>269.22</v>
      </c>
      <c r="C60" s="403">
        <v>0.0</v>
      </c>
      <c r="D60" s="403">
        <f t="shared" si="1"/>
        <v>0</v>
      </c>
      <c r="E60" s="401">
        <v>0.0</v>
      </c>
      <c r="F60" s="408">
        <f t="shared" si="2"/>
        <v>0</v>
      </c>
      <c r="G60" s="409">
        <v>0.0</v>
      </c>
      <c r="H60" s="59">
        <f t="shared" si="3"/>
        <v>0</v>
      </c>
      <c r="I60" s="25"/>
      <c r="J60" s="25"/>
      <c r="K60" s="25"/>
      <c r="L60" s="25"/>
      <c r="M60" s="25"/>
      <c r="N60" s="25"/>
      <c r="O60" s="25"/>
      <c r="P60" s="25"/>
      <c r="Q60" s="25"/>
      <c r="R60" s="25"/>
      <c r="S60" s="25"/>
      <c r="T60" s="25"/>
      <c r="U60" s="25"/>
      <c r="V60" s="25"/>
      <c r="W60" s="25"/>
      <c r="X60" s="25"/>
      <c r="Y60" s="25"/>
      <c r="Z60" s="25"/>
    </row>
    <row r="61" ht="12.75" customHeight="1">
      <c r="A61" s="406" t="s">
        <v>1264</v>
      </c>
      <c r="B61" s="407">
        <v>15.51</v>
      </c>
      <c r="C61" s="403">
        <v>0.0</v>
      </c>
      <c r="D61" s="403">
        <f t="shared" si="1"/>
        <v>0</v>
      </c>
      <c r="E61" s="401">
        <v>6.0</v>
      </c>
      <c r="F61" s="408">
        <f t="shared" si="2"/>
        <v>186.12</v>
      </c>
      <c r="G61" s="409">
        <v>9.4</v>
      </c>
      <c r="H61" s="59">
        <f t="shared" si="3"/>
        <v>291.588</v>
      </c>
      <c r="I61" s="25"/>
      <c r="J61" s="25"/>
      <c r="K61" s="25"/>
      <c r="L61" s="25"/>
      <c r="M61" s="25"/>
      <c r="N61" s="25"/>
      <c r="O61" s="25"/>
      <c r="P61" s="25"/>
      <c r="Q61" s="25"/>
      <c r="R61" s="25"/>
      <c r="S61" s="25"/>
      <c r="T61" s="25"/>
      <c r="U61" s="25"/>
      <c r="V61" s="25"/>
      <c r="W61" s="25"/>
      <c r="X61" s="25"/>
      <c r="Y61" s="25"/>
      <c r="Z61" s="25"/>
    </row>
    <row r="62" ht="12.75" customHeight="1">
      <c r="A62" s="406" t="s">
        <v>1265</v>
      </c>
      <c r="B62" s="407">
        <v>16.71</v>
      </c>
      <c r="C62" s="403">
        <v>0.0</v>
      </c>
      <c r="D62" s="403">
        <f t="shared" si="1"/>
        <v>0</v>
      </c>
      <c r="E62" s="401">
        <v>0.5</v>
      </c>
      <c r="F62" s="408">
        <f t="shared" si="2"/>
        <v>16.71</v>
      </c>
      <c r="G62" s="409">
        <v>1.5</v>
      </c>
      <c r="H62" s="59">
        <f t="shared" si="3"/>
        <v>50.13</v>
      </c>
      <c r="I62" s="25"/>
      <c r="J62" s="25"/>
      <c r="K62" s="25"/>
      <c r="L62" s="25"/>
      <c r="M62" s="25"/>
      <c r="N62" s="25"/>
      <c r="O62" s="25"/>
      <c r="P62" s="25"/>
      <c r="Q62" s="25"/>
      <c r="R62" s="25"/>
      <c r="S62" s="25"/>
      <c r="T62" s="25"/>
      <c r="U62" s="25"/>
      <c r="V62" s="25"/>
      <c r="W62" s="25"/>
      <c r="X62" s="25"/>
      <c r="Y62" s="25"/>
      <c r="Z62" s="25"/>
    </row>
    <row r="63" ht="12.75" customHeight="1">
      <c r="A63" s="406" t="s">
        <v>1266</v>
      </c>
      <c r="B63" s="407">
        <v>210.62</v>
      </c>
      <c r="C63" s="403">
        <v>0.0</v>
      </c>
      <c r="D63" s="403">
        <f t="shared" si="1"/>
        <v>0</v>
      </c>
      <c r="E63" s="401">
        <v>1.0</v>
      </c>
      <c r="F63" s="408">
        <f t="shared" si="2"/>
        <v>421.24</v>
      </c>
      <c r="G63" s="409">
        <v>0.0</v>
      </c>
      <c r="H63" s="59">
        <f t="shared" si="3"/>
        <v>0</v>
      </c>
      <c r="I63" s="25"/>
      <c r="J63" s="25"/>
      <c r="K63" s="25"/>
      <c r="L63" s="25"/>
      <c r="M63" s="25"/>
      <c r="N63" s="25"/>
      <c r="O63" s="25"/>
      <c r="P63" s="25"/>
      <c r="Q63" s="25"/>
      <c r="R63" s="25"/>
      <c r="S63" s="25"/>
      <c r="T63" s="25"/>
      <c r="U63" s="25"/>
      <c r="V63" s="25"/>
      <c r="W63" s="25"/>
      <c r="X63" s="25"/>
      <c r="Y63" s="25"/>
      <c r="Z63" s="25"/>
    </row>
    <row r="64" ht="12.75" customHeight="1">
      <c r="A64" s="406" t="s">
        <v>1267</v>
      </c>
      <c r="B64" s="407">
        <v>19.11</v>
      </c>
      <c r="C64" s="403">
        <v>0.93</v>
      </c>
      <c r="D64" s="403">
        <f t="shared" si="1"/>
        <v>35.5446</v>
      </c>
      <c r="E64" s="401">
        <v>0.0</v>
      </c>
      <c r="F64" s="408">
        <f t="shared" si="2"/>
        <v>0</v>
      </c>
      <c r="G64" s="409">
        <v>0.71</v>
      </c>
      <c r="H64" s="59">
        <f t="shared" si="3"/>
        <v>27.1362</v>
      </c>
      <c r="I64" s="25"/>
      <c r="J64" s="25"/>
      <c r="K64" s="25"/>
      <c r="L64" s="25"/>
      <c r="M64" s="25"/>
      <c r="N64" s="25"/>
      <c r="O64" s="25"/>
      <c r="P64" s="25"/>
      <c r="Q64" s="25"/>
      <c r="R64" s="25"/>
      <c r="S64" s="25"/>
      <c r="T64" s="25"/>
      <c r="U64" s="25"/>
      <c r="V64" s="25"/>
      <c r="W64" s="25"/>
      <c r="X64" s="25"/>
      <c r="Y64" s="25"/>
      <c r="Z64" s="25"/>
    </row>
    <row r="65" ht="12.75" customHeight="1">
      <c r="A65" s="406" t="s">
        <v>1268</v>
      </c>
      <c r="B65" s="407">
        <v>24.74</v>
      </c>
      <c r="C65" s="403">
        <v>0.0</v>
      </c>
      <c r="D65" s="403">
        <f t="shared" si="1"/>
        <v>0</v>
      </c>
      <c r="E65" s="401">
        <v>0.0</v>
      </c>
      <c r="F65" s="408">
        <f t="shared" si="2"/>
        <v>0</v>
      </c>
      <c r="G65" s="409">
        <v>0.0</v>
      </c>
      <c r="H65" s="59">
        <f t="shared" si="3"/>
        <v>0</v>
      </c>
      <c r="I65" s="25"/>
      <c r="J65" s="25"/>
      <c r="K65" s="25"/>
      <c r="L65" s="25"/>
      <c r="M65" s="25"/>
      <c r="N65" s="25"/>
      <c r="O65" s="25"/>
      <c r="P65" s="25"/>
      <c r="Q65" s="25"/>
      <c r="R65" s="25"/>
      <c r="S65" s="25"/>
      <c r="T65" s="25"/>
      <c r="U65" s="25"/>
      <c r="V65" s="25"/>
      <c r="W65" s="25"/>
      <c r="X65" s="25"/>
      <c r="Y65" s="25"/>
      <c r="Z65" s="25"/>
    </row>
    <row r="66" ht="12.75" customHeight="1">
      <c r="A66" s="406" t="s">
        <v>1269</v>
      </c>
      <c r="B66" s="407">
        <v>475.67</v>
      </c>
      <c r="C66" s="403">
        <v>0.0</v>
      </c>
      <c r="D66" s="403">
        <f t="shared" si="1"/>
        <v>0</v>
      </c>
      <c r="E66" s="401">
        <v>0.0</v>
      </c>
      <c r="F66" s="408">
        <f t="shared" si="2"/>
        <v>0</v>
      </c>
      <c r="G66" s="409">
        <v>0.0</v>
      </c>
      <c r="H66" s="59">
        <f t="shared" si="3"/>
        <v>0</v>
      </c>
      <c r="I66" s="25"/>
      <c r="J66" s="25"/>
      <c r="K66" s="25"/>
      <c r="L66" s="25"/>
      <c r="M66" s="25"/>
      <c r="N66" s="25"/>
      <c r="O66" s="25"/>
      <c r="P66" s="25"/>
      <c r="Q66" s="25"/>
      <c r="R66" s="25"/>
      <c r="S66" s="25"/>
      <c r="T66" s="25"/>
      <c r="U66" s="25"/>
      <c r="V66" s="25"/>
      <c r="W66" s="25"/>
      <c r="X66" s="25"/>
      <c r="Y66" s="25"/>
      <c r="Z66" s="25"/>
    </row>
    <row r="67" ht="12.75" customHeight="1">
      <c r="A67" s="406" t="s">
        <v>1270</v>
      </c>
      <c r="B67" s="407">
        <v>20.5</v>
      </c>
      <c r="C67" s="403">
        <v>0.0</v>
      </c>
      <c r="D67" s="403">
        <f t="shared" si="1"/>
        <v>0</v>
      </c>
      <c r="E67" s="401">
        <v>2.0</v>
      </c>
      <c r="F67" s="408">
        <f t="shared" si="2"/>
        <v>82</v>
      </c>
      <c r="G67" s="409">
        <v>2.0</v>
      </c>
      <c r="H67" s="59">
        <f t="shared" si="3"/>
        <v>82</v>
      </c>
      <c r="I67" s="25"/>
      <c r="J67" s="25"/>
      <c r="K67" s="25"/>
      <c r="L67" s="25"/>
      <c r="M67" s="25"/>
      <c r="N67" s="25"/>
      <c r="O67" s="25"/>
      <c r="P67" s="25"/>
      <c r="Q67" s="25"/>
      <c r="R67" s="25"/>
      <c r="S67" s="25"/>
      <c r="T67" s="25"/>
      <c r="U67" s="25"/>
      <c r="V67" s="25"/>
      <c r="W67" s="25"/>
      <c r="X67" s="25"/>
      <c r="Y67" s="25"/>
      <c r="Z67" s="25"/>
    </row>
    <row r="68" ht="12.75" customHeight="1">
      <c r="A68" s="406" t="s">
        <v>1271</v>
      </c>
      <c r="B68" s="407">
        <v>70.03</v>
      </c>
      <c r="C68" s="403">
        <v>0.93</v>
      </c>
      <c r="D68" s="403">
        <f t="shared" si="1"/>
        <v>130.2558</v>
      </c>
      <c r="E68" s="401">
        <v>0.0</v>
      </c>
      <c r="F68" s="408">
        <f t="shared" si="2"/>
        <v>0</v>
      </c>
      <c r="G68" s="409">
        <v>0.0</v>
      </c>
      <c r="H68" s="59">
        <f t="shared" si="3"/>
        <v>0</v>
      </c>
      <c r="I68" s="25"/>
      <c r="J68" s="25"/>
      <c r="K68" s="25"/>
      <c r="L68" s="25"/>
      <c r="M68" s="25"/>
      <c r="N68" s="25"/>
      <c r="O68" s="25"/>
      <c r="P68" s="25"/>
      <c r="Q68" s="25"/>
      <c r="R68" s="25"/>
      <c r="S68" s="25"/>
      <c r="T68" s="25"/>
      <c r="U68" s="25"/>
      <c r="V68" s="25"/>
      <c r="W68" s="25"/>
      <c r="X68" s="25"/>
      <c r="Y68" s="25"/>
      <c r="Z68" s="25"/>
    </row>
    <row r="69" ht="12.75" customHeight="1">
      <c r="A69" s="406" t="s">
        <v>1272</v>
      </c>
      <c r="B69" s="407">
        <v>255.99</v>
      </c>
      <c r="C69" s="403">
        <v>0.93</v>
      </c>
      <c r="D69" s="403">
        <f t="shared" si="1"/>
        <v>476.1414</v>
      </c>
      <c r="E69" s="401">
        <v>0.0</v>
      </c>
      <c r="F69" s="408">
        <f t="shared" si="2"/>
        <v>0</v>
      </c>
      <c r="G69" s="409">
        <v>0.0</v>
      </c>
      <c r="H69" s="59">
        <f t="shared" si="3"/>
        <v>0</v>
      </c>
      <c r="I69" s="25"/>
      <c r="J69" s="25"/>
      <c r="K69" s="25"/>
      <c r="L69" s="25"/>
      <c r="M69" s="25"/>
      <c r="N69" s="25"/>
      <c r="O69" s="25"/>
      <c r="P69" s="25"/>
      <c r="Q69" s="25"/>
      <c r="R69" s="25"/>
      <c r="S69" s="25"/>
      <c r="T69" s="25"/>
      <c r="U69" s="25"/>
      <c r="V69" s="25"/>
      <c r="W69" s="25"/>
      <c r="X69" s="25"/>
      <c r="Y69" s="25"/>
      <c r="Z69" s="25"/>
    </row>
    <row r="70" ht="12.75" customHeight="1">
      <c r="A70" s="406" t="s">
        <v>1273</v>
      </c>
      <c r="B70" s="407">
        <v>201.34</v>
      </c>
      <c r="C70" s="403">
        <v>0.0</v>
      </c>
      <c r="D70" s="403">
        <f t="shared" si="1"/>
        <v>0</v>
      </c>
      <c r="E70" s="401">
        <v>0.0</v>
      </c>
      <c r="F70" s="408">
        <f t="shared" si="2"/>
        <v>0</v>
      </c>
      <c r="G70" s="409">
        <v>1.0</v>
      </c>
      <c r="H70" s="59">
        <f t="shared" si="3"/>
        <v>402.68</v>
      </c>
      <c r="I70" s="25"/>
      <c r="J70" s="25"/>
      <c r="K70" s="25"/>
      <c r="L70" s="25"/>
      <c r="M70" s="25"/>
      <c r="N70" s="25"/>
      <c r="O70" s="25"/>
      <c r="P70" s="25"/>
      <c r="Q70" s="25"/>
      <c r="R70" s="25"/>
      <c r="S70" s="25"/>
      <c r="T70" s="25"/>
      <c r="U70" s="25"/>
      <c r="V70" s="25"/>
      <c r="W70" s="25"/>
      <c r="X70" s="25"/>
      <c r="Y70" s="25"/>
      <c r="Z70" s="25"/>
    </row>
    <row r="71" ht="12.75" customHeight="1">
      <c r="A71" s="406" t="s">
        <v>1274</v>
      </c>
      <c r="B71" s="407">
        <v>30.36</v>
      </c>
      <c r="C71" s="403">
        <v>0.0</v>
      </c>
      <c r="D71" s="403">
        <f t="shared" si="1"/>
        <v>0</v>
      </c>
      <c r="E71" s="401">
        <v>3.0</v>
      </c>
      <c r="F71" s="408">
        <f t="shared" si="2"/>
        <v>182.16</v>
      </c>
      <c r="G71" s="409">
        <v>4.0</v>
      </c>
      <c r="H71" s="59">
        <f t="shared" si="3"/>
        <v>242.88</v>
      </c>
      <c r="I71" s="25"/>
      <c r="J71" s="25"/>
      <c r="K71" s="25"/>
      <c r="L71" s="25"/>
      <c r="M71" s="25"/>
      <c r="N71" s="25"/>
      <c r="O71" s="25"/>
      <c r="P71" s="25"/>
      <c r="Q71" s="25"/>
      <c r="R71" s="25"/>
      <c r="S71" s="25"/>
      <c r="T71" s="25"/>
      <c r="U71" s="25"/>
      <c r="V71" s="25"/>
      <c r="W71" s="25"/>
      <c r="X71" s="25"/>
      <c r="Y71" s="25"/>
      <c r="Z71" s="25"/>
    </row>
    <row r="72" ht="12.75" customHeight="1">
      <c r="A72" s="406" t="s">
        <v>1275</v>
      </c>
      <c r="B72" s="407">
        <v>22.27</v>
      </c>
      <c r="C72" s="403">
        <v>0.0</v>
      </c>
      <c r="D72" s="403">
        <f t="shared" si="1"/>
        <v>0</v>
      </c>
      <c r="E72" s="401">
        <v>1.0</v>
      </c>
      <c r="F72" s="408">
        <f t="shared" si="2"/>
        <v>44.54</v>
      </c>
      <c r="G72" s="409">
        <v>1.0</v>
      </c>
      <c r="H72" s="59">
        <f t="shared" si="3"/>
        <v>44.54</v>
      </c>
      <c r="I72" s="25"/>
      <c r="J72" s="25"/>
      <c r="K72" s="25"/>
      <c r="L72" s="25"/>
      <c r="M72" s="25"/>
      <c r="N72" s="25"/>
      <c r="O72" s="25"/>
      <c r="P72" s="25"/>
      <c r="Q72" s="25"/>
      <c r="R72" s="25"/>
      <c r="S72" s="25"/>
      <c r="T72" s="25"/>
      <c r="U72" s="25"/>
      <c r="V72" s="25"/>
      <c r="W72" s="25"/>
      <c r="X72" s="25"/>
      <c r="Y72" s="25"/>
      <c r="Z72" s="25"/>
    </row>
    <row r="73" ht="12.75" customHeight="1">
      <c r="A73" s="406" t="s">
        <v>1276</v>
      </c>
      <c r="B73" s="407">
        <v>31.07</v>
      </c>
      <c r="C73" s="403">
        <v>0.93</v>
      </c>
      <c r="D73" s="403">
        <f t="shared" si="1"/>
        <v>57.7902</v>
      </c>
      <c r="E73" s="401">
        <v>2.0</v>
      </c>
      <c r="F73" s="408">
        <f t="shared" si="2"/>
        <v>124.28</v>
      </c>
      <c r="G73" s="409">
        <v>3.0</v>
      </c>
      <c r="H73" s="59">
        <f t="shared" si="3"/>
        <v>186.42</v>
      </c>
      <c r="I73" s="25"/>
      <c r="J73" s="25"/>
      <c r="K73" s="25"/>
      <c r="L73" s="25"/>
      <c r="M73" s="25"/>
      <c r="N73" s="25"/>
      <c r="O73" s="25"/>
      <c r="P73" s="25"/>
      <c r="Q73" s="25"/>
      <c r="R73" s="25"/>
      <c r="S73" s="25"/>
      <c r="T73" s="25"/>
      <c r="U73" s="25"/>
      <c r="V73" s="25"/>
      <c r="W73" s="25"/>
      <c r="X73" s="25"/>
      <c r="Y73" s="25"/>
      <c r="Z73" s="25"/>
    </row>
    <row r="74" ht="12.75" customHeight="1">
      <c r="A74" s="406" t="s">
        <v>1277</v>
      </c>
      <c r="B74" s="407">
        <v>201.78</v>
      </c>
      <c r="C74" s="403">
        <v>0.0</v>
      </c>
      <c r="D74" s="403">
        <f t="shared" si="1"/>
        <v>0</v>
      </c>
      <c r="E74" s="401">
        <v>0.0</v>
      </c>
      <c r="F74" s="408">
        <f t="shared" si="2"/>
        <v>0</v>
      </c>
      <c r="G74" s="409">
        <v>0.0</v>
      </c>
      <c r="H74" s="59">
        <f t="shared" si="3"/>
        <v>0</v>
      </c>
      <c r="I74" s="25"/>
      <c r="J74" s="25"/>
      <c r="K74" s="25"/>
      <c r="L74" s="25"/>
      <c r="M74" s="25"/>
      <c r="N74" s="25"/>
      <c r="O74" s="25"/>
      <c r="P74" s="25"/>
      <c r="Q74" s="25"/>
      <c r="R74" s="25"/>
      <c r="S74" s="25"/>
      <c r="T74" s="25"/>
      <c r="U74" s="25"/>
      <c r="V74" s="25"/>
      <c r="W74" s="25"/>
      <c r="X74" s="25"/>
      <c r="Y74" s="25"/>
      <c r="Z74" s="25"/>
    </row>
    <row r="75" ht="12.75" customHeight="1">
      <c r="A75" s="406" t="s">
        <v>1278</v>
      </c>
      <c r="B75" s="407">
        <v>272.97</v>
      </c>
      <c r="C75" s="403">
        <v>0.93</v>
      </c>
      <c r="D75" s="403">
        <f t="shared" si="1"/>
        <v>507.7242</v>
      </c>
      <c r="E75" s="401">
        <v>0.0</v>
      </c>
      <c r="F75" s="408">
        <f t="shared" si="2"/>
        <v>0</v>
      </c>
      <c r="G75" s="409">
        <v>0.0</v>
      </c>
      <c r="H75" s="59">
        <f t="shared" si="3"/>
        <v>0</v>
      </c>
      <c r="I75" s="25"/>
      <c r="J75" s="25"/>
      <c r="K75" s="25"/>
      <c r="L75" s="25"/>
      <c r="M75" s="25"/>
      <c r="N75" s="25"/>
      <c r="O75" s="25"/>
      <c r="P75" s="25"/>
      <c r="Q75" s="25"/>
      <c r="R75" s="25"/>
      <c r="S75" s="25"/>
      <c r="T75" s="25"/>
      <c r="U75" s="25"/>
      <c r="V75" s="25"/>
      <c r="W75" s="25"/>
      <c r="X75" s="25"/>
      <c r="Y75" s="25"/>
      <c r="Z75" s="25"/>
    </row>
    <row r="76" ht="12.75" customHeight="1">
      <c r="A76" s="406" t="s">
        <v>1279</v>
      </c>
      <c r="B76" s="407">
        <v>199.76</v>
      </c>
      <c r="C76" s="403">
        <v>0.93</v>
      </c>
      <c r="D76" s="403">
        <f t="shared" si="1"/>
        <v>371.5536</v>
      </c>
      <c r="E76" s="401">
        <v>0.0</v>
      </c>
      <c r="F76" s="408">
        <f t="shared" si="2"/>
        <v>0</v>
      </c>
      <c r="G76" s="409">
        <v>0.0</v>
      </c>
      <c r="H76" s="59">
        <f t="shared" si="3"/>
        <v>0</v>
      </c>
      <c r="I76" s="25"/>
      <c r="J76" s="25"/>
      <c r="K76" s="25"/>
      <c r="L76" s="25"/>
      <c r="M76" s="25"/>
      <c r="N76" s="25"/>
      <c r="O76" s="25"/>
      <c r="P76" s="25"/>
      <c r="Q76" s="25"/>
      <c r="R76" s="25"/>
      <c r="S76" s="25"/>
      <c r="T76" s="25"/>
      <c r="U76" s="25"/>
      <c r="V76" s="25"/>
      <c r="W76" s="25"/>
      <c r="X76" s="25"/>
      <c r="Y76" s="25"/>
      <c r="Z76" s="25"/>
    </row>
    <row r="77" ht="12.75" customHeight="1">
      <c r="A77" s="406" t="s">
        <v>1280</v>
      </c>
      <c r="B77" s="407">
        <v>227.38</v>
      </c>
      <c r="C77" s="403">
        <v>0.93</v>
      </c>
      <c r="D77" s="403">
        <f t="shared" si="1"/>
        <v>422.9268</v>
      </c>
      <c r="E77" s="401">
        <v>0.0</v>
      </c>
      <c r="F77" s="408">
        <f t="shared" si="2"/>
        <v>0</v>
      </c>
      <c r="G77" s="409">
        <v>0.0</v>
      </c>
      <c r="H77" s="59">
        <f t="shared" si="3"/>
        <v>0</v>
      </c>
      <c r="I77" s="25"/>
      <c r="J77" s="25"/>
      <c r="K77" s="25"/>
      <c r="L77" s="25"/>
      <c r="M77" s="25"/>
      <c r="N77" s="25"/>
      <c r="O77" s="25"/>
      <c r="P77" s="25"/>
      <c r="Q77" s="25"/>
      <c r="R77" s="25"/>
      <c r="S77" s="25"/>
      <c r="T77" s="25"/>
      <c r="U77" s="25"/>
      <c r="V77" s="25"/>
      <c r="W77" s="25"/>
      <c r="X77" s="25"/>
      <c r="Y77" s="25"/>
      <c r="Z77" s="25"/>
    </row>
    <row r="78" ht="12.75" customHeight="1">
      <c r="A78" s="406" t="s">
        <v>1281</v>
      </c>
      <c r="B78" s="407">
        <v>65.66</v>
      </c>
      <c r="C78" s="403">
        <v>0.0</v>
      </c>
      <c r="D78" s="403">
        <f t="shared" si="1"/>
        <v>0</v>
      </c>
      <c r="E78" s="408">
        <v>0.0</v>
      </c>
      <c r="F78" s="408">
        <f t="shared" si="2"/>
        <v>0</v>
      </c>
      <c r="G78" s="409">
        <v>1.0</v>
      </c>
      <c r="H78" s="59">
        <f t="shared" si="3"/>
        <v>131.32</v>
      </c>
      <c r="I78" s="25"/>
      <c r="J78" s="25"/>
      <c r="K78" s="25"/>
      <c r="L78" s="25"/>
      <c r="M78" s="25"/>
      <c r="N78" s="25"/>
      <c r="O78" s="25"/>
      <c r="P78" s="25"/>
      <c r="Q78" s="25"/>
      <c r="R78" s="25"/>
      <c r="S78" s="25"/>
      <c r="T78" s="25"/>
      <c r="U78" s="25"/>
      <c r="V78" s="25"/>
      <c r="W78" s="25"/>
      <c r="X78" s="25"/>
      <c r="Y78" s="25"/>
      <c r="Z78" s="25"/>
    </row>
    <row r="79" ht="12.75" customHeight="1">
      <c r="A79" s="406" t="s">
        <v>1282</v>
      </c>
      <c r="B79" s="407">
        <v>52.57</v>
      </c>
      <c r="C79" s="403">
        <v>0.93</v>
      </c>
      <c r="D79" s="403">
        <f t="shared" si="1"/>
        <v>97.7802</v>
      </c>
      <c r="E79" s="401">
        <v>0.0</v>
      </c>
      <c r="F79" s="408">
        <f t="shared" si="2"/>
        <v>0</v>
      </c>
      <c r="G79" s="409">
        <v>0.0</v>
      </c>
      <c r="H79" s="59">
        <f t="shared" si="3"/>
        <v>0</v>
      </c>
      <c r="I79" s="25"/>
      <c r="J79" s="25"/>
      <c r="K79" s="25"/>
      <c r="L79" s="25"/>
      <c r="M79" s="25"/>
      <c r="N79" s="25"/>
      <c r="O79" s="25"/>
      <c r="P79" s="25"/>
      <c r="Q79" s="25"/>
      <c r="R79" s="25"/>
      <c r="S79" s="25"/>
      <c r="T79" s="25"/>
      <c r="U79" s="25"/>
      <c r="V79" s="25"/>
      <c r="W79" s="25"/>
      <c r="X79" s="25"/>
      <c r="Y79" s="25"/>
      <c r="Z79" s="25"/>
    </row>
    <row r="80" ht="12.75" customHeight="1">
      <c r="A80" s="406" t="s">
        <v>1283</v>
      </c>
      <c r="B80" s="407">
        <v>396.75</v>
      </c>
      <c r="C80" s="403">
        <v>0.0</v>
      </c>
      <c r="D80" s="403">
        <f t="shared" si="1"/>
        <v>0</v>
      </c>
      <c r="E80" s="401">
        <v>0.0</v>
      </c>
      <c r="F80" s="408">
        <f t="shared" si="2"/>
        <v>0</v>
      </c>
      <c r="G80" s="409">
        <v>0.0</v>
      </c>
      <c r="H80" s="59">
        <f t="shared" si="3"/>
        <v>0</v>
      </c>
      <c r="I80" s="25"/>
      <c r="J80" s="25"/>
      <c r="K80" s="25"/>
      <c r="L80" s="25"/>
      <c r="M80" s="25"/>
      <c r="N80" s="25"/>
      <c r="O80" s="25"/>
      <c r="P80" s="25"/>
      <c r="Q80" s="25"/>
      <c r="R80" s="25"/>
      <c r="S80" s="25"/>
      <c r="T80" s="25"/>
      <c r="U80" s="25"/>
      <c r="V80" s="25"/>
      <c r="W80" s="25"/>
      <c r="X80" s="25"/>
      <c r="Y80" s="25"/>
      <c r="Z80" s="25"/>
    </row>
    <row r="81" ht="12.75" customHeight="1">
      <c r="A81" s="406" t="s">
        <v>1284</v>
      </c>
      <c r="B81" s="407">
        <v>357.4</v>
      </c>
      <c r="C81" s="403">
        <v>0.0</v>
      </c>
      <c r="D81" s="403">
        <f t="shared" si="1"/>
        <v>0</v>
      </c>
      <c r="E81" s="408">
        <v>0.0</v>
      </c>
      <c r="F81" s="408">
        <f t="shared" si="2"/>
        <v>0</v>
      </c>
      <c r="G81" s="409">
        <v>1.0</v>
      </c>
      <c r="H81" s="59">
        <f t="shared" si="3"/>
        <v>714.8</v>
      </c>
      <c r="I81" s="25"/>
      <c r="J81" s="25"/>
      <c r="K81" s="25"/>
      <c r="L81" s="25"/>
      <c r="M81" s="25"/>
      <c r="N81" s="25"/>
      <c r="O81" s="25"/>
      <c r="P81" s="25"/>
      <c r="Q81" s="25"/>
      <c r="R81" s="25"/>
      <c r="S81" s="25"/>
      <c r="T81" s="25"/>
      <c r="U81" s="25"/>
      <c r="V81" s="25"/>
      <c r="W81" s="25"/>
      <c r="X81" s="25"/>
      <c r="Y81" s="25"/>
      <c r="Z81" s="25"/>
    </row>
    <row r="82" ht="12.75" customHeight="1">
      <c r="A82" s="406" t="s">
        <v>1285</v>
      </c>
      <c r="B82" s="407">
        <v>467.84</v>
      </c>
      <c r="C82" s="403">
        <v>0.93</v>
      </c>
      <c r="D82" s="403">
        <f t="shared" si="1"/>
        <v>870.1824</v>
      </c>
      <c r="E82" s="401">
        <v>0.0</v>
      </c>
      <c r="F82" s="408">
        <f t="shared" si="2"/>
        <v>0</v>
      </c>
      <c r="G82" s="409">
        <v>0.0</v>
      </c>
      <c r="H82" s="59">
        <f t="shared" si="3"/>
        <v>0</v>
      </c>
      <c r="I82" s="25"/>
      <c r="J82" s="25"/>
      <c r="K82" s="25"/>
      <c r="L82" s="25"/>
      <c r="M82" s="25"/>
      <c r="N82" s="25"/>
      <c r="O82" s="25"/>
      <c r="P82" s="25"/>
      <c r="Q82" s="25"/>
      <c r="R82" s="25"/>
      <c r="S82" s="25"/>
      <c r="T82" s="25"/>
      <c r="U82" s="25"/>
      <c r="V82" s="25"/>
      <c r="W82" s="25"/>
      <c r="X82" s="25"/>
      <c r="Y82" s="25"/>
      <c r="Z82" s="25"/>
    </row>
    <row r="83" ht="12.75" customHeight="1">
      <c r="A83" s="406" t="s">
        <v>1286</v>
      </c>
      <c r="B83" s="407">
        <v>148.2</v>
      </c>
      <c r="C83" s="403">
        <v>0.93</v>
      </c>
      <c r="D83" s="403">
        <f t="shared" si="1"/>
        <v>275.652</v>
      </c>
      <c r="E83" s="401">
        <v>0.0</v>
      </c>
      <c r="F83" s="408">
        <f t="shared" si="2"/>
        <v>0</v>
      </c>
      <c r="G83" s="409">
        <v>0.0</v>
      </c>
      <c r="H83" s="59">
        <f t="shared" si="3"/>
        <v>0</v>
      </c>
      <c r="I83" s="25"/>
      <c r="J83" s="25"/>
      <c r="K83" s="25"/>
      <c r="L83" s="25"/>
      <c r="M83" s="25"/>
      <c r="N83" s="25"/>
      <c r="O83" s="25"/>
      <c r="P83" s="25"/>
      <c r="Q83" s="25"/>
      <c r="R83" s="25"/>
      <c r="S83" s="25"/>
      <c r="T83" s="25"/>
      <c r="U83" s="25"/>
      <c r="V83" s="25"/>
      <c r="W83" s="25"/>
      <c r="X83" s="25"/>
      <c r="Y83" s="25"/>
      <c r="Z83" s="25"/>
    </row>
    <row r="84" ht="12.75" customHeight="1">
      <c r="A84" s="406" t="s">
        <v>1287</v>
      </c>
      <c r="B84" s="407">
        <v>12.3</v>
      </c>
      <c r="C84" s="403">
        <v>0.93</v>
      </c>
      <c r="D84" s="403">
        <f t="shared" si="1"/>
        <v>22.878</v>
      </c>
      <c r="E84" s="401">
        <v>6.4</v>
      </c>
      <c r="F84" s="408">
        <f t="shared" si="2"/>
        <v>157.44</v>
      </c>
      <c r="G84" s="410">
        <v>8.737</v>
      </c>
      <c r="H84" s="59">
        <f t="shared" si="3"/>
        <v>214.9302</v>
      </c>
      <c r="I84" s="25"/>
      <c r="J84" s="25"/>
      <c r="K84" s="25"/>
      <c r="L84" s="25"/>
      <c r="M84" s="25"/>
      <c r="N84" s="25"/>
      <c r="O84" s="25"/>
      <c r="P84" s="25"/>
      <c r="Q84" s="25"/>
      <c r="R84" s="25"/>
      <c r="S84" s="25"/>
      <c r="T84" s="25"/>
      <c r="U84" s="25"/>
      <c r="V84" s="25"/>
      <c r="W84" s="25"/>
      <c r="X84" s="25"/>
      <c r="Y84" s="25"/>
      <c r="Z84" s="25"/>
    </row>
    <row r="85" ht="12.75" customHeight="1">
      <c r="A85" s="406" t="s">
        <v>1288</v>
      </c>
      <c r="B85" s="407">
        <v>190.94</v>
      </c>
      <c r="C85" s="403">
        <v>0.93</v>
      </c>
      <c r="D85" s="403">
        <f t="shared" si="1"/>
        <v>355.1484</v>
      </c>
      <c r="E85" s="401">
        <v>0.0</v>
      </c>
      <c r="F85" s="408">
        <f t="shared" si="2"/>
        <v>0</v>
      </c>
      <c r="G85" s="409">
        <v>0.0</v>
      </c>
      <c r="H85" s="59">
        <f t="shared" si="3"/>
        <v>0</v>
      </c>
      <c r="I85" s="25"/>
      <c r="J85" s="25"/>
      <c r="K85" s="25"/>
      <c r="L85" s="25"/>
      <c r="M85" s="25"/>
      <c r="N85" s="25"/>
      <c r="O85" s="25"/>
      <c r="P85" s="25"/>
      <c r="Q85" s="25"/>
      <c r="R85" s="25"/>
      <c r="S85" s="25"/>
      <c r="T85" s="25"/>
      <c r="U85" s="25"/>
      <c r="V85" s="25"/>
      <c r="W85" s="25"/>
      <c r="X85" s="25"/>
      <c r="Y85" s="25"/>
      <c r="Z85" s="25"/>
    </row>
    <row r="86" ht="12.75" customHeight="1">
      <c r="A86" s="406" t="s">
        <v>1289</v>
      </c>
      <c r="B86" s="407">
        <v>16.83</v>
      </c>
      <c r="C86" s="403">
        <v>2.78</v>
      </c>
      <c r="D86" s="403">
        <f t="shared" si="1"/>
        <v>93.5748</v>
      </c>
      <c r="E86" s="401">
        <v>4.2</v>
      </c>
      <c r="F86" s="408">
        <f t="shared" si="2"/>
        <v>141.372</v>
      </c>
      <c r="G86" s="409">
        <v>7.5</v>
      </c>
      <c r="H86" s="59">
        <f t="shared" si="3"/>
        <v>252.45</v>
      </c>
      <c r="I86" s="25"/>
      <c r="J86" s="25"/>
      <c r="K86" s="25"/>
      <c r="L86" s="25"/>
      <c r="M86" s="25"/>
      <c r="N86" s="25"/>
      <c r="O86" s="25"/>
      <c r="P86" s="25"/>
      <c r="Q86" s="25"/>
      <c r="R86" s="25"/>
      <c r="S86" s="25"/>
      <c r="T86" s="25"/>
      <c r="U86" s="25"/>
      <c r="V86" s="25"/>
      <c r="W86" s="25"/>
      <c r="X86" s="25"/>
      <c r="Y86" s="25"/>
      <c r="Z86" s="25"/>
    </row>
    <row r="87" ht="12.75" customHeight="1">
      <c r="A87" s="406" t="s">
        <v>1290</v>
      </c>
      <c r="B87" s="407">
        <v>451.45</v>
      </c>
      <c r="C87" s="403">
        <v>0.93</v>
      </c>
      <c r="D87" s="403">
        <f t="shared" si="1"/>
        <v>839.697</v>
      </c>
      <c r="E87" s="401">
        <v>0.0</v>
      </c>
      <c r="F87" s="408">
        <f t="shared" si="2"/>
        <v>0</v>
      </c>
      <c r="G87" s="409">
        <v>0.0</v>
      </c>
      <c r="H87" s="59">
        <f t="shared" si="3"/>
        <v>0</v>
      </c>
      <c r="I87" s="25"/>
      <c r="J87" s="25"/>
      <c r="K87" s="25"/>
      <c r="L87" s="25"/>
      <c r="M87" s="25"/>
      <c r="N87" s="25"/>
      <c r="O87" s="25"/>
      <c r="P87" s="25"/>
      <c r="Q87" s="25"/>
      <c r="R87" s="25"/>
      <c r="S87" s="25"/>
      <c r="T87" s="25"/>
      <c r="U87" s="25"/>
      <c r="V87" s="25"/>
      <c r="W87" s="25"/>
      <c r="X87" s="25"/>
      <c r="Y87" s="25"/>
      <c r="Z87" s="25"/>
    </row>
    <row r="88" ht="12.75" customHeight="1">
      <c r="A88" s="406" t="s">
        <v>1291</v>
      </c>
      <c r="B88" s="407">
        <v>206.06</v>
      </c>
      <c r="C88" s="403">
        <v>0.0</v>
      </c>
      <c r="D88" s="403">
        <f t="shared" si="1"/>
        <v>0</v>
      </c>
      <c r="E88" s="401">
        <v>0.0</v>
      </c>
      <c r="F88" s="408">
        <f t="shared" si="2"/>
        <v>0</v>
      </c>
      <c r="G88" s="409">
        <v>0.0</v>
      </c>
      <c r="H88" s="59">
        <f t="shared" si="3"/>
        <v>0</v>
      </c>
      <c r="I88" s="25"/>
      <c r="J88" s="25"/>
      <c r="K88" s="25"/>
      <c r="L88" s="25"/>
      <c r="M88" s="25"/>
      <c r="N88" s="25"/>
      <c r="O88" s="25"/>
      <c r="P88" s="25"/>
      <c r="Q88" s="25"/>
      <c r="R88" s="25"/>
      <c r="S88" s="25"/>
      <c r="T88" s="25"/>
      <c r="U88" s="25"/>
      <c r="V88" s="25"/>
      <c r="W88" s="25"/>
      <c r="X88" s="25"/>
      <c r="Y88" s="25"/>
      <c r="Z88" s="25"/>
    </row>
    <row r="89" ht="12.75" customHeight="1">
      <c r="A89" s="406" t="s">
        <v>1292</v>
      </c>
      <c r="B89" s="407">
        <v>239.41</v>
      </c>
      <c r="C89" s="403">
        <v>0.93</v>
      </c>
      <c r="D89" s="403">
        <f t="shared" si="1"/>
        <v>445.3026</v>
      </c>
      <c r="E89" s="401">
        <v>0.0</v>
      </c>
      <c r="F89" s="408">
        <f t="shared" si="2"/>
        <v>0</v>
      </c>
      <c r="G89" s="409">
        <v>0.0</v>
      </c>
      <c r="H89" s="59">
        <f t="shared" si="3"/>
        <v>0</v>
      </c>
      <c r="I89" s="25"/>
      <c r="J89" s="25"/>
      <c r="K89" s="25"/>
      <c r="L89" s="25"/>
      <c r="M89" s="25"/>
      <c r="N89" s="25"/>
      <c r="O89" s="25"/>
      <c r="P89" s="25"/>
      <c r="Q89" s="25"/>
      <c r="R89" s="25"/>
      <c r="S89" s="25"/>
      <c r="T89" s="25"/>
      <c r="U89" s="25"/>
      <c r="V89" s="25"/>
      <c r="W89" s="25"/>
      <c r="X89" s="25"/>
      <c r="Y89" s="25"/>
      <c r="Z89" s="25"/>
    </row>
    <row r="90" ht="12.75" customHeight="1">
      <c r="A90" s="406" t="s">
        <v>1293</v>
      </c>
      <c r="B90" s="407">
        <v>262.1</v>
      </c>
      <c r="C90" s="403">
        <v>0.0</v>
      </c>
      <c r="D90" s="403">
        <f t="shared" si="1"/>
        <v>0</v>
      </c>
      <c r="E90" s="401">
        <v>0.0</v>
      </c>
      <c r="F90" s="408">
        <f t="shared" si="2"/>
        <v>0</v>
      </c>
      <c r="G90" s="409">
        <v>0.0</v>
      </c>
      <c r="H90" s="59">
        <f t="shared" si="3"/>
        <v>0</v>
      </c>
      <c r="I90" s="25"/>
      <c r="J90" s="25"/>
      <c r="K90" s="25"/>
      <c r="L90" s="25"/>
      <c r="M90" s="25"/>
      <c r="N90" s="25"/>
      <c r="O90" s="25"/>
      <c r="P90" s="25"/>
      <c r="Q90" s="25"/>
      <c r="R90" s="25"/>
      <c r="S90" s="25"/>
      <c r="T90" s="25"/>
      <c r="U90" s="25"/>
      <c r="V90" s="25"/>
      <c r="W90" s="25"/>
      <c r="X90" s="25"/>
      <c r="Y90" s="25"/>
      <c r="Z90" s="25"/>
    </row>
    <row r="91" ht="12.75" customHeight="1">
      <c r="A91" s="406" t="s">
        <v>1294</v>
      </c>
      <c r="B91" s="407">
        <v>494.22</v>
      </c>
      <c r="C91" s="403">
        <v>0.0</v>
      </c>
      <c r="D91" s="403">
        <f t="shared" si="1"/>
        <v>0</v>
      </c>
      <c r="E91" s="401">
        <v>0.0</v>
      </c>
      <c r="F91" s="408">
        <f t="shared" si="2"/>
        <v>0</v>
      </c>
      <c r="G91" s="409">
        <v>0.0</v>
      </c>
      <c r="H91" s="59">
        <f t="shared" si="3"/>
        <v>0</v>
      </c>
      <c r="I91" s="25"/>
      <c r="J91" s="25"/>
      <c r="K91" s="25"/>
      <c r="L91" s="25"/>
      <c r="M91" s="25"/>
      <c r="N91" s="25"/>
      <c r="O91" s="25"/>
      <c r="P91" s="25"/>
      <c r="Q91" s="25"/>
      <c r="R91" s="25"/>
      <c r="S91" s="25"/>
      <c r="T91" s="25"/>
      <c r="U91" s="25"/>
      <c r="V91" s="25"/>
      <c r="W91" s="25"/>
      <c r="X91" s="25"/>
      <c r="Y91" s="25"/>
      <c r="Z91" s="25"/>
    </row>
    <row r="92" ht="12.75" customHeight="1">
      <c r="A92" s="406" t="s">
        <v>1295</v>
      </c>
      <c r="B92" s="407">
        <v>190.66</v>
      </c>
      <c r="C92" s="403">
        <v>0.93</v>
      </c>
      <c r="D92" s="403">
        <f t="shared" si="1"/>
        <v>354.6276</v>
      </c>
      <c r="E92" s="401">
        <v>0.0</v>
      </c>
      <c r="F92" s="408">
        <f t="shared" si="2"/>
        <v>0</v>
      </c>
      <c r="G92" s="409">
        <v>0.0</v>
      </c>
      <c r="H92" s="59">
        <f t="shared" si="3"/>
        <v>0</v>
      </c>
      <c r="I92" s="25"/>
      <c r="J92" s="25"/>
      <c r="K92" s="25"/>
      <c r="L92" s="25"/>
      <c r="M92" s="25"/>
      <c r="N92" s="25"/>
      <c r="O92" s="25"/>
      <c r="P92" s="25"/>
      <c r="Q92" s="25"/>
      <c r="R92" s="25"/>
      <c r="S92" s="25"/>
      <c r="T92" s="25"/>
      <c r="U92" s="25"/>
      <c r="V92" s="25"/>
      <c r="W92" s="25"/>
      <c r="X92" s="25"/>
      <c r="Y92" s="25"/>
      <c r="Z92" s="25"/>
    </row>
    <row r="93" ht="12.75" customHeight="1">
      <c r="A93" s="406" t="s">
        <v>1296</v>
      </c>
      <c r="B93" s="407">
        <v>34.62</v>
      </c>
      <c r="C93" s="403">
        <v>0.0</v>
      </c>
      <c r="D93" s="403">
        <f t="shared" si="1"/>
        <v>0</v>
      </c>
      <c r="E93" s="401">
        <v>0.5</v>
      </c>
      <c r="F93" s="408">
        <f t="shared" si="2"/>
        <v>34.62</v>
      </c>
      <c r="G93" s="409">
        <v>1.6</v>
      </c>
      <c r="H93" s="59">
        <f t="shared" si="3"/>
        <v>110.784</v>
      </c>
      <c r="I93" s="25"/>
      <c r="J93" s="25"/>
      <c r="K93" s="25"/>
      <c r="L93" s="25"/>
      <c r="M93" s="25"/>
      <c r="N93" s="25"/>
      <c r="O93" s="25"/>
      <c r="P93" s="25"/>
      <c r="Q93" s="25"/>
      <c r="R93" s="25"/>
      <c r="S93" s="25"/>
      <c r="T93" s="25"/>
      <c r="U93" s="25"/>
      <c r="V93" s="25"/>
      <c r="W93" s="25"/>
      <c r="X93" s="25"/>
      <c r="Y93" s="25"/>
      <c r="Z93" s="25"/>
    </row>
    <row r="94" ht="12.75" customHeight="1">
      <c r="A94" s="406" t="s">
        <v>1297</v>
      </c>
      <c r="B94" s="407">
        <v>209.95</v>
      </c>
      <c r="C94" s="403">
        <v>0.0</v>
      </c>
      <c r="D94" s="403">
        <f t="shared" si="1"/>
        <v>0</v>
      </c>
      <c r="E94" s="401">
        <v>0.0</v>
      </c>
      <c r="F94" s="408">
        <f t="shared" si="2"/>
        <v>0</v>
      </c>
      <c r="G94" s="409">
        <v>0.0</v>
      </c>
      <c r="H94" s="59">
        <f t="shared" si="3"/>
        <v>0</v>
      </c>
      <c r="I94" s="25"/>
      <c r="J94" s="25"/>
      <c r="K94" s="25"/>
      <c r="L94" s="25"/>
      <c r="M94" s="25"/>
      <c r="N94" s="25"/>
      <c r="O94" s="25"/>
      <c r="P94" s="25"/>
      <c r="Q94" s="25"/>
      <c r="R94" s="25"/>
      <c r="S94" s="25"/>
      <c r="T94" s="25"/>
      <c r="U94" s="25"/>
      <c r="V94" s="25"/>
      <c r="W94" s="25"/>
      <c r="X94" s="25"/>
      <c r="Y94" s="25"/>
      <c r="Z94" s="25"/>
    </row>
    <row r="95" ht="12.75" customHeight="1">
      <c r="A95" s="406" t="s">
        <v>1298</v>
      </c>
      <c r="B95" s="407">
        <v>2.5</v>
      </c>
      <c r="C95" s="403">
        <v>892.5</v>
      </c>
      <c r="D95" s="403">
        <f t="shared" si="1"/>
        <v>4462.5</v>
      </c>
      <c r="E95" s="401">
        <v>240.9</v>
      </c>
      <c r="F95" s="408">
        <f t="shared" si="2"/>
        <v>1204.5</v>
      </c>
      <c r="G95" s="410">
        <v>433.354</v>
      </c>
      <c r="H95" s="59">
        <f t="shared" si="3"/>
        <v>2166.77</v>
      </c>
      <c r="I95" s="25"/>
      <c r="J95" s="25"/>
      <c r="K95" s="25"/>
      <c r="L95" s="25"/>
      <c r="M95" s="25"/>
      <c r="N95" s="25"/>
      <c r="O95" s="25"/>
      <c r="P95" s="25"/>
      <c r="Q95" s="25"/>
      <c r="R95" s="25"/>
      <c r="S95" s="25"/>
      <c r="T95" s="25"/>
      <c r="U95" s="25"/>
      <c r="V95" s="25"/>
      <c r="W95" s="25"/>
      <c r="X95" s="25"/>
      <c r="Y95" s="25"/>
      <c r="Z95" s="25"/>
    </row>
    <row r="96" ht="12.75" customHeight="1">
      <c r="A96" s="406" t="s">
        <v>1299</v>
      </c>
      <c r="B96" s="407">
        <v>207.64</v>
      </c>
      <c r="C96" s="403">
        <v>0.0</v>
      </c>
      <c r="D96" s="403">
        <f t="shared" si="1"/>
        <v>0</v>
      </c>
      <c r="E96" s="401">
        <v>0.0</v>
      </c>
      <c r="F96" s="408">
        <f t="shared" si="2"/>
        <v>0</v>
      </c>
      <c r="G96" s="409">
        <v>0.0</v>
      </c>
      <c r="H96" s="59">
        <f t="shared" si="3"/>
        <v>0</v>
      </c>
      <c r="I96" s="25"/>
      <c r="J96" s="25"/>
      <c r="K96" s="25"/>
      <c r="L96" s="25"/>
      <c r="M96" s="25"/>
      <c r="N96" s="25"/>
      <c r="O96" s="25"/>
      <c r="P96" s="25"/>
      <c r="Q96" s="25"/>
      <c r="R96" s="25"/>
      <c r="S96" s="25"/>
      <c r="T96" s="25"/>
      <c r="U96" s="25"/>
      <c r="V96" s="25"/>
      <c r="W96" s="25"/>
      <c r="X96" s="25"/>
      <c r="Y96" s="25"/>
      <c r="Z96" s="25"/>
    </row>
    <row r="97" ht="12.75" customHeight="1">
      <c r="A97" s="406" t="s">
        <v>1300</v>
      </c>
      <c r="B97" s="407">
        <v>238.12</v>
      </c>
      <c r="C97" s="403">
        <v>0.93</v>
      </c>
      <c r="D97" s="403">
        <f t="shared" si="1"/>
        <v>442.9032</v>
      </c>
      <c r="E97" s="401">
        <v>0.0</v>
      </c>
      <c r="F97" s="408">
        <f t="shared" si="2"/>
        <v>0</v>
      </c>
      <c r="G97" s="409">
        <v>0.0</v>
      </c>
      <c r="H97" s="59">
        <f t="shared" si="3"/>
        <v>0</v>
      </c>
      <c r="I97" s="25"/>
      <c r="J97" s="25"/>
      <c r="K97" s="25"/>
      <c r="L97" s="25"/>
      <c r="M97" s="25"/>
      <c r="N97" s="25"/>
      <c r="O97" s="25"/>
      <c r="P97" s="25"/>
      <c r="Q97" s="25"/>
      <c r="R97" s="25"/>
      <c r="S97" s="25"/>
      <c r="T97" s="25"/>
      <c r="U97" s="25"/>
      <c r="V97" s="25"/>
      <c r="W97" s="25"/>
      <c r="X97" s="25"/>
      <c r="Y97" s="25"/>
      <c r="Z97" s="25"/>
    </row>
    <row r="98" ht="12.75" customHeight="1">
      <c r="A98" s="406" t="s">
        <v>1301</v>
      </c>
      <c r="B98" s="407">
        <v>220.07</v>
      </c>
      <c r="C98" s="403">
        <v>0.93</v>
      </c>
      <c r="D98" s="403">
        <f t="shared" si="1"/>
        <v>409.3302</v>
      </c>
      <c r="E98" s="401">
        <v>0.0</v>
      </c>
      <c r="F98" s="408">
        <f t="shared" si="2"/>
        <v>0</v>
      </c>
      <c r="G98" s="409">
        <v>0.0</v>
      </c>
      <c r="H98" s="59">
        <f t="shared" si="3"/>
        <v>0</v>
      </c>
      <c r="I98" s="25"/>
      <c r="J98" s="25"/>
      <c r="K98" s="25"/>
      <c r="L98" s="25"/>
      <c r="M98" s="25"/>
      <c r="N98" s="25"/>
      <c r="O98" s="25"/>
      <c r="P98" s="25"/>
      <c r="Q98" s="25"/>
      <c r="R98" s="25"/>
      <c r="S98" s="25"/>
      <c r="T98" s="25"/>
      <c r="U98" s="25"/>
      <c r="V98" s="25"/>
      <c r="W98" s="25"/>
      <c r="X98" s="25"/>
      <c r="Y98" s="25"/>
      <c r="Z98" s="25"/>
    </row>
    <row r="99" ht="12.75" customHeight="1">
      <c r="A99" s="406" t="s">
        <v>1302</v>
      </c>
      <c r="B99" s="407">
        <v>29.07</v>
      </c>
      <c r="C99" s="403">
        <v>0.0</v>
      </c>
      <c r="D99" s="403">
        <f t="shared" si="1"/>
        <v>0</v>
      </c>
      <c r="E99" s="401">
        <v>1.0</v>
      </c>
      <c r="F99" s="408">
        <f t="shared" si="2"/>
        <v>58.14</v>
      </c>
      <c r="G99" s="409">
        <v>1.0</v>
      </c>
      <c r="H99" s="59">
        <f t="shared" si="3"/>
        <v>58.14</v>
      </c>
      <c r="I99" s="25"/>
      <c r="J99" s="25"/>
      <c r="K99" s="25"/>
      <c r="L99" s="25"/>
      <c r="M99" s="25"/>
      <c r="N99" s="25"/>
      <c r="O99" s="25"/>
      <c r="P99" s="25"/>
      <c r="Q99" s="25"/>
      <c r="R99" s="25"/>
      <c r="S99" s="25"/>
      <c r="T99" s="25"/>
      <c r="U99" s="25"/>
      <c r="V99" s="25"/>
      <c r="W99" s="25"/>
      <c r="X99" s="25"/>
      <c r="Y99" s="25"/>
      <c r="Z99" s="25"/>
    </row>
    <row r="100" ht="12.75" customHeight="1">
      <c r="A100" s="406" t="s">
        <v>1303</v>
      </c>
      <c r="B100" s="407">
        <v>139.79</v>
      </c>
      <c r="C100" s="403">
        <v>0.0</v>
      </c>
      <c r="D100" s="403">
        <f t="shared" si="1"/>
        <v>0</v>
      </c>
      <c r="E100" s="408">
        <v>0.0</v>
      </c>
      <c r="F100" s="408">
        <f t="shared" si="2"/>
        <v>0</v>
      </c>
      <c r="G100" s="409">
        <v>0.86</v>
      </c>
      <c r="H100" s="59">
        <f t="shared" si="3"/>
        <v>240.4388</v>
      </c>
      <c r="I100" s="25"/>
      <c r="J100" s="25"/>
      <c r="K100" s="25"/>
      <c r="L100" s="25"/>
      <c r="M100" s="25"/>
      <c r="N100" s="25"/>
      <c r="O100" s="25"/>
      <c r="P100" s="25"/>
      <c r="Q100" s="25"/>
      <c r="R100" s="25"/>
      <c r="S100" s="25"/>
      <c r="T100" s="25"/>
      <c r="U100" s="25"/>
      <c r="V100" s="25"/>
      <c r="W100" s="25"/>
      <c r="X100" s="25"/>
      <c r="Y100" s="25"/>
      <c r="Z100" s="25"/>
    </row>
    <row r="101" ht="12.75" customHeight="1">
      <c r="A101" s="406" t="s">
        <v>1304</v>
      </c>
      <c r="B101" s="407">
        <v>261.68</v>
      </c>
      <c r="C101" s="403">
        <v>0.93</v>
      </c>
      <c r="D101" s="403">
        <f t="shared" si="1"/>
        <v>486.7248</v>
      </c>
      <c r="E101" s="401">
        <v>0.0</v>
      </c>
      <c r="F101" s="408">
        <f t="shared" si="2"/>
        <v>0</v>
      </c>
      <c r="G101" s="409">
        <v>0.0</v>
      </c>
      <c r="H101" s="59">
        <f t="shared" si="3"/>
        <v>0</v>
      </c>
      <c r="I101" s="25"/>
      <c r="J101" s="25"/>
      <c r="K101" s="25"/>
      <c r="L101" s="25"/>
      <c r="M101" s="25"/>
      <c r="N101" s="25"/>
      <c r="O101" s="25"/>
      <c r="P101" s="25"/>
      <c r="Q101" s="25"/>
      <c r="R101" s="25"/>
      <c r="S101" s="25"/>
      <c r="T101" s="25"/>
      <c r="U101" s="25"/>
      <c r="V101" s="25"/>
      <c r="W101" s="25"/>
      <c r="X101" s="25"/>
      <c r="Y101" s="25"/>
      <c r="Z101" s="25"/>
    </row>
    <row r="102" ht="12.75" customHeight="1">
      <c r="A102" s="406" t="s">
        <v>1305</v>
      </c>
      <c r="B102" s="407">
        <v>92.65</v>
      </c>
      <c r="C102" s="403">
        <v>0.0</v>
      </c>
      <c r="D102" s="403">
        <f t="shared" si="1"/>
        <v>0</v>
      </c>
      <c r="E102" s="408">
        <v>0.0</v>
      </c>
      <c r="F102" s="408">
        <f t="shared" si="2"/>
        <v>0</v>
      </c>
      <c r="G102" s="409">
        <v>0.5</v>
      </c>
      <c r="H102" s="59">
        <f t="shared" si="3"/>
        <v>92.65</v>
      </c>
      <c r="I102" s="25"/>
      <c r="J102" s="25"/>
      <c r="K102" s="25"/>
      <c r="L102" s="25"/>
      <c r="M102" s="25"/>
      <c r="N102" s="25"/>
      <c r="O102" s="25"/>
      <c r="P102" s="25"/>
      <c r="Q102" s="25"/>
      <c r="R102" s="25"/>
      <c r="S102" s="25"/>
      <c r="T102" s="25"/>
      <c r="U102" s="25"/>
      <c r="V102" s="25"/>
      <c r="W102" s="25"/>
      <c r="X102" s="25"/>
      <c r="Y102" s="25"/>
      <c r="Z102" s="25"/>
    </row>
    <row r="103" ht="12.75" customHeight="1">
      <c r="A103" s="406" t="s">
        <v>1306</v>
      </c>
      <c r="B103" s="407">
        <v>70.87</v>
      </c>
      <c r="C103" s="403">
        <v>0.0</v>
      </c>
      <c r="D103" s="403">
        <f t="shared" si="1"/>
        <v>0</v>
      </c>
      <c r="E103" s="401">
        <v>0.0</v>
      </c>
      <c r="F103" s="408">
        <f t="shared" si="2"/>
        <v>0</v>
      </c>
      <c r="G103" s="409">
        <v>0.0</v>
      </c>
      <c r="H103" s="59">
        <f t="shared" si="3"/>
        <v>0</v>
      </c>
      <c r="I103" s="25"/>
      <c r="J103" s="25"/>
      <c r="K103" s="25"/>
      <c r="L103" s="25"/>
      <c r="M103" s="25"/>
      <c r="N103" s="25"/>
      <c r="O103" s="25"/>
      <c r="P103" s="25"/>
      <c r="Q103" s="25"/>
      <c r="R103" s="25"/>
      <c r="S103" s="25"/>
      <c r="T103" s="25"/>
      <c r="U103" s="25"/>
      <c r="V103" s="25"/>
      <c r="W103" s="25"/>
      <c r="X103" s="25"/>
      <c r="Y103" s="25"/>
      <c r="Z103" s="25"/>
    </row>
    <row r="104" ht="12.75" customHeight="1">
      <c r="A104" s="406" t="s">
        <v>1307</v>
      </c>
      <c r="B104" s="407">
        <v>130.66</v>
      </c>
      <c r="C104" s="403">
        <v>0.0</v>
      </c>
      <c r="D104" s="403">
        <f t="shared" si="1"/>
        <v>0</v>
      </c>
      <c r="E104" s="408">
        <v>0.0</v>
      </c>
      <c r="F104" s="408">
        <f t="shared" si="2"/>
        <v>0</v>
      </c>
      <c r="G104" s="409">
        <v>1.0</v>
      </c>
      <c r="H104" s="59">
        <f t="shared" si="3"/>
        <v>261.32</v>
      </c>
      <c r="I104" s="25"/>
      <c r="J104" s="25"/>
      <c r="K104" s="25"/>
      <c r="L104" s="25"/>
      <c r="M104" s="25"/>
      <c r="N104" s="25"/>
      <c r="O104" s="25"/>
      <c r="P104" s="25"/>
      <c r="Q104" s="25"/>
      <c r="R104" s="25"/>
      <c r="S104" s="25"/>
      <c r="T104" s="25"/>
      <c r="U104" s="25"/>
      <c r="V104" s="25"/>
      <c r="W104" s="25"/>
      <c r="X104" s="25"/>
      <c r="Y104" s="25"/>
      <c r="Z104" s="25"/>
    </row>
    <row r="105" ht="12.75" customHeight="1">
      <c r="A105" s="406" t="s">
        <v>1308</v>
      </c>
      <c r="B105" s="407">
        <v>37.58</v>
      </c>
      <c r="C105" s="403">
        <v>0.0</v>
      </c>
      <c r="D105" s="403">
        <f t="shared" si="1"/>
        <v>0</v>
      </c>
      <c r="E105" s="401">
        <v>2.0</v>
      </c>
      <c r="F105" s="408">
        <f t="shared" si="2"/>
        <v>150.32</v>
      </c>
      <c r="G105" s="409">
        <v>2.0</v>
      </c>
      <c r="H105" s="59">
        <f t="shared" si="3"/>
        <v>150.32</v>
      </c>
      <c r="I105" s="25"/>
      <c r="J105" s="25"/>
      <c r="K105" s="25"/>
      <c r="L105" s="25"/>
      <c r="M105" s="25"/>
      <c r="N105" s="25"/>
      <c r="O105" s="25"/>
      <c r="P105" s="25"/>
      <c r="Q105" s="25"/>
      <c r="R105" s="25"/>
      <c r="S105" s="25"/>
      <c r="T105" s="25"/>
      <c r="U105" s="25"/>
      <c r="V105" s="25"/>
      <c r="W105" s="25"/>
      <c r="X105" s="25"/>
      <c r="Y105" s="25"/>
      <c r="Z105" s="25"/>
    </row>
    <row r="106" ht="12.75" customHeight="1">
      <c r="A106" s="406" t="s">
        <v>1309</v>
      </c>
      <c r="B106" s="407">
        <v>26.12</v>
      </c>
      <c r="C106" s="403">
        <v>0.0</v>
      </c>
      <c r="D106" s="403">
        <f t="shared" si="1"/>
        <v>0</v>
      </c>
      <c r="E106" s="401">
        <v>4.0</v>
      </c>
      <c r="F106" s="408">
        <f t="shared" si="2"/>
        <v>208.96</v>
      </c>
      <c r="G106" s="409">
        <v>4.0</v>
      </c>
      <c r="H106" s="59">
        <f t="shared" si="3"/>
        <v>208.96</v>
      </c>
      <c r="I106" s="25"/>
      <c r="J106" s="25"/>
      <c r="K106" s="25"/>
      <c r="L106" s="25"/>
      <c r="M106" s="25"/>
      <c r="N106" s="25"/>
      <c r="O106" s="25"/>
      <c r="P106" s="25"/>
      <c r="Q106" s="25"/>
      <c r="R106" s="25"/>
      <c r="S106" s="25"/>
      <c r="T106" s="25"/>
      <c r="U106" s="25"/>
      <c r="V106" s="25"/>
      <c r="W106" s="25"/>
      <c r="X106" s="25"/>
      <c r="Y106" s="25"/>
      <c r="Z106" s="25"/>
    </row>
    <row r="107" ht="12.75" customHeight="1">
      <c r="A107" s="406" t="s">
        <v>1310</v>
      </c>
      <c r="B107" s="407">
        <v>27.19</v>
      </c>
      <c r="C107" s="403">
        <v>0.0</v>
      </c>
      <c r="D107" s="403">
        <f t="shared" si="1"/>
        <v>0</v>
      </c>
      <c r="E107" s="401">
        <v>0.0</v>
      </c>
      <c r="F107" s="408">
        <f t="shared" si="2"/>
        <v>0</v>
      </c>
      <c r="G107" s="409">
        <v>0.0</v>
      </c>
      <c r="H107" s="59">
        <f t="shared" si="3"/>
        <v>0</v>
      </c>
      <c r="I107" s="25"/>
      <c r="J107" s="25"/>
      <c r="K107" s="25"/>
      <c r="L107" s="25"/>
      <c r="M107" s="25"/>
      <c r="N107" s="25"/>
      <c r="O107" s="25"/>
      <c r="P107" s="25"/>
      <c r="Q107" s="25"/>
      <c r="R107" s="25"/>
      <c r="S107" s="25"/>
      <c r="T107" s="25"/>
      <c r="U107" s="25"/>
      <c r="V107" s="25"/>
      <c r="W107" s="25"/>
      <c r="X107" s="25"/>
      <c r="Y107" s="25"/>
      <c r="Z107" s="25"/>
    </row>
    <row r="108" ht="12.75" customHeight="1">
      <c r="A108" s="406" t="s">
        <v>1311</v>
      </c>
      <c r="B108" s="407">
        <v>352.09</v>
      </c>
      <c r="C108" s="403">
        <v>0.93</v>
      </c>
      <c r="D108" s="403">
        <f t="shared" si="1"/>
        <v>654.8874</v>
      </c>
      <c r="E108" s="401">
        <v>0.0</v>
      </c>
      <c r="F108" s="408">
        <f t="shared" si="2"/>
        <v>0</v>
      </c>
      <c r="G108" s="409">
        <v>0.0</v>
      </c>
      <c r="H108" s="59">
        <f t="shared" si="3"/>
        <v>0</v>
      </c>
      <c r="I108" s="25"/>
      <c r="J108" s="25"/>
      <c r="K108" s="25"/>
      <c r="L108" s="25"/>
      <c r="M108" s="25"/>
      <c r="N108" s="25"/>
      <c r="O108" s="25"/>
      <c r="P108" s="25"/>
      <c r="Q108" s="25"/>
      <c r="R108" s="25"/>
      <c r="S108" s="25"/>
      <c r="T108" s="25"/>
      <c r="U108" s="25"/>
      <c r="V108" s="25"/>
      <c r="W108" s="25"/>
      <c r="X108" s="25"/>
      <c r="Y108" s="25"/>
      <c r="Z108" s="25"/>
    </row>
    <row r="109" ht="12.75" customHeight="1">
      <c r="A109" s="406" t="s">
        <v>1312</v>
      </c>
      <c r="B109" s="407">
        <v>252.19</v>
      </c>
      <c r="C109" s="403">
        <v>0.0</v>
      </c>
      <c r="D109" s="403">
        <f t="shared" si="1"/>
        <v>0</v>
      </c>
      <c r="E109" s="401">
        <v>0.0</v>
      </c>
      <c r="F109" s="408">
        <f t="shared" si="2"/>
        <v>0</v>
      </c>
      <c r="G109" s="409">
        <v>0.0</v>
      </c>
      <c r="H109" s="59">
        <f t="shared" si="3"/>
        <v>0</v>
      </c>
      <c r="I109" s="25"/>
      <c r="J109" s="25"/>
      <c r="K109" s="25"/>
      <c r="L109" s="25"/>
      <c r="M109" s="25"/>
      <c r="N109" s="25"/>
      <c r="O109" s="25"/>
      <c r="P109" s="25"/>
      <c r="Q109" s="25"/>
      <c r="R109" s="25"/>
      <c r="S109" s="25"/>
      <c r="T109" s="25"/>
      <c r="U109" s="25"/>
      <c r="V109" s="25"/>
      <c r="W109" s="25"/>
      <c r="X109" s="25"/>
      <c r="Y109" s="25"/>
      <c r="Z109" s="25"/>
    </row>
    <row r="110" ht="12.75" customHeight="1">
      <c r="A110" s="406" t="s">
        <v>1313</v>
      </c>
      <c r="B110" s="407">
        <v>297.81</v>
      </c>
      <c r="C110" s="403">
        <v>0.0</v>
      </c>
      <c r="D110" s="403">
        <f t="shared" si="1"/>
        <v>0</v>
      </c>
      <c r="E110" s="401">
        <v>0.0</v>
      </c>
      <c r="F110" s="408">
        <f t="shared" si="2"/>
        <v>0</v>
      </c>
      <c r="G110" s="409">
        <v>0.0</v>
      </c>
      <c r="H110" s="59">
        <f t="shared" si="3"/>
        <v>0</v>
      </c>
      <c r="I110" s="25"/>
      <c r="J110" s="25"/>
      <c r="K110" s="25"/>
      <c r="L110" s="25"/>
      <c r="M110" s="25"/>
      <c r="N110" s="25"/>
      <c r="O110" s="25"/>
      <c r="P110" s="25"/>
      <c r="Q110" s="25"/>
      <c r="R110" s="25"/>
      <c r="S110" s="25"/>
      <c r="T110" s="25"/>
      <c r="U110" s="25"/>
      <c r="V110" s="25"/>
      <c r="W110" s="25"/>
      <c r="X110" s="25"/>
      <c r="Y110" s="25"/>
      <c r="Z110" s="25"/>
    </row>
    <row r="111" ht="12.75" customHeight="1">
      <c r="A111" s="406" t="s">
        <v>1314</v>
      </c>
      <c r="B111" s="407">
        <v>117.61</v>
      </c>
      <c r="C111" s="403">
        <v>0.93</v>
      </c>
      <c r="D111" s="403">
        <f t="shared" si="1"/>
        <v>218.7546</v>
      </c>
      <c r="E111" s="401">
        <v>0.0</v>
      </c>
      <c r="F111" s="408">
        <f t="shared" si="2"/>
        <v>0</v>
      </c>
      <c r="G111" s="409">
        <v>0.0</v>
      </c>
      <c r="H111" s="59">
        <f t="shared" si="3"/>
        <v>0</v>
      </c>
      <c r="I111" s="25"/>
      <c r="J111" s="25"/>
      <c r="K111" s="25"/>
      <c r="L111" s="25"/>
      <c r="M111" s="25"/>
      <c r="N111" s="25"/>
      <c r="O111" s="25"/>
      <c r="P111" s="25"/>
      <c r="Q111" s="25"/>
      <c r="R111" s="25"/>
      <c r="S111" s="25"/>
      <c r="T111" s="25"/>
      <c r="U111" s="25"/>
      <c r="V111" s="25"/>
      <c r="W111" s="25"/>
      <c r="X111" s="25"/>
      <c r="Y111" s="25"/>
      <c r="Z111" s="25"/>
    </row>
    <row r="112" ht="12.75" customHeight="1">
      <c r="A112" s="406" t="s">
        <v>1315</v>
      </c>
      <c r="B112" s="407">
        <v>181.6</v>
      </c>
      <c r="C112" s="403">
        <v>0.0</v>
      </c>
      <c r="D112" s="403">
        <f t="shared" si="1"/>
        <v>0</v>
      </c>
      <c r="E112" s="401">
        <v>0.0</v>
      </c>
      <c r="F112" s="408">
        <f t="shared" si="2"/>
        <v>0</v>
      </c>
      <c r="G112" s="409">
        <v>0.0</v>
      </c>
      <c r="H112" s="59">
        <f t="shared" si="3"/>
        <v>0</v>
      </c>
      <c r="I112" s="25"/>
      <c r="J112" s="25"/>
      <c r="K112" s="25"/>
      <c r="L112" s="25"/>
      <c r="M112" s="25"/>
      <c r="N112" s="25"/>
      <c r="O112" s="25"/>
      <c r="P112" s="25"/>
      <c r="Q112" s="25"/>
      <c r="R112" s="25"/>
      <c r="S112" s="25"/>
      <c r="T112" s="25"/>
      <c r="U112" s="25"/>
      <c r="V112" s="25"/>
      <c r="W112" s="25"/>
      <c r="X112" s="25"/>
      <c r="Y112" s="25"/>
      <c r="Z112" s="25"/>
    </row>
    <row r="113" ht="12.75" customHeight="1">
      <c r="A113" s="406" t="s">
        <v>1316</v>
      </c>
      <c r="B113" s="407">
        <v>9.79</v>
      </c>
      <c r="C113" s="403">
        <v>13.92</v>
      </c>
      <c r="D113" s="403">
        <f t="shared" si="1"/>
        <v>272.5536</v>
      </c>
      <c r="E113" s="401">
        <v>24.0</v>
      </c>
      <c r="F113" s="408">
        <f t="shared" si="2"/>
        <v>469.92</v>
      </c>
      <c r="G113" s="409">
        <v>33.16</v>
      </c>
      <c r="H113" s="59">
        <f t="shared" si="3"/>
        <v>649.2728</v>
      </c>
      <c r="I113" s="25"/>
      <c r="J113" s="25"/>
      <c r="K113" s="25"/>
      <c r="L113" s="25"/>
      <c r="M113" s="25"/>
      <c r="N113" s="25"/>
      <c r="O113" s="25"/>
      <c r="P113" s="25"/>
      <c r="Q113" s="25"/>
      <c r="R113" s="25"/>
      <c r="S113" s="25"/>
      <c r="T113" s="25"/>
      <c r="U113" s="25"/>
      <c r="V113" s="25"/>
      <c r="W113" s="25"/>
      <c r="X113" s="25"/>
      <c r="Y113" s="25"/>
      <c r="Z113" s="25"/>
    </row>
    <row r="114" ht="12.75" customHeight="1">
      <c r="A114" s="406" t="s">
        <v>1317</v>
      </c>
      <c r="B114" s="407">
        <v>268.06</v>
      </c>
      <c r="C114" s="403">
        <v>2.8</v>
      </c>
      <c r="D114" s="403">
        <f t="shared" si="1"/>
        <v>1501.136</v>
      </c>
      <c r="E114" s="401">
        <v>0.0</v>
      </c>
      <c r="F114" s="408">
        <f t="shared" si="2"/>
        <v>0</v>
      </c>
      <c r="G114" s="409">
        <v>3.0</v>
      </c>
      <c r="H114" s="59">
        <f t="shared" si="3"/>
        <v>1608.36</v>
      </c>
      <c r="I114" s="25"/>
      <c r="J114" s="25"/>
      <c r="K114" s="25"/>
      <c r="L114" s="25"/>
      <c r="M114" s="25"/>
      <c r="N114" s="25"/>
      <c r="O114" s="25"/>
      <c r="P114" s="25"/>
      <c r="Q114" s="25"/>
      <c r="R114" s="25"/>
      <c r="S114" s="25"/>
      <c r="T114" s="25"/>
      <c r="U114" s="25"/>
      <c r="V114" s="25"/>
      <c r="W114" s="25"/>
      <c r="X114" s="25"/>
      <c r="Y114" s="25"/>
      <c r="Z114" s="25"/>
    </row>
    <row r="115" ht="12.75" customHeight="1">
      <c r="A115" s="406" t="s">
        <v>1318</v>
      </c>
      <c r="B115" s="407">
        <v>172.94</v>
      </c>
      <c r="C115" s="403">
        <v>0.93</v>
      </c>
      <c r="D115" s="403">
        <f t="shared" si="1"/>
        <v>321.6684</v>
      </c>
      <c r="E115" s="401">
        <v>0.0</v>
      </c>
      <c r="F115" s="408">
        <f t="shared" si="2"/>
        <v>0</v>
      </c>
      <c r="G115" s="409">
        <v>0.0</v>
      </c>
      <c r="H115" s="59">
        <f t="shared" si="3"/>
        <v>0</v>
      </c>
      <c r="I115" s="25"/>
      <c r="J115" s="25"/>
      <c r="K115" s="25"/>
      <c r="L115" s="25"/>
      <c r="M115" s="25"/>
      <c r="N115" s="25"/>
      <c r="O115" s="25"/>
      <c r="P115" s="25"/>
      <c r="Q115" s="25"/>
      <c r="R115" s="25"/>
      <c r="S115" s="25"/>
      <c r="T115" s="25"/>
      <c r="U115" s="25"/>
      <c r="V115" s="25"/>
      <c r="W115" s="25"/>
      <c r="X115" s="25"/>
      <c r="Y115" s="25"/>
      <c r="Z115" s="25"/>
    </row>
    <row r="116" ht="12.75" customHeight="1">
      <c r="A116" s="406" t="s">
        <v>1319</v>
      </c>
      <c r="B116" s="407">
        <v>265.21</v>
      </c>
      <c r="C116" s="403">
        <v>0.0</v>
      </c>
      <c r="D116" s="403">
        <f t="shared" si="1"/>
        <v>0</v>
      </c>
      <c r="E116" s="401">
        <v>0.0</v>
      </c>
      <c r="F116" s="408">
        <f t="shared" si="2"/>
        <v>0</v>
      </c>
      <c r="G116" s="409">
        <v>0.0</v>
      </c>
      <c r="H116" s="59">
        <f t="shared" si="3"/>
        <v>0</v>
      </c>
      <c r="I116" s="25"/>
      <c r="J116" s="25"/>
      <c r="K116" s="25"/>
      <c r="L116" s="25"/>
      <c r="M116" s="25"/>
      <c r="N116" s="25"/>
      <c r="O116" s="25"/>
      <c r="P116" s="25"/>
      <c r="Q116" s="25"/>
      <c r="R116" s="25"/>
      <c r="S116" s="25"/>
      <c r="T116" s="25"/>
      <c r="U116" s="25"/>
      <c r="V116" s="25"/>
      <c r="W116" s="25"/>
      <c r="X116" s="25"/>
      <c r="Y116" s="25"/>
      <c r="Z116" s="25"/>
    </row>
    <row r="117" ht="12.75" customHeight="1">
      <c r="A117" s="406" t="s">
        <v>1320</v>
      </c>
      <c r="B117" s="407">
        <v>205.54</v>
      </c>
      <c r="C117" s="403">
        <v>0.93</v>
      </c>
      <c r="D117" s="403">
        <f t="shared" si="1"/>
        <v>382.3044</v>
      </c>
      <c r="E117" s="401">
        <v>0.0</v>
      </c>
      <c r="F117" s="408">
        <f t="shared" si="2"/>
        <v>0</v>
      </c>
      <c r="G117" s="409">
        <v>0.0</v>
      </c>
      <c r="H117" s="59">
        <f t="shared" si="3"/>
        <v>0</v>
      </c>
      <c r="I117" s="25"/>
      <c r="J117" s="25"/>
      <c r="K117" s="25"/>
      <c r="L117" s="25"/>
      <c r="M117" s="25"/>
      <c r="N117" s="25"/>
      <c r="O117" s="25"/>
      <c r="P117" s="25"/>
      <c r="Q117" s="25"/>
      <c r="R117" s="25"/>
      <c r="S117" s="25"/>
      <c r="T117" s="25"/>
      <c r="U117" s="25"/>
      <c r="V117" s="25"/>
      <c r="W117" s="25"/>
      <c r="X117" s="25"/>
      <c r="Y117" s="25"/>
      <c r="Z117" s="25"/>
    </row>
    <row r="118" ht="12.75" customHeight="1">
      <c r="A118" s="406" t="s">
        <v>1321</v>
      </c>
      <c r="B118" s="407">
        <v>36.05</v>
      </c>
      <c r="C118" s="403">
        <v>0.0</v>
      </c>
      <c r="D118" s="403">
        <f t="shared" si="1"/>
        <v>0</v>
      </c>
      <c r="E118" s="401">
        <v>1.0</v>
      </c>
      <c r="F118" s="408">
        <f t="shared" si="2"/>
        <v>72.1</v>
      </c>
      <c r="G118" s="409">
        <v>1.0</v>
      </c>
      <c r="H118" s="59">
        <f t="shared" si="3"/>
        <v>72.1</v>
      </c>
      <c r="I118" s="25"/>
      <c r="J118" s="25"/>
      <c r="K118" s="25"/>
      <c r="L118" s="25"/>
      <c r="M118" s="25"/>
      <c r="N118" s="25"/>
      <c r="O118" s="25"/>
      <c r="P118" s="25"/>
      <c r="Q118" s="25"/>
      <c r="R118" s="25"/>
      <c r="S118" s="25"/>
      <c r="T118" s="25"/>
      <c r="U118" s="25"/>
      <c r="V118" s="25"/>
      <c r="W118" s="25"/>
      <c r="X118" s="25"/>
      <c r="Y118" s="25"/>
      <c r="Z118" s="25"/>
    </row>
    <row r="119" ht="12.75" customHeight="1">
      <c r="A119" s="406" t="s">
        <v>1322</v>
      </c>
      <c r="B119" s="407">
        <v>20.15</v>
      </c>
      <c r="C119" s="403">
        <v>0.93</v>
      </c>
      <c r="D119" s="403">
        <f t="shared" si="1"/>
        <v>37.479</v>
      </c>
      <c r="E119" s="401">
        <v>1.0</v>
      </c>
      <c r="F119" s="408">
        <f t="shared" si="2"/>
        <v>40.3</v>
      </c>
      <c r="G119" s="409">
        <v>4.66</v>
      </c>
      <c r="H119" s="59">
        <f t="shared" si="3"/>
        <v>187.798</v>
      </c>
      <c r="I119" s="25"/>
      <c r="J119" s="25"/>
      <c r="K119" s="25"/>
      <c r="L119" s="25"/>
      <c r="M119" s="25"/>
      <c r="N119" s="25"/>
      <c r="O119" s="25"/>
      <c r="P119" s="25"/>
      <c r="Q119" s="25"/>
      <c r="R119" s="25"/>
      <c r="S119" s="25"/>
      <c r="T119" s="25"/>
      <c r="U119" s="25"/>
      <c r="V119" s="25"/>
      <c r="W119" s="25"/>
      <c r="X119" s="25"/>
      <c r="Y119" s="25"/>
      <c r="Z119" s="25"/>
    </row>
    <row r="120" ht="12.75" customHeight="1">
      <c r="A120" s="406" t="s">
        <v>1323</v>
      </c>
      <c r="B120" s="407">
        <v>145.41</v>
      </c>
      <c r="C120" s="403">
        <v>0.93</v>
      </c>
      <c r="D120" s="403">
        <f t="shared" si="1"/>
        <v>270.4626</v>
      </c>
      <c r="E120" s="401">
        <v>0.0</v>
      </c>
      <c r="F120" s="408">
        <f t="shared" si="2"/>
        <v>0</v>
      </c>
      <c r="G120" s="409">
        <v>0.0</v>
      </c>
      <c r="H120" s="59">
        <f t="shared" si="3"/>
        <v>0</v>
      </c>
      <c r="I120" s="25"/>
      <c r="J120" s="25"/>
      <c r="K120" s="25"/>
      <c r="L120" s="25"/>
      <c r="M120" s="25"/>
      <c r="N120" s="25"/>
      <c r="O120" s="25"/>
      <c r="P120" s="25"/>
      <c r="Q120" s="25"/>
      <c r="R120" s="25"/>
      <c r="S120" s="25"/>
      <c r="T120" s="25"/>
      <c r="U120" s="25"/>
      <c r="V120" s="25"/>
      <c r="W120" s="25"/>
      <c r="X120" s="25"/>
      <c r="Y120" s="25"/>
      <c r="Z120" s="25"/>
    </row>
    <row r="121" ht="12.75" customHeight="1">
      <c r="A121" s="406" t="s">
        <v>1324</v>
      </c>
      <c r="B121" s="407">
        <v>69.8</v>
      </c>
      <c r="C121" s="403">
        <v>0.0</v>
      </c>
      <c r="D121" s="403">
        <f t="shared" si="1"/>
        <v>0</v>
      </c>
      <c r="E121" s="401">
        <v>3.0</v>
      </c>
      <c r="F121" s="408">
        <f t="shared" si="2"/>
        <v>418.8</v>
      </c>
      <c r="G121" s="409">
        <v>0.0</v>
      </c>
      <c r="H121" s="59">
        <f t="shared" si="3"/>
        <v>0</v>
      </c>
      <c r="I121" s="25"/>
      <c r="J121" s="25"/>
      <c r="K121" s="25"/>
      <c r="L121" s="25"/>
      <c r="M121" s="25"/>
      <c r="N121" s="25"/>
      <c r="O121" s="25"/>
      <c r="P121" s="25"/>
      <c r="Q121" s="25"/>
      <c r="R121" s="25"/>
      <c r="S121" s="25"/>
      <c r="T121" s="25"/>
      <c r="U121" s="25"/>
      <c r="V121" s="25"/>
      <c r="W121" s="25"/>
      <c r="X121" s="25"/>
      <c r="Y121" s="25"/>
      <c r="Z121" s="25"/>
    </row>
    <row r="122" ht="12.75" customHeight="1">
      <c r="A122" s="406" t="s">
        <v>1325</v>
      </c>
      <c r="B122" s="407">
        <v>214.28</v>
      </c>
      <c r="C122" s="403">
        <v>0.93</v>
      </c>
      <c r="D122" s="403">
        <f t="shared" si="1"/>
        <v>398.5608</v>
      </c>
      <c r="E122" s="401">
        <v>0.0</v>
      </c>
      <c r="F122" s="408">
        <f t="shared" si="2"/>
        <v>0</v>
      </c>
      <c r="G122" s="409">
        <v>0.0</v>
      </c>
      <c r="H122" s="59">
        <f t="shared" si="3"/>
        <v>0</v>
      </c>
      <c r="I122" s="25"/>
      <c r="J122" s="25"/>
      <c r="K122" s="25"/>
      <c r="L122" s="25"/>
      <c r="M122" s="25"/>
      <c r="N122" s="25"/>
      <c r="O122" s="25"/>
      <c r="P122" s="25"/>
      <c r="Q122" s="25"/>
      <c r="R122" s="25"/>
      <c r="S122" s="25"/>
      <c r="T122" s="25"/>
      <c r="U122" s="25"/>
      <c r="V122" s="25"/>
      <c r="W122" s="25"/>
      <c r="X122" s="25"/>
      <c r="Y122" s="25"/>
      <c r="Z122" s="25"/>
    </row>
    <row r="123" ht="12.75" customHeight="1">
      <c r="A123" s="406" t="s">
        <v>1326</v>
      </c>
      <c r="B123" s="407">
        <v>400.0</v>
      </c>
      <c r="C123" s="403">
        <v>0.0</v>
      </c>
      <c r="D123" s="403">
        <f t="shared" si="1"/>
        <v>0</v>
      </c>
      <c r="E123" s="401">
        <v>0.0</v>
      </c>
      <c r="F123" s="408">
        <f t="shared" si="2"/>
        <v>0</v>
      </c>
      <c r="G123" s="409">
        <v>0.0</v>
      </c>
      <c r="H123" s="59">
        <f t="shared" si="3"/>
        <v>0</v>
      </c>
      <c r="I123" s="25"/>
      <c r="J123" s="25"/>
      <c r="K123" s="25"/>
      <c r="L123" s="25"/>
      <c r="M123" s="25"/>
      <c r="N123" s="25"/>
      <c r="O123" s="25"/>
      <c r="P123" s="25"/>
      <c r="Q123" s="25"/>
      <c r="R123" s="25"/>
      <c r="S123" s="25"/>
      <c r="T123" s="25"/>
      <c r="U123" s="25"/>
      <c r="V123" s="25"/>
      <c r="W123" s="25"/>
      <c r="X123" s="25"/>
      <c r="Y123" s="25"/>
      <c r="Z123" s="25"/>
    </row>
    <row r="124" ht="12.75" customHeight="1">
      <c r="A124" s="406" t="s">
        <v>1327</v>
      </c>
      <c r="B124" s="407">
        <v>20.74</v>
      </c>
      <c r="C124" s="403">
        <v>6.5</v>
      </c>
      <c r="D124" s="403">
        <f t="shared" si="1"/>
        <v>269.62</v>
      </c>
      <c r="E124" s="401">
        <v>28.0</v>
      </c>
      <c r="F124" s="408">
        <f t="shared" si="2"/>
        <v>1161.44</v>
      </c>
      <c r="G124" s="409">
        <v>30.24</v>
      </c>
      <c r="H124" s="59">
        <f t="shared" si="3"/>
        <v>1254.3552</v>
      </c>
      <c r="I124" s="25"/>
      <c r="J124" s="25"/>
      <c r="K124" s="25"/>
      <c r="L124" s="25"/>
      <c r="M124" s="25"/>
      <c r="N124" s="25"/>
      <c r="O124" s="25"/>
      <c r="P124" s="25"/>
      <c r="Q124" s="25"/>
      <c r="R124" s="25"/>
      <c r="S124" s="25"/>
      <c r="T124" s="25"/>
      <c r="U124" s="25"/>
      <c r="V124" s="25"/>
      <c r="W124" s="25"/>
      <c r="X124" s="25"/>
      <c r="Y124" s="25"/>
      <c r="Z124" s="25"/>
    </row>
    <row r="125" ht="12.75" customHeight="1">
      <c r="A125" s="406" t="s">
        <v>1328</v>
      </c>
      <c r="B125" s="407">
        <v>459.77</v>
      </c>
      <c r="C125" s="403">
        <v>0.93</v>
      </c>
      <c r="D125" s="403">
        <f t="shared" si="1"/>
        <v>855.1722</v>
      </c>
      <c r="E125" s="401">
        <v>0.0</v>
      </c>
      <c r="F125" s="408">
        <f t="shared" si="2"/>
        <v>0</v>
      </c>
      <c r="G125" s="409">
        <v>0.0</v>
      </c>
      <c r="H125" s="59">
        <f t="shared" si="3"/>
        <v>0</v>
      </c>
      <c r="I125" s="25"/>
      <c r="J125" s="25"/>
      <c r="K125" s="25"/>
      <c r="L125" s="25"/>
      <c r="M125" s="25"/>
      <c r="N125" s="25"/>
      <c r="O125" s="25"/>
      <c r="P125" s="25"/>
      <c r="Q125" s="25"/>
      <c r="R125" s="25"/>
      <c r="S125" s="25"/>
      <c r="T125" s="25"/>
      <c r="U125" s="25"/>
      <c r="V125" s="25"/>
      <c r="W125" s="25"/>
      <c r="X125" s="25"/>
      <c r="Y125" s="25"/>
      <c r="Z125" s="25"/>
    </row>
    <row r="126" ht="12.75" customHeight="1">
      <c r="A126" s="406" t="s">
        <v>1329</v>
      </c>
      <c r="B126" s="407">
        <v>467.88</v>
      </c>
      <c r="C126" s="403">
        <v>0.93</v>
      </c>
      <c r="D126" s="403">
        <f t="shared" si="1"/>
        <v>870.2568</v>
      </c>
      <c r="E126" s="401">
        <v>0.0</v>
      </c>
      <c r="F126" s="408">
        <f t="shared" si="2"/>
        <v>0</v>
      </c>
      <c r="G126" s="409">
        <v>0.0</v>
      </c>
      <c r="H126" s="59">
        <f t="shared" si="3"/>
        <v>0</v>
      </c>
      <c r="I126" s="25"/>
      <c r="J126" s="25"/>
      <c r="K126" s="25"/>
      <c r="L126" s="25"/>
      <c r="M126" s="25"/>
      <c r="N126" s="25"/>
      <c r="O126" s="25"/>
      <c r="P126" s="25"/>
      <c r="Q126" s="25"/>
      <c r="R126" s="25"/>
      <c r="S126" s="25"/>
      <c r="T126" s="25"/>
      <c r="U126" s="25"/>
      <c r="V126" s="25"/>
      <c r="W126" s="25"/>
      <c r="X126" s="25"/>
      <c r="Y126" s="25"/>
      <c r="Z126" s="25"/>
    </row>
    <row r="127" ht="12.75" customHeight="1">
      <c r="A127" s="406" t="s">
        <v>1330</v>
      </c>
      <c r="B127" s="407">
        <v>18.17</v>
      </c>
      <c r="C127" s="403">
        <v>0.0</v>
      </c>
      <c r="D127" s="403">
        <f t="shared" si="1"/>
        <v>0</v>
      </c>
      <c r="E127" s="401">
        <v>1.0</v>
      </c>
      <c r="F127" s="408">
        <f t="shared" si="2"/>
        <v>36.34</v>
      </c>
      <c r="G127" s="409">
        <v>3.5</v>
      </c>
      <c r="H127" s="59">
        <f t="shared" si="3"/>
        <v>127.19</v>
      </c>
      <c r="I127" s="25"/>
      <c r="J127" s="25"/>
      <c r="K127" s="25"/>
      <c r="L127" s="25"/>
      <c r="M127" s="25"/>
      <c r="N127" s="25"/>
      <c r="O127" s="25"/>
      <c r="P127" s="25"/>
      <c r="Q127" s="25"/>
      <c r="R127" s="25"/>
      <c r="S127" s="25"/>
      <c r="T127" s="25"/>
      <c r="U127" s="25"/>
      <c r="V127" s="25"/>
      <c r="W127" s="25"/>
      <c r="X127" s="25"/>
      <c r="Y127" s="25"/>
      <c r="Z127" s="25"/>
    </row>
    <row r="128" ht="12.75" customHeight="1">
      <c r="A128" s="406" t="s">
        <v>1331</v>
      </c>
      <c r="B128" s="407">
        <v>241.3</v>
      </c>
      <c r="C128" s="403">
        <v>0.0</v>
      </c>
      <c r="D128" s="403">
        <f t="shared" si="1"/>
        <v>0</v>
      </c>
      <c r="E128" s="408">
        <v>0.0</v>
      </c>
      <c r="F128" s="408">
        <f t="shared" si="2"/>
        <v>0</v>
      </c>
      <c r="G128" s="409">
        <v>1.0</v>
      </c>
      <c r="H128" s="59">
        <f t="shared" si="3"/>
        <v>482.6</v>
      </c>
      <c r="I128" s="25"/>
      <c r="J128" s="25"/>
      <c r="K128" s="25"/>
      <c r="L128" s="25"/>
      <c r="M128" s="25"/>
      <c r="N128" s="25"/>
      <c r="O128" s="25"/>
      <c r="P128" s="25"/>
      <c r="Q128" s="25"/>
      <c r="R128" s="25"/>
      <c r="S128" s="25"/>
      <c r="T128" s="25"/>
      <c r="U128" s="25"/>
      <c r="V128" s="25"/>
      <c r="W128" s="25"/>
      <c r="X128" s="25"/>
      <c r="Y128" s="25"/>
      <c r="Z128" s="25"/>
    </row>
    <row r="129" ht="12.75" customHeight="1">
      <c r="A129" s="406" t="s">
        <v>1332</v>
      </c>
      <c r="B129" s="407">
        <v>38.55</v>
      </c>
      <c r="C129" s="403">
        <v>0.0</v>
      </c>
      <c r="D129" s="403">
        <f t="shared" si="1"/>
        <v>0</v>
      </c>
      <c r="E129" s="401">
        <v>1.0</v>
      </c>
      <c r="F129" s="408">
        <f t="shared" si="2"/>
        <v>77.1</v>
      </c>
      <c r="G129" s="409">
        <v>0.0</v>
      </c>
      <c r="H129" s="59">
        <f t="shared" si="3"/>
        <v>0</v>
      </c>
      <c r="I129" s="25"/>
      <c r="J129" s="25"/>
      <c r="K129" s="25"/>
      <c r="L129" s="25"/>
      <c r="M129" s="25"/>
      <c r="N129" s="25"/>
      <c r="O129" s="25"/>
      <c r="P129" s="25"/>
      <c r="Q129" s="25"/>
      <c r="R129" s="25"/>
      <c r="S129" s="25"/>
      <c r="T129" s="25"/>
      <c r="U129" s="25"/>
      <c r="V129" s="25"/>
      <c r="W129" s="25"/>
      <c r="X129" s="25"/>
      <c r="Y129" s="25"/>
      <c r="Z129" s="25"/>
    </row>
    <row r="130" ht="12.75" customHeight="1">
      <c r="A130" s="406" t="s">
        <v>1333</v>
      </c>
      <c r="B130" s="407">
        <v>24.76</v>
      </c>
      <c r="C130" s="403">
        <v>0.93</v>
      </c>
      <c r="D130" s="403">
        <f t="shared" si="1"/>
        <v>46.0536</v>
      </c>
      <c r="E130" s="401">
        <v>2.0</v>
      </c>
      <c r="F130" s="408">
        <f t="shared" si="2"/>
        <v>99.04</v>
      </c>
      <c r="G130" s="409">
        <v>2.0</v>
      </c>
      <c r="H130" s="59">
        <f t="shared" si="3"/>
        <v>99.04</v>
      </c>
      <c r="I130" s="25"/>
      <c r="J130" s="25"/>
      <c r="K130" s="25"/>
      <c r="L130" s="25"/>
      <c r="M130" s="25"/>
      <c r="N130" s="25"/>
      <c r="O130" s="25"/>
      <c r="P130" s="25"/>
      <c r="Q130" s="25"/>
      <c r="R130" s="25"/>
      <c r="S130" s="25"/>
      <c r="T130" s="25"/>
      <c r="U130" s="25"/>
      <c r="V130" s="25"/>
      <c r="W130" s="25"/>
      <c r="X130" s="25"/>
      <c r="Y130" s="25"/>
      <c r="Z130" s="25"/>
    </row>
    <row r="131" ht="12.75" customHeight="1">
      <c r="A131" s="406" t="s">
        <v>1334</v>
      </c>
      <c r="B131" s="407">
        <v>133.91</v>
      </c>
      <c r="C131" s="403">
        <v>0.93</v>
      </c>
      <c r="D131" s="403">
        <f t="shared" si="1"/>
        <v>249.0726</v>
      </c>
      <c r="E131" s="401">
        <v>0.0</v>
      </c>
      <c r="F131" s="408">
        <f t="shared" si="2"/>
        <v>0</v>
      </c>
      <c r="G131" s="409">
        <v>0.0</v>
      </c>
      <c r="H131" s="59">
        <f t="shared" si="3"/>
        <v>0</v>
      </c>
      <c r="I131" s="25"/>
      <c r="J131" s="25"/>
      <c r="K131" s="25"/>
      <c r="L131" s="25"/>
      <c r="M131" s="25"/>
      <c r="N131" s="25"/>
      <c r="O131" s="25"/>
      <c r="P131" s="25"/>
      <c r="Q131" s="25"/>
      <c r="R131" s="25"/>
      <c r="S131" s="25"/>
      <c r="T131" s="25"/>
      <c r="U131" s="25"/>
      <c r="V131" s="25"/>
      <c r="W131" s="25"/>
      <c r="X131" s="25"/>
      <c r="Y131" s="25"/>
      <c r="Z131" s="25"/>
    </row>
    <row r="132" ht="12.75" customHeight="1">
      <c r="A132" s="406" t="s">
        <v>1335</v>
      </c>
      <c r="B132" s="407">
        <v>23.55</v>
      </c>
      <c r="C132" s="403">
        <v>0.0</v>
      </c>
      <c r="D132" s="403">
        <f t="shared" si="1"/>
        <v>0</v>
      </c>
      <c r="E132" s="401">
        <v>3.0</v>
      </c>
      <c r="F132" s="408">
        <f t="shared" si="2"/>
        <v>141.3</v>
      </c>
      <c r="G132" s="409">
        <v>3.0</v>
      </c>
      <c r="H132" s="59">
        <f t="shared" si="3"/>
        <v>141.3</v>
      </c>
      <c r="I132" s="25"/>
      <c r="J132" s="25"/>
      <c r="K132" s="25"/>
      <c r="L132" s="25"/>
      <c r="M132" s="25"/>
      <c r="N132" s="25"/>
      <c r="O132" s="25"/>
      <c r="P132" s="25"/>
      <c r="Q132" s="25"/>
      <c r="R132" s="25"/>
      <c r="S132" s="25"/>
      <c r="T132" s="25"/>
      <c r="U132" s="25"/>
      <c r="V132" s="25"/>
      <c r="W132" s="25"/>
      <c r="X132" s="25"/>
      <c r="Y132" s="25"/>
      <c r="Z132" s="25"/>
    </row>
    <row r="133" ht="12.75" customHeight="1">
      <c r="A133" s="406" t="s">
        <v>1336</v>
      </c>
      <c r="B133" s="407">
        <v>36.1</v>
      </c>
      <c r="C133" s="403">
        <v>0.93</v>
      </c>
      <c r="D133" s="403">
        <f t="shared" si="1"/>
        <v>67.146</v>
      </c>
      <c r="E133" s="401">
        <v>1.0</v>
      </c>
      <c r="F133" s="408">
        <f t="shared" si="2"/>
        <v>72.2</v>
      </c>
      <c r="G133" s="409">
        <v>1.0</v>
      </c>
      <c r="H133" s="59">
        <f t="shared" si="3"/>
        <v>72.2</v>
      </c>
      <c r="I133" s="25"/>
      <c r="J133" s="25"/>
      <c r="K133" s="25"/>
      <c r="L133" s="25"/>
      <c r="M133" s="25"/>
      <c r="N133" s="25"/>
      <c r="O133" s="25"/>
      <c r="P133" s="25"/>
      <c r="Q133" s="25"/>
      <c r="R133" s="25"/>
      <c r="S133" s="25"/>
      <c r="T133" s="25"/>
      <c r="U133" s="25"/>
      <c r="V133" s="25"/>
      <c r="W133" s="25"/>
      <c r="X133" s="25"/>
      <c r="Y133" s="25"/>
      <c r="Z133" s="25"/>
    </row>
    <row r="134" ht="12.75" customHeight="1">
      <c r="A134" s="406" t="s">
        <v>1337</v>
      </c>
      <c r="B134" s="407">
        <v>302.23</v>
      </c>
      <c r="C134" s="403">
        <v>0.0</v>
      </c>
      <c r="D134" s="403">
        <f t="shared" si="1"/>
        <v>0</v>
      </c>
      <c r="E134" s="408">
        <v>0.0</v>
      </c>
      <c r="F134" s="408">
        <f t="shared" si="2"/>
        <v>0</v>
      </c>
      <c r="G134" s="409">
        <v>1.5</v>
      </c>
      <c r="H134" s="59">
        <f t="shared" si="3"/>
        <v>906.69</v>
      </c>
      <c r="I134" s="25"/>
      <c r="J134" s="25"/>
      <c r="K134" s="25"/>
      <c r="L134" s="25"/>
      <c r="M134" s="25"/>
      <c r="N134" s="25"/>
      <c r="O134" s="25"/>
      <c r="P134" s="25"/>
      <c r="Q134" s="25"/>
      <c r="R134" s="25"/>
      <c r="S134" s="25"/>
      <c r="T134" s="25"/>
      <c r="U134" s="25"/>
      <c r="V134" s="25"/>
      <c r="W134" s="25"/>
      <c r="X134" s="25"/>
      <c r="Y134" s="25"/>
      <c r="Z134" s="25"/>
    </row>
    <row r="135" ht="12.75" customHeight="1">
      <c r="A135" s="406" t="s">
        <v>1338</v>
      </c>
      <c r="B135" s="407">
        <v>29.58</v>
      </c>
      <c r="C135" s="403">
        <v>0.93</v>
      </c>
      <c r="D135" s="403">
        <f t="shared" si="1"/>
        <v>55.0188</v>
      </c>
      <c r="E135" s="401">
        <v>3.0</v>
      </c>
      <c r="F135" s="408">
        <f t="shared" si="2"/>
        <v>177.48</v>
      </c>
      <c r="G135" s="409">
        <v>0.8</v>
      </c>
      <c r="H135" s="59">
        <f t="shared" si="3"/>
        <v>47.328</v>
      </c>
      <c r="I135" s="25"/>
      <c r="J135" s="25"/>
      <c r="K135" s="25"/>
      <c r="L135" s="25"/>
      <c r="M135" s="25"/>
      <c r="N135" s="25"/>
      <c r="O135" s="25"/>
      <c r="P135" s="25"/>
      <c r="Q135" s="25"/>
      <c r="R135" s="25"/>
      <c r="S135" s="25"/>
      <c r="T135" s="25"/>
      <c r="U135" s="25"/>
      <c r="V135" s="25"/>
      <c r="W135" s="25"/>
      <c r="X135" s="25"/>
      <c r="Y135" s="25"/>
      <c r="Z135" s="25"/>
    </row>
    <row r="136" ht="12.75" customHeight="1">
      <c r="A136" s="406" t="s">
        <v>1339</v>
      </c>
      <c r="B136" s="407">
        <v>199.76</v>
      </c>
      <c r="C136" s="403">
        <v>0.93</v>
      </c>
      <c r="D136" s="403">
        <f t="shared" si="1"/>
        <v>371.5536</v>
      </c>
      <c r="E136" s="401">
        <v>0.0</v>
      </c>
      <c r="F136" s="408">
        <f t="shared" si="2"/>
        <v>0</v>
      </c>
      <c r="G136" s="409">
        <v>0.0</v>
      </c>
      <c r="H136" s="59">
        <f t="shared" si="3"/>
        <v>0</v>
      </c>
      <c r="I136" s="25"/>
      <c r="J136" s="25"/>
      <c r="K136" s="25"/>
      <c r="L136" s="25"/>
      <c r="M136" s="25"/>
      <c r="N136" s="25"/>
      <c r="O136" s="25"/>
      <c r="P136" s="25"/>
      <c r="Q136" s="25"/>
      <c r="R136" s="25"/>
      <c r="S136" s="25"/>
      <c r="T136" s="25"/>
      <c r="U136" s="25"/>
      <c r="V136" s="25"/>
      <c r="W136" s="25"/>
      <c r="X136" s="25"/>
      <c r="Y136" s="25"/>
      <c r="Z136" s="25"/>
    </row>
    <row r="137" ht="12.75" customHeight="1">
      <c r="A137" s="406" t="s">
        <v>1340</v>
      </c>
      <c r="B137" s="407">
        <v>202.05</v>
      </c>
      <c r="C137" s="403">
        <v>0.93</v>
      </c>
      <c r="D137" s="403">
        <f t="shared" si="1"/>
        <v>375.813</v>
      </c>
      <c r="E137" s="401">
        <v>0.0</v>
      </c>
      <c r="F137" s="408">
        <f t="shared" si="2"/>
        <v>0</v>
      </c>
      <c r="G137" s="409">
        <v>0.0</v>
      </c>
      <c r="H137" s="59">
        <f t="shared" si="3"/>
        <v>0</v>
      </c>
      <c r="I137" s="25"/>
      <c r="J137" s="25"/>
      <c r="K137" s="25"/>
      <c r="L137" s="25"/>
      <c r="M137" s="25"/>
      <c r="N137" s="25"/>
      <c r="O137" s="25"/>
      <c r="P137" s="25"/>
      <c r="Q137" s="25"/>
      <c r="R137" s="25"/>
      <c r="S137" s="25"/>
      <c r="T137" s="25"/>
      <c r="U137" s="25"/>
      <c r="V137" s="25"/>
      <c r="W137" s="25"/>
      <c r="X137" s="25"/>
      <c r="Y137" s="25"/>
      <c r="Z137" s="25"/>
    </row>
    <row r="138" ht="12.75" customHeight="1">
      <c r="A138" s="406" t="s">
        <v>1341</v>
      </c>
      <c r="B138" s="407">
        <v>46.33</v>
      </c>
      <c r="C138" s="403">
        <v>0.0</v>
      </c>
      <c r="D138" s="403">
        <f t="shared" si="1"/>
        <v>0</v>
      </c>
      <c r="E138" s="401">
        <v>0.0</v>
      </c>
      <c r="F138" s="408">
        <f t="shared" si="2"/>
        <v>0</v>
      </c>
      <c r="G138" s="409">
        <v>0.0</v>
      </c>
      <c r="H138" s="59">
        <f t="shared" si="3"/>
        <v>0</v>
      </c>
      <c r="I138" s="25"/>
      <c r="J138" s="25"/>
      <c r="K138" s="25"/>
      <c r="L138" s="25"/>
      <c r="M138" s="25"/>
      <c r="N138" s="25"/>
      <c r="O138" s="25"/>
      <c r="P138" s="25"/>
      <c r="Q138" s="25"/>
      <c r="R138" s="25"/>
      <c r="S138" s="25"/>
      <c r="T138" s="25"/>
      <c r="U138" s="25"/>
      <c r="V138" s="25"/>
      <c r="W138" s="25"/>
      <c r="X138" s="25"/>
      <c r="Y138" s="25"/>
      <c r="Z138" s="25"/>
    </row>
    <row r="139" ht="12.75" customHeight="1">
      <c r="A139" s="406" t="s">
        <v>1342</v>
      </c>
      <c r="B139" s="407">
        <v>8.99</v>
      </c>
      <c r="C139" s="403">
        <v>2.8</v>
      </c>
      <c r="D139" s="403">
        <f t="shared" si="1"/>
        <v>50.344</v>
      </c>
      <c r="E139" s="401">
        <v>15.7</v>
      </c>
      <c r="F139" s="408">
        <f t="shared" si="2"/>
        <v>282.286</v>
      </c>
      <c r="G139" s="409">
        <v>21.44</v>
      </c>
      <c r="H139" s="59">
        <f t="shared" si="3"/>
        <v>385.4912</v>
      </c>
      <c r="I139" s="25"/>
      <c r="J139" s="25"/>
      <c r="K139" s="25"/>
      <c r="L139" s="25"/>
      <c r="M139" s="25"/>
      <c r="N139" s="25"/>
      <c r="O139" s="25"/>
      <c r="P139" s="25"/>
      <c r="Q139" s="25"/>
      <c r="R139" s="25"/>
      <c r="S139" s="25"/>
      <c r="T139" s="25"/>
      <c r="U139" s="25"/>
      <c r="V139" s="25"/>
      <c r="W139" s="25"/>
      <c r="X139" s="25"/>
      <c r="Y139" s="25"/>
      <c r="Z139" s="25"/>
    </row>
    <row r="140" ht="12.75" customHeight="1">
      <c r="A140" s="406" t="s">
        <v>1343</v>
      </c>
      <c r="B140" s="407">
        <v>24.81</v>
      </c>
      <c r="C140" s="403">
        <v>0.0</v>
      </c>
      <c r="D140" s="403">
        <f t="shared" si="1"/>
        <v>0</v>
      </c>
      <c r="E140" s="401">
        <v>0.0</v>
      </c>
      <c r="F140" s="408">
        <f t="shared" si="2"/>
        <v>0</v>
      </c>
      <c r="G140" s="409">
        <v>0.0</v>
      </c>
      <c r="H140" s="59">
        <f t="shared" si="3"/>
        <v>0</v>
      </c>
      <c r="I140" s="25"/>
      <c r="J140" s="25"/>
      <c r="K140" s="25"/>
      <c r="L140" s="25"/>
      <c r="M140" s="25"/>
      <c r="N140" s="25"/>
      <c r="O140" s="25"/>
      <c r="P140" s="25"/>
      <c r="Q140" s="25"/>
      <c r="R140" s="25"/>
      <c r="S140" s="25"/>
      <c r="T140" s="25"/>
      <c r="U140" s="25"/>
      <c r="V140" s="25"/>
      <c r="W140" s="25"/>
      <c r="X140" s="25"/>
      <c r="Y140" s="25"/>
      <c r="Z140" s="25"/>
    </row>
    <row r="141" ht="12.75" customHeight="1">
      <c r="A141" s="406" t="s">
        <v>1344</v>
      </c>
      <c r="B141" s="407">
        <v>307.76</v>
      </c>
      <c r="C141" s="403">
        <v>0.0</v>
      </c>
      <c r="D141" s="403">
        <f t="shared" si="1"/>
        <v>0</v>
      </c>
      <c r="E141" s="401">
        <v>0.0</v>
      </c>
      <c r="F141" s="408">
        <f t="shared" si="2"/>
        <v>0</v>
      </c>
      <c r="G141" s="409">
        <v>0.0</v>
      </c>
      <c r="H141" s="59">
        <f t="shared" si="3"/>
        <v>0</v>
      </c>
      <c r="I141" s="25"/>
      <c r="J141" s="25"/>
      <c r="K141" s="25"/>
      <c r="L141" s="25"/>
      <c r="M141" s="25"/>
      <c r="N141" s="25"/>
      <c r="O141" s="25"/>
      <c r="P141" s="25"/>
      <c r="Q141" s="25"/>
      <c r="R141" s="25"/>
      <c r="S141" s="25"/>
      <c r="T141" s="25"/>
      <c r="U141" s="25"/>
      <c r="V141" s="25"/>
      <c r="W141" s="25"/>
      <c r="X141" s="25"/>
      <c r="Y141" s="25"/>
      <c r="Z141" s="25"/>
    </row>
    <row r="142" ht="12.75" customHeight="1">
      <c r="A142" s="406" t="s">
        <v>1345</v>
      </c>
      <c r="B142" s="407">
        <v>493.86</v>
      </c>
      <c r="C142" s="403">
        <v>0.93</v>
      </c>
      <c r="D142" s="403">
        <f t="shared" si="1"/>
        <v>918.5796</v>
      </c>
      <c r="E142" s="401">
        <v>0.0</v>
      </c>
      <c r="F142" s="408">
        <f t="shared" si="2"/>
        <v>0</v>
      </c>
      <c r="G142" s="409">
        <v>0.0</v>
      </c>
      <c r="H142" s="59">
        <f t="shared" si="3"/>
        <v>0</v>
      </c>
      <c r="I142" s="25"/>
      <c r="J142" s="25"/>
      <c r="K142" s="25"/>
      <c r="L142" s="25"/>
      <c r="M142" s="25"/>
      <c r="N142" s="25"/>
      <c r="O142" s="25"/>
      <c r="P142" s="25"/>
      <c r="Q142" s="25"/>
      <c r="R142" s="25"/>
      <c r="S142" s="25"/>
      <c r="T142" s="25"/>
      <c r="U142" s="25"/>
      <c r="V142" s="25"/>
      <c r="W142" s="25"/>
      <c r="X142" s="25"/>
      <c r="Y142" s="25"/>
      <c r="Z142" s="25"/>
    </row>
    <row r="143" ht="12.75" customHeight="1">
      <c r="A143" s="406" t="s">
        <v>1346</v>
      </c>
      <c r="B143" s="407">
        <v>32.86</v>
      </c>
      <c r="C143" s="403">
        <v>3.7</v>
      </c>
      <c r="D143" s="403">
        <f t="shared" si="1"/>
        <v>243.164</v>
      </c>
      <c r="E143" s="401">
        <v>3.0</v>
      </c>
      <c r="F143" s="408">
        <f t="shared" si="2"/>
        <v>197.16</v>
      </c>
      <c r="G143" s="409">
        <v>2.0</v>
      </c>
      <c r="H143" s="59">
        <f t="shared" si="3"/>
        <v>131.44</v>
      </c>
      <c r="I143" s="25"/>
      <c r="J143" s="25"/>
      <c r="K143" s="25"/>
      <c r="L143" s="25"/>
      <c r="M143" s="25"/>
      <c r="N143" s="25"/>
      <c r="O143" s="25"/>
      <c r="P143" s="25"/>
      <c r="Q143" s="25"/>
      <c r="R143" s="25"/>
      <c r="S143" s="25"/>
      <c r="T143" s="25"/>
      <c r="U143" s="25"/>
      <c r="V143" s="25"/>
      <c r="W143" s="25"/>
      <c r="X143" s="25"/>
      <c r="Y143" s="25"/>
      <c r="Z143" s="25"/>
    </row>
    <row r="144" ht="12.75" customHeight="1">
      <c r="A144" s="406" t="s">
        <v>1347</v>
      </c>
      <c r="B144" s="407">
        <v>8.84</v>
      </c>
      <c r="C144" s="403">
        <v>15.78</v>
      </c>
      <c r="D144" s="403">
        <f t="shared" si="1"/>
        <v>278.9904</v>
      </c>
      <c r="E144" s="401">
        <v>28.3</v>
      </c>
      <c r="F144" s="408">
        <f t="shared" si="2"/>
        <v>500.344</v>
      </c>
      <c r="G144" s="409">
        <v>37.44</v>
      </c>
      <c r="H144" s="59">
        <f t="shared" si="3"/>
        <v>661.9392</v>
      </c>
      <c r="I144" s="25"/>
      <c r="J144" s="25"/>
      <c r="K144" s="25"/>
      <c r="L144" s="25"/>
      <c r="M144" s="25"/>
      <c r="N144" s="25"/>
      <c r="O144" s="25"/>
      <c r="P144" s="25"/>
      <c r="Q144" s="25"/>
      <c r="R144" s="25"/>
      <c r="S144" s="25"/>
      <c r="T144" s="25"/>
      <c r="U144" s="25"/>
      <c r="V144" s="25"/>
      <c r="W144" s="25"/>
      <c r="X144" s="25"/>
      <c r="Y144" s="25"/>
      <c r="Z144" s="25"/>
    </row>
    <row r="145" ht="12.75" customHeight="1">
      <c r="A145" s="406" t="s">
        <v>1348</v>
      </c>
      <c r="B145" s="407">
        <v>93.97</v>
      </c>
      <c r="C145" s="403">
        <v>0.93</v>
      </c>
      <c r="D145" s="403">
        <f t="shared" si="1"/>
        <v>174.7842</v>
      </c>
      <c r="E145" s="401">
        <v>0.0</v>
      </c>
      <c r="F145" s="408">
        <f t="shared" si="2"/>
        <v>0</v>
      </c>
      <c r="G145" s="409">
        <v>0.0</v>
      </c>
      <c r="H145" s="59">
        <f t="shared" si="3"/>
        <v>0</v>
      </c>
      <c r="I145" s="25"/>
      <c r="J145" s="25"/>
      <c r="K145" s="25"/>
      <c r="L145" s="25"/>
      <c r="M145" s="25"/>
      <c r="N145" s="25"/>
      <c r="O145" s="25"/>
      <c r="P145" s="25"/>
      <c r="Q145" s="25"/>
      <c r="R145" s="25"/>
      <c r="S145" s="25"/>
      <c r="T145" s="25"/>
      <c r="U145" s="25"/>
      <c r="V145" s="25"/>
      <c r="W145" s="25"/>
      <c r="X145" s="25"/>
      <c r="Y145" s="25"/>
      <c r="Z145" s="25"/>
    </row>
    <row r="146" ht="12.75" customHeight="1">
      <c r="A146" s="406" t="s">
        <v>1349</v>
      </c>
      <c r="B146" s="407">
        <v>85.44</v>
      </c>
      <c r="C146" s="403">
        <v>0.0</v>
      </c>
      <c r="D146" s="403">
        <f t="shared" si="1"/>
        <v>0</v>
      </c>
      <c r="E146" s="401">
        <v>0.0</v>
      </c>
      <c r="F146" s="408">
        <f t="shared" si="2"/>
        <v>0</v>
      </c>
      <c r="G146" s="409">
        <v>0.0</v>
      </c>
      <c r="H146" s="59">
        <f t="shared" si="3"/>
        <v>0</v>
      </c>
      <c r="I146" s="25"/>
      <c r="J146" s="25"/>
      <c r="K146" s="25"/>
      <c r="L146" s="25"/>
      <c r="M146" s="25"/>
      <c r="N146" s="25"/>
      <c r="O146" s="25"/>
      <c r="P146" s="25"/>
      <c r="Q146" s="25"/>
      <c r="R146" s="25"/>
      <c r="S146" s="25"/>
      <c r="T146" s="25"/>
      <c r="U146" s="25"/>
      <c r="V146" s="25"/>
      <c r="W146" s="25"/>
      <c r="X146" s="25"/>
      <c r="Y146" s="25"/>
      <c r="Z146" s="25"/>
    </row>
    <row r="147" ht="12.75" customHeight="1">
      <c r="A147" s="406" t="s">
        <v>1350</v>
      </c>
      <c r="B147" s="407">
        <v>84.44</v>
      </c>
      <c r="C147" s="403">
        <v>0.0</v>
      </c>
      <c r="D147" s="403">
        <f t="shared" si="1"/>
        <v>0</v>
      </c>
      <c r="E147" s="401">
        <v>0.0</v>
      </c>
      <c r="F147" s="408">
        <f t="shared" si="2"/>
        <v>0</v>
      </c>
      <c r="G147" s="409">
        <v>0.0</v>
      </c>
      <c r="H147" s="59">
        <f t="shared" si="3"/>
        <v>0</v>
      </c>
      <c r="I147" s="25"/>
      <c r="J147" s="25"/>
      <c r="K147" s="25"/>
      <c r="L147" s="25"/>
      <c r="M147" s="25"/>
      <c r="N147" s="25"/>
      <c r="O147" s="25"/>
      <c r="P147" s="25"/>
      <c r="Q147" s="25"/>
      <c r="R147" s="25"/>
      <c r="S147" s="25"/>
      <c r="T147" s="25"/>
      <c r="U147" s="25"/>
      <c r="V147" s="25"/>
      <c r="W147" s="25"/>
      <c r="X147" s="25"/>
      <c r="Y147" s="25"/>
      <c r="Z147" s="25"/>
    </row>
    <row r="148" ht="12.75" customHeight="1">
      <c r="A148" s="406" t="s">
        <v>1351</v>
      </c>
      <c r="B148" s="407">
        <v>28.21</v>
      </c>
      <c r="C148" s="403">
        <v>0.0</v>
      </c>
      <c r="D148" s="403">
        <f t="shared" si="1"/>
        <v>0</v>
      </c>
      <c r="E148" s="401">
        <v>2.0</v>
      </c>
      <c r="F148" s="408">
        <f t="shared" si="2"/>
        <v>112.84</v>
      </c>
      <c r="G148" s="409">
        <v>4.0</v>
      </c>
      <c r="H148" s="59">
        <f t="shared" si="3"/>
        <v>225.68</v>
      </c>
      <c r="I148" s="25"/>
      <c r="J148" s="25"/>
      <c r="K148" s="25"/>
      <c r="L148" s="25"/>
      <c r="M148" s="25"/>
      <c r="N148" s="25"/>
      <c r="O148" s="25"/>
      <c r="P148" s="25"/>
      <c r="Q148" s="25"/>
      <c r="R148" s="25"/>
      <c r="S148" s="25"/>
      <c r="T148" s="25"/>
      <c r="U148" s="25"/>
      <c r="V148" s="25"/>
      <c r="W148" s="25"/>
      <c r="X148" s="25"/>
      <c r="Y148" s="25"/>
      <c r="Z148" s="25"/>
    </row>
    <row r="149" ht="12.75" customHeight="1">
      <c r="A149" s="406" t="s">
        <v>1352</v>
      </c>
      <c r="B149" s="407">
        <v>70.94</v>
      </c>
      <c r="C149" s="403">
        <v>0.0</v>
      </c>
      <c r="D149" s="403">
        <f t="shared" si="1"/>
        <v>0</v>
      </c>
      <c r="E149" s="401">
        <v>0.0</v>
      </c>
      <c r="F149" s="408">
        <f t="shared" si="2"/>
        <v>0</v>
      </c>
      <c r="G149" s="409">
        <v>0.0</v>
      </c>
      <c r="H149" s="59">
        <f t="shared" si="3"/>
        <v>0</v>
      </c>
      <c r="I149" s="25"/>
      <c r="J149" s="25"/>
      <c r="K149" s="25"/>
      <c r="L149" s="25"/>
      <c r="M149" s="25"/>
      <c r="N149" s="25"/>
      <c r="O149" s="25"/>
      <c r="P149" s="25"/>
      <c r="Q149" s="25"/>
      <c r="R149" s="25"/>
      <c r="S149" s="25"/>
      <c r="T149" s="25"/>
      <c r="U149" s="25"/>
      <c r="V149" s="25"/>
      <c r="W149" s="25"/>
      <c r="X149" s="25"/>
      <c r="Y149" s="25"/>
      <c r="Z149" s="25"/>
    </row>
    <row r="150" ht="12.75" customHeight="1">
      <c r="A150" s="406" t="s">
        <v>1353</v>
      </c>
      <c r="B150" s="407">
        <v>12.41</v>
      </c>
      <c r="C150" s="403">
        <v>4.64</v>
      </c>
      <c r="D150" s="403">
        <f t="shared" si="1"/>
        <v>115.1648</v>
      </c>
      <c r="E150" s="401">
        <v>20.2</v>
      </c>
      <c r="F150" s="408">
        <f t="shared" si="2"/>
        <v>501.364</v>
      </c>
      <c r="G150" s="409">
        <v>23.6</v>
      </c>
      <c r="H150" s="59">
        <f t="shared" si="3"/>
        <v>585.752</v>
      </c>
      <c r="I150" s="25"/>
      <c r="J150" s="25"/>
      <c r="K150" s="25"/>
      <c r="L150" s="25"/>
      <c r="M150" s="25"/>
      <c r="N150" s="25"/>
      <c r="O150" s="25"/>
      <c r="P150" s="25"/>
      <c r="Q150" s="25"/>
      <c r="R150" s="25"/>
      <c r="S150" s="25"/>
      <c r="T150" s="25"/>
      <c r="U150" s="25"/>
      <c r="V150" s="25"/>
      <c r="W150" s="25"/>
      <c r="X150" s="25"/>
      <c r="Y150" s="25"/>
      <c r="Z150" s="25"/>
    </row>
    <row r="151" ht="12.75" customHeight="1">
      <c r="A151" s="406" t="s">
        <v>1354</v>
      </c>
      <c r="B151" s="407">
        <v>193.06</v>
      </c>
      <c r="C151" s="403">
        <v>0.93</v>
      </c>
      <c r="D151" s="403">
        <f t="shared" si="1"/>
        <v>359.0916</v>
      </c>
      <c r="E151" s="401">
        <v>0.0</v>
      </c>
      <c r="F151" s="408">
        <f t="shared" si="2"/>
        <v>0</v>
      </c>
      <c r="G151" s="409">
        <v>0.0</v>
      </c>
      <c r="H151" s="59">
        <f t="shared" si="3"/>
        <v>0</v>
      </c>
      <c r="I151" s="25"/>
      <c r="J151" s="25"/>
      <c r="K151" s="25"/>
      <c r="L151" s="25"/>
      <c r="M151" s="25"/>
      <c r="N151" s="25"/>
      <c r="O151" s="25"/>
      <c r="P151" s="25"/>
      <c r="Q151" s="25"/>
      <c r="R151" s="25"/>
      <c r="S151" s="25"/>
      <c r="T151" s="25"/>
      <c r="U151" s="25"/>
      <c r="V151" s="25"/>
      <c r="W151" s="25"/>
      <c r="X151" s="25"/>
      <c r="Y151" s="25"/>
      <c r="Z151" s="25"/>
    </row>
    <row r="152" ht="12.75" customHeight="1">
      <c r="A152" s="406" t="s">
        <v>1355</v>
      </c>
      <c r="B152" s="407">
        <v>36.47</v>
      </c>
      <c r="C152" s="403">
        <v>1.86</v>
      </c>
      <c r="D152" s="403">
        <f t="shared" si="1"/>
        <v>135.6684</v>
      </c>
      <c r="E152" s="401">
        <v>4.0</v>
      </c>
      <c r="F152" s="408">
        <f t="shared" si="2"/>
        <v>291.76</v>
      </c>
      <c r="G152" s="409">
        <v>3.8</v>
      </c>
      <c r="H152" s="59">
        <f t="shared" si="3"/>
        <v>277.172</v>
      </c>
      <c r="I152" s="25"/>
      <c r="J152" s="25"/>
      <c r="K152" s="25"/>
      <c r="L152" s="25"/>
      <c r="M152" s="25"/>
      <c r="N152" s="25"/>
      <c r="O152" s="25"/>
      <c r="P152" s="25"/>
      <c r="Q152" s="25"/>
      <c r="R152" s="25"/>
      <c r="S152" s="25"/>
      <c r="T152" s="25"/>
      <c r="U152" s="25"/>
      <c r="V152" s="25"/>
      <c r="W152" s="25"/>
      <c r="X152" s="25"/>
      <c r="Y152" s="25"/>
      <c r="Z152" s="25"/>
    </row>
    <row r="153" ht="12.75" customHeight="1">
      <c r="A153" s="406" t="s">
        <v>1356</v>
      </c>
      <c r="B153" s="407">
        <v>33.4</v>
      </c>
      <c r="C153" s="403">
        <v>0.0</v>
      </c>
      <c r="D153" s="403">
        <f t="shared" si="1"/>
        <v>0</v>
      </c>
      <c r="E153" s="401">
        <v>1.0</v>
      </c>
      <c r="F153" s="408">
        <f t="shared" si="2"/>
        <v>66.8</v>
      </c>
      <c r="G153" s="409">
        <v>1.0</v>
      </c>
      <c r="H153" s="59">
        <f t="shared" si="3"/>
        <v>66.8</v>
      </c>
      <c r="I153" s="25"/>
      <c r="J153" s="25"/>
      <c r="K153" s="25"/>
      <c r="L153" s="25"/>
      <c r="M153" s="25"/>
      <c r="N153" s="25"/>
      <c r="O153" s="25"/>
      <c r="P153" s="25"/>
      <c r="Q153" s="25"/>
      <c r="R153" s="25"/>
      <c r="S153" s="25"/>
      <c r="T153" s="25"/>
      <c r="U153" s="25"/>
      <c r="V153" s="25"/>
      <c r="W153" s="25"/>
      <c r="X153" s="25"/>
      <c r="Y153" s="25"/>
      <c r="Z153" s="25"/>
    </row>
    <row r="154" ht="12.75" customHeight="1">
      <c r="A154" s="406" t="s">
        <v>1357</v>
      </c>
      <c r="B154" s="407">
        <v>19.79</v>
      </c>
      <c r="C154" s="403">
        <v>0.0</v>
      </c>
      <c r="D154" s="403">
        <f t="shared" si="1"/>
        <v>0</v>
      </c>
      <c r="E154" s="401">
        <v>1.0</v>
      </c>
      <c r="F154" s="408">
        <f t="shared" si="2"/>
        <v>39.58</v>
      </c>
      <c r="G154" s="409">
        <v>1.0</v>
      </c>
      <c r="H154" s="59">
        <f t="shared" si="3"/>
        <v>39.58</v>
      </c>
      <c r="I154" s="25"/>
      <c r="J154" s="25"/>
      <c r="K154" s="25"/>
      <c r="L154" s="25"/>
      <c r="M154" s="25"/>
      <c r="N154" s="25"/>
      <c r="O154" s="25"/>
      <c r="P154" s="25"/>
      <c r="Q154" s="25"/>
      <c r="R154" s="25"/>
      <c r="S154" s="25"/>
      <c r="T154" s="25"/>
      <c r="U154" s="25"/>
      <c r="V154" s="25"/>
      <c r="W154" s="25"/>
      <c r="X154" s="25"/>
      <c r="Y154" s="25"/>
      <c r="Z154" s="25"/>
    </row>
    <row r="155" ht="12.75" customHeight="1">
      <c r="A155" s="406" t="s">
        <v>1358</v>
      </c>
      <c r="B155" s="407">
        <v>44.45</v>
      </c>
      <c r="C155" s="403">
        <v>0.93</v>
      </c>
      <c r="D155" s="403">
        <f t="shared" si="1"/>
        <v>82.677</v>
      </c>
      <c r="E155" s="401">
        <v>1.0</v>
      </c>
      <c r="F155" s="408">
        <f t="shared" si="2"/>
        <v>88.9</v>
      </c>
      <c r="G155" s="409">
        <v>1.0</v>
      </c>
      <c r="H155" s="59">
        <f t="shared" si="3"/>
        <v>88.9</v>
      </c>
      <c r="I155" s="25"/>
      <c r="J155" s="25"/>
      <c r="K155" s="25"/>
      <c r="L155" s="25"/>
      <c r="M155" s="25"/>
      <c r="N155" s="25"/>
      <c r="O155" s="25"/>
      <c r="P155" s="25"/>
      <c r="Q155" s="25"/>
      <c r="R155" s="25"/>
      <c r="S155" s="25"/>
      <c r="T155" s="25"/>
      <c r="U155" s="25"/>
      <c r="V155" s="25"/>
      <c r="W155" s="25"/>
      <c r="X155" s="25"/>
      <c r="Y155" s="25"/>
      <c r="Z155" s="25"/>
    </row>
    <row r="156" ht="12.75" customHeight="1">
      <c r="A156" s="406" t="s">
        <v>1359</v>
      </c>
      <c r="B156" s="407">
        <v>167.01</v>
      </c>
      <c r="C156" s="403">
        <v>0.93</v>
      </c>
      <c r="D156" s="403">
        <f t="shared" si="1"/>
        <v>310.6386</v>
      </c>
      <c r="E156" s="401">
        <v>0.0</v>
      </c>
      <c r="F156" s="408">
        <f t="shared" si="2"/>
        <v>0</v>
      </c>
      <c r="G156" s="409">
        <v>0.0</v>
      </c>
      <c r="H156" s="59">
        <f t="shared" si="3"/>
        <v>0</v>
      </c>
      <c r="I156" s="25"/>
      <c r="J156" s="25"/>
      <c r="K156" s="25"/>
      <c r="L156" s="25"/>
      <c r="M156" s="25"/>
      <c r="N156" s="25"/>
      <c r="O156" s="25"/>
      <c r="P156" s="25"/>
      <c r="Q156" s="25"/>
      <c r="R156" s="25"/>
      <c r="S156" s="25"/>
      <c r="T156" s="25"/>
      <c r="U156" s="25"/>
      <c r="V156" s="25"/>
      <c r="W156" s="25"/>
      <c r="X156" s="25"/>
      <c r="Y156" s="25"/>
      <c r="Z156" s="25"/>
    </row>
    <row r="157" ht="12.75" customHeight="1">
      <c r="A157" s="406" t="s">
        <v>1360</v>
      </c>
      <c r="B157" s="407">
        <v>62.83</v>
      </c>
      <c r="C157" s="403">
        <v>0.93</v>
      </c>
      <c r="D157" s="403">
        <f t="shared" si="1"/>
        <v>116.8638</v>
      </c>
      <c r="E157" s="401">
        <v>1.0</v>
      </c>
      <c r="F157" s="408">
        <f t="shared" si="2"/>
        <v>125.66</v>
      </c>
      <c r="G157" s="409">
        <v>0.0</v>
      </c>
      <c r="H157" s="59">
        <f t="shared" si="3"/>
        <v>0</v>
      </c>
      <c r="I157" s="25"/>
      <c r="J157" s="25"/>
      <c r="K157" s="25"/>
      <c r="L157" s="25"/>
      <c r="M157" s="25"/>
      <c r="N157" s="25"/>
      <c r="O157" s="25"/>
      <c r="P157" s="25"/>
      <c r="Q157" s="25"/>
      <c r="R157" s="25"/>
      <c r="S157" s="25"/>
      <c r="T157" s="25"/>
      <c r="U157" s="25"/>
      <c r="V157" s="25"/>
      <c r="W157" s="25"/>
      <c r="X157" s="25"/>
      <c r="Y157" s="25"/>
      <c r="Z157" s="25"/>
    </row>
    <row r="158" ht="12.75" customHeight="1">
      <c r="A158" s="406" t="s">
        <v>1361</v>
      </c>
      <c r="B158" s="407">
        <v>20.58</v>
      </c>
      <c r="C158" s="403">
        <v>1.86</v>
      </c>
      <c r="D158" s="403">
        <f t="shared" si="1"/>
        <v>76.5576</v>
      </c>
      <c r="E158" s="401">
        <v>6.0</v>
      </c>
      <c r="F158" s="408">
        <f t="shared" si="2"/>
        <v>246.96</v>
      </c>
      <c r="G158" s="409">
        <v>8.0</v>
      </c>
      <c r="H158" s="59">
        <f t="shared" si="3"/>
        <v>329.28</v>
      </c>
      <c r="I158" s="25"/>
      <c r="J158" s="25"/>
      <c r="K158" s="25"/>
      <c r="L158" s="25"/>
      <c r="M158" s="25"/>
      <c r="N158" s="25"/>
      <c r="O158" s="25"/>
      <c r="P158" s="25"/>
      <c r="Q158" s="25"/>
      <c r="R158" s="25"/>
      <c r="S158" s="25"/>
      <c r="T158" s="25"/>
      <c r="U158" s="25"/>
      <c r="V158" s="25"/>
      <c r="W158" s="25"/>
      <c r="X158" s="25"/>
      <c r="Y158" s="25"/>
      <c r="Z158" s="25"/>
    </row>
    <row r="159" ht="12.75" customHeight="1">
      <c r="A159" s="406" t="s">
        <v>1362</v>
      </c>
      <c r="B159" s="407">
        <v>15.58</v>
      </c>
      <c r="C159" s="403">
        <v>2.8</v>
      </c>
      <c r="D159" s="403">
        <f t="shared" si="1"/>
        <v>87.248</v>
      </c>
      <c r="E159" s="401">
        <v>2.0</v>
      </c>
      <c r="F159" s="408">
        <f t="shared" si="2"/>
        <v>62.32</v>
      </c>
      <c r="G159" s="409">
        <v>3.808</v>
      </c>
      <c r="H159" s="59">
        <f t="shared" si="3"/>
        <v>118.65728</v>
      </c>
      <c r="I159" s="25"/>
      <c r="J159" s="25"/>
      <c r="K159" s="25"/>
      <c r="L159" s="25"/>
      <c r="M159" s="25"/>
      <c r="N159" s="25"/>
      <c r="O159" s="25"/>
      <c r="P159" s="25"/>
      <c r="Q159" s="25"/>
      <c r="R159" s="25"/>
      <c r="S159" s="25"/>
      <c r="T159" s="25"/>
      <c r="U159" s="25"/>
      <c r="V159" s="25"/>
      <c r="W159" s="25"/>
      <c r="X159" s="25"/>
      <c r="Y159" s="25"/>
      <c r="Z159" s="25"/>
    </row>
    <row r="160" ht="12.75" customHeight="1">
      <c r="A160" s="406" t="s">
        <v>1363</v>
      </c>
      <c r="B160" s="407">
        <v>19.76</v>
      </c>
      <c r="C160" s="403">
        <v>0.93</v>
      </c>
      <c r="D160" s="403">
        <f t="shared" si="1"/>
        <v>36.7536</v>
      </c>
      <c r="E160" s="401">
        <v>6.0</v>
      </c>
      <c r="F160" s="408">
        <f t="shared" si="2"/>
        <v>237.12</v>
      </c>
      <c r="G160" s="409">
        <v>5.63</v>
      </c>
      <c r="H160" s="59">
        <f t="shared" si="3"/>
        <v>222.4976</v>
      </c>
      <c r="I160" s="25"/>
      <c r="J160" s="25"/>
      <c r="K160" s="25"/>
      <c r="L160" s="25"/>
      <c r="M160" s="25"/>
      <c r="N160" s="25"/>
      <c r="O160" s="25"/>
      <c r="P160" s="25"/>
      <c r="Q160" s="25"/>
      <c r="R160" s="25"/>
      <c r="S160" s="25"/>
      <c r="T160" s="25"/>
      <c r="U160" s="25"/>
      <c r="V160" s="25"/>
      <c r="W160" s="25"/>
      <c r="X160" s="25"/>
      <c r="Y160" s="25"/>
      <c r="Z160" s="25"/>
    </row>
    <row r="161" ht="12.75" customHeight="1">
      <c r="A161" s="406" t="s">
        <v>1364</v>
      </c>
      <c r="B161" s="407">
        <v>45.46</v>
      </c>
      <c r="C161" s="403">
        <v>0.0</v>
      </c>
      <c r="D161" s="403">
        <f t="shared" si="1"/>
        <v>0</v>
      </c>
      <c r="E161" s="401">
        <v>1.0</v>
      </c>
      <c r="F161" s="408">
        <f t="shared" si="2"/>
        <v>90.92</v>
      </c>
      <c r="G161" s="409">
        <v>1.0</v>
      </c>
      <c r="H161" s="59">
        <f t="shared" si="3"/>
        <v>90.92</v>
      </c>
      <c r="I161" s="25"/>
      <c r="J161" s="25"/>
      <c r="K161" s="25"/>
      <c r="L161" s="25"/>
      <c r="M161" s="25"/>
      <c r="N161" s="25"/>
      <c r="O161" s="25"/>
      <c r="P161" s="25"/>
      <c r="Q161" s="25"/>
      <c r="R161" s="25"/>
      <c r="S161" s="25"/>
      <c r="T161" s="25"/>
      <c r="U161" s="25"/>
      <c r="V161" s="25"/>
      <c r="W161" s="25"/>
      <c r="X161" s="25"/>
      <c r="Y161" s="25"/>
      <c r="Z161" s="25"/>
    </row>
    <row r="162" ht="12.75" customHeight="1">
      <c r="A162" s="406" t="s">
        <v>1365</v>
      </c>
      <c r="B162" s="407">
        <v>399.62</v>
      </c>
      <c r="C162" s="403">
        <v>0.93</v>
      </c>
      <c r="D162" s="403">
        <f t="shared" si="1"/>
        <v>743.2932</v>
      </c>
      <c r="E162" s="401">
        <v>0.0</v>
      </c>
      <c r="F162" s="408">
        <f t="shared" si="2"/>
        <v>0</v>
      </c>
      <c r="G162" s="409">
        <v>0.0</v>
      </c>
      <c r="H162" s="59">
        <f t="shared" si="3"/>
        <v>0</v>
      </c>
      <c r="I162" s="25"/>
      <c r="J162" s="25"/>
      <c r="K162" s="25"/>
      <c r="L162" s="25"/>
      <c r="M162" s="25"/>
      <c r="N162" s="25"/>
      <c r="O162" s="25"/>
      <c r="P162" s="25"/>
      <c r="Q162" s="25"/>
      <c r="R162" s="25"/>
      <c r="S162" s="25"/>
      <c r="T162" s="25"/>
      <c r="U162" s="25"/>
      <c r="V162" s="25"/>
      <c r="W162" s="25"/>
      <c r="X162" s="25"/>
      <c r="Y162" s="25"/>
      <c r="Z162" s="25"/>
    </row>
    <row r="163" ht="12.75" customHeight="1">
      <c r="A163" s="406" t="s">
        <v>1366</v>
      </c>
      <c r="B163" s="407">
        <v>114.38</v>
      </c>
      <c r="C163" s="403">
        <v>0.93</v>
      </c>
      <c r="D163" s="403">
        <f t="shared" si="1"/>
        <v>212.7468</v>
      </c>
      <c r="E163" s="401">
        <v>0.0</v>
      </c>
      <c r="F163" s="408">
        <f t="shared" si="2"/>
        <v>0</v>
      </c>
      <c r="G163" s="409">
        <v>0.0</v>
      </c>
      <c r="H163" s="59">
        <f t="shared" si="3"/>
        <v>0</v>
      </c>
      <c r="I163" s="25"/>
      <c r="J163" s="25"/>
      <c r="K163" s="25"/>
      <c r="L163" s="25"/>
      <c r="M163" s="25"/>
      <c r="N163" s="25"/>
      <c r="O163" s="25"/>
      <c r="P163" s="25"/>
      <c r="Q163" s="25"/>
      <c r="R163" s="25"/>
      <c r="S163" s="25"/>
      <c r="T163" s="25"/>
      <c r="U163" s="25"/>
      <c r="V163" s="25"/>
      <c r="W163" s="25"/>
      <c r="X163" s="25"/>
      <c r="Y163" s="25"/>
      <c r="Z163" s="25"/>
    </row>
    <row r="164" ht="12.75" customHeight="1">
      <c r="A164" s="406" t="s">
        <v>1367</v>
      </c>
      <c r="B164" s="407">
        <v>52.96</v>
      </c>
      <c r="C164" s="403">
        <v>0.93</v>
      </c>
      <c r="D164" s="403">
        <f t="shared" si="1"/>
        <v>98.5056</v>
      </c>
      <c r="E164" s="401">
        <v>0.0</v>
      </c>
      <c r="F164" s="408">
        <f t="shared" si="2"/>
        <v>0</v>
      </c>
      <c r="G164" s="409">
        <v>0.0</v>
      </c>
      <c r="H164" s="59">
        <f t="shared" si="3"/>
        <v>0</v>
      </c>
      <c r="I164" s="25"/>
      <c r="J164" s="25"/>
      <c r="K164" s="25"/>
      <c r="L164" s="25"/>
      <c r="M164" s="25"/>
      <c r="N164" s="25"/>
      <c r="O164" s="25"/>
      <c r="P164" s="25"/>
      <c r="Q164" s="25"/>
      <c r="R164" s="25"/>
      <c r="S164" s="25"/>
      <c r="T164" s="25"/>
      <c r="U164" s="25"/>
      <c r="V164" s="25"/>
      <c r="W164" s="25"/>
      <c r="X164" s="25"/>
      <c r="Y164" s="25"/>
      <c r="Z164" s="25"/>
    </row>
    <row r="165" ht="12.75" customHeight="1">
      <c r="A165" s="406" t="s">
        <v>1368</v>
      </c>
      <c r="B165" s="407">
        <v>13.57</v>
      </c>
      <c r="C165" s="403">
        <v>9.3</v>
      </c>
      <c r="D165" s="403">
        <f t="shared" si="1"/>
        <v>252.402</v>
      </c>
      <c r="E165" s="401">
        <v>36.1</v>
      </c>
      <c r="F165" s="408">
        <f t="shared" si="2"/>
        <v>979.754</v>
      </c>
      <c r="G165" s="409">
        <v>42.9</v>
      </c>
      <c r="H165" s="59">
        <f t="shared" si="3"/>
        <v>1164.306</v>
      </c>
      <c r="I165" s="25"/>
      <c r="J165" s="25"/>
      <c r="K165" s="25"/>
      <c r="L165" s="25"/>
      <c r="M165" s="25"/>
      <c r="N165" s="25"/>
      <c r="O165" s="25"/>
      <c r="P165" s="25"/>
      <c r="Q165" s="25"/>
      <c r="R165" s="25"/>
      <c r="S165" s="25"/>
      <c r="T165" s="25"/>
      <c r="U165" s="25"/>
      <c r="V165" s="25"/>
      <c r="W165" s="25"/>
      <c r="X165" s="25"/>
      <c r="Y165" s="25"/>
      <c r="Z165" s="25"/>
    </row>
    <row r="166" ht="12.75" customHeight="1">
      <c r="A166" s="406" t="s">
        <v>1369</v>
      </c>
      <c r="B166" s="407">
        <v>32.09</v>
      </c>
      <c r="C166" s="403">
        <v>0.0</v>
      </c>
      <c r="D166" s="403">
        <f t="shared" si="1"/>
        <v>0</v>
      </c>
      <c r="E166" s="401">
        <v>1.0</v>
      </c>
      <c r="F166" s="408">
        <f t="shared" si="2"/>
        <v>64.18</v>
      </c>
      <c r="G166" s="409">
        <v>2.0</v>
      </c>
      <c r="H166" s="59">
        <f t="shared" si="3"/>
        <v>128.36</v>
      </c>
      <c r="I166" s="25"/>
      <c r="J166" s="25"/>
      <c r="K166" s="25"/>
      <c r="L166" s="25"/>
      <c r="M166" s="25"/>
      <c r="N166" s="25"/>
      <c r="O166" s="25"/>
      <c r="P166" s="25"/>
      <c r="Q166" s="25"/>
      <c r="R166" s="25"/>
      <c r="S166" s="25"/>
      <c r="T166" s="25"/>
      <c r="U166" s="25"/>
      <c r="V166" s="25"/>
      <c r="W166" s="25"/>
      <c r="X166" s="25"/>
      <c r="Y166" s="25"/>
      <c r="Z166" s="25"/>
    </row>
    <row r="167" ht="12.75" customHeight="1">
      <c r="A167" s="406" t="s">
        <v>1370</v>
      </c>
      <c r="B167" s="407">
        <v>10.45</v>
      </c>
      <c r="C167" s="403">
        <v>0.0</v>
      </c>
      <c r="D167" s="403">
        <f t="shared" si="1"/>
        <v>0</v>
      </c>
      <c r="E167" s="401">
        <v>0.0</v>
      </c>
      <c r="F167" s="408">
        <f t="shared" si="2"/>
        <v>0</v>
      </c>
      <c r="G167" s="409">
        <v>0.5</v>
      </c>
      <c r="H167" s="59">
        <f t="shared" si="3"/>
        <v>10.45</v>
      </c>
      <c r="I167" s="25"/>
      <c r="J167" s="25"/>
      <c r="K167" s="25"/>
      <c r="L167" s="25"/>
      <c r="M167" s="25"/>
      <c r="N167" s="25"/>
      <c r="O167" s="25"/>
      <c r="P167" s="25"/>
      <c r="Q167" s="25"/>
      <c r="R167" s="25"/>
      <c r="S167" s="25"/>
      <c r="T167" s="25"/>
      <c r="U167" s="25"/>
      <c r="V167" s="25"/>
      <c r="W167" s="25"/>
      <c r="X167" s="25"/>
      <c r="Y167" s="25"/>
      <c r="Z167" s="25"/>
    </row>
    <row r="168" ht="12.75" customHeight="1">
      <c r="A168" s="406" t="s">
        <v>1371</v>
      </c>
      <c r="B168" s="407">
        <v>35.3</v>
      </c>
      <c r="C168" s="403">
        <v>0.93</v>
      </c>
      <c r="D168" s="403">
        <f t="shared" si="1"/>
        <v>65.658</v>
      </c>
      <c r="E168" s="401">
        <v>0.0</v>
      </c>
      <c r="F168" s="408">
        <f t="shared" si="2"/>
        <v>0</v>
      </c>
      <c r="G168" s="409">
        <v>0.0</v>
      </c>
      <c r="H168" s="59">
        <f t="shared" si="3"/>
        <v>0</v>
      </c>
      <c r="I168" s="25"/>
      <c r="J168" s="25"/>
      <c r="K168" s="25"/>
      <c r="L168" s="25"/>
      <c r="M168" s="25"/>
      <c r="N168" s="25"/>
      <c r="O168" s="25"/>
      <c r="P168" s="25"/>
      <c r="Q168" s="25"/>
      <c r="R168" s="25"/>
      <c r="S168" s="25"/>
      <c r="T168" s="25"/>
      <c r="U168" s="25"/>
      <c r="V168" s="25"/>
      <c r="W168" s="25"/>
      <c r="X168" s="25"/>
      <c r="Y168" s="25"/>
      <c r="Z168" s="25"/>
    </row>
    <row r="169" ht="12.75" customHeight="1">
      <c r="A169" s="406" t="s">
        <v>1372</v>
      </c>
      <c r="B169" s="407">
        <v>489.06</v>
      </c>
      <c r="C169" s="403">
        <v>2.8</v>
      </c>
      <c r="D169" s="403">
        <f t="shared" si="1"/>
        <v>2738.736</v>
      </c>
      <c r="E169" s="401">
        <v>0.0</v>
      </c>
      <c r="F169" s="408">
        <f t="shared" si="2"/>
        <v>0</v>
      </c>
      <c r="G169" s="409">
        <v>1.0</v>
      </c>
      <c r="H169" s="59">
        <f t="shared" si="3"/>
        <v>978.12</v>
      </c>
      <c r="I169" s="25"/>
      <c r="J169" s="25"/>
      <c r="K169" s="25"/>
      <c r="L169" s="25"/>
      <c r="M169" s="25"/>
      <c r="N169" s="25"/>
      <c r="O169" s="25"/>
      <c r="P169" s="25"/>
      <c r="Q169" s="25"/>
      <c r="R169" s="25"/>
      <c r="S169" s="25"/>
      <c r="T169" s="25"/>
      <c r="U169" s="25"/>
      <c r="V169" s="25"/>
      <c r="W169" s="25"/>
      <c r="X169" s="25"/>
      <c r="Y169" s="25"/>
      <c r="Z169" s="25"/>
    </row>
    <row r="170" ht="12.75" customHeight="1">
      <c r="A170" s="406" t="s">
        <v>1373</v>
      </c>
      <c r="B170" s="407">
        <v>61.26</v>
      </c>
      <c r="C170" s="403">
        <v>0.0</v>
      </c>
      <c r="D170" s="403">
        <f t="shared" si="1"/>
        <v>0</v>
      </c>
      <c r="E170" s="408">
        <v>0.0</v>
      </c>
      <c r="F170" s="408">
        <f t="shared" si="2"/>
        <v>0</v>
      </c>
      <c r="G170" s="409">
        <v>1.0</v>
      </c>
      <c r="H170" s="59">
        <f t="shared" si="3"/>
        <v>122.52</v>
      </c>
      <c r="I170" s="25"/>
      <c r="J170" s="25"/>
      <c r="K170" s="25"/>
      <c r="L170" s="25"/>
      <c r="M170" s="25"/>
      <c r="N170" s="25"/>
      <c r="O170" s="25"/>
      <c r="P170" s="25"/>
      <c r="Q170" s="25"/>
      <c r="R170" s="25"/>
      <c r="S170" s="25"/>
      <c r="T170" s="25"/>
      <c r="U170" s="25"/>
      <c r="V170" s="25"/>
      <c r="W170" s="25"/>
      <c r="X170" s="25"/>
      <c r="Y170" s="25"/>
      <c r="Z170" s="25"/>
    </row>
    <row r="171" ht="12.75" customHeight="1">
      <c r="A171" s="406" t="s">
        <v>1374</v>
      </c>
      <c r="B171" s="407">
        <v>309.82</v>
      </c>
      <c r="C171" s="403">
        <v>0.0</v>
      </c>
      <c r="D171" s="403">
        <f t="shared" si="1"/>
        <v>0</v>
      </c>
      <c r="E171" s="401">
        <v>0.0</v>
      </c>
      <c r="F171" s="408">
        <f t="shared" si="2"/>
        <v>0</v>
      </c>
      <c r="G171" s="409">
        <v>0.0</v>
      </c>
      <c r="H171" s="59">
        <f t="shared" si="3"/>
        <v>0</v>
      </c>
      <c r="I171" s="25"/>
      <c r="J171" s="25"/>
      <c r="K171" s="25"/>
      <c r="L171" s="25"/>
      <c r="M171" s="25"/>
      <c r="N171" s="25"/>
      <c r="O171" s="25"/>
      <c r="P171" s="25"/>
      <c r="Q171" s="25"/>
      <c r="R171" s="25"/>
      <c r="S171" s="25"/>
      <c r="T171" s="25"/>
      <c r="U171" s="25"/>
      <c r="V171" s="25"/>
      <c r="W171" s="25"/>
      <c r="X171" s="25"/>
      <c r="Y171" s="25"/>
      <c r="Z171" s="25"/>
    </row>
    <row r="172" ht="12.75" customHeight="1">
      <c r="A172" s="406" t="s">
        <v>1375</v>
      </c>
      <c r="B172" s="407">
        <v>207.96</v>
      </c>
      <c r="C172" s="403">
        <v>0.93</v>
      </c>
      <c r="D172" s="403">
        <f t="shared" si="1"/>
        <v>386.8056</v>
      </c>
      <c r="E172" s="401">
        <v>0.0</v>
      </c>
      <c r="F172" s="408">
        <f t="shared" si="2"/>
        <v>0</v>
      </c>
      <c r="G172" s="409">
        <v>1.0</v>
      </c>
      <c r="H172" s="59">
        <f t="shared" si="3"/>
        <v>415.92</v>
      </c>
      <c r="I172" s="25"/>
      <c r="J172" s="25"/>
      <c r="K172" s="25"/>
      <c r="L172" s="25"/>
      <c r="M172" s="25"/>
      <c r="N172" s="25"/>
      <c r="O172" s="25"/>
      <c r="P172" s="25"/>
      <c r="Q172" s="25"/>
      <c r="R172" s="25"/>
      <c r="S172" s="25"/>
      <c r="T172" s="25"/>
      <c r="U172" s="25"/>
      <c r="V172" s="25"/>
      <c r="W172" s="25"/>
      <c r="X172" s="25"/>
      <c r="Y172" s="25"/>
      <c r="Z172" s="25"/>
    </row>
    <row r="173" ht="12.75" customHeight="1">
      <c r="A173" s="406" t="s">
        <v>1376</v>
      </c>
      <c r="B173" s="407">
        <v>44.13</v>
      </c>
      <c r="C173" s="403">
        <v>0.0</v>
      </c>
      <c r="D173" s="403">
        <f t="shared" si="1"/>
        <v>0</v>
      </c>
      <c r="E173" s="401">
        <v>0.0</v>
      </c>
      <c r="F173" s="408">
        <f t="shared" si="2"/>
        <v>0</v>
      </c>
      <c r="G173" s="409">
        <v>0.0</v>
      </c>
      <c r="H173" s="59">
        <f t="shared" si="3"/>
        <v>0</v>
      </c>
      <c r="I173" s="25"/>
      <c r="J173" s="25"/>
      <c r="K173" s="25"/>
      <c r="L173" s="25"/>
      <c r="M173" s="25"/>
      <c r="N173" s="25"/>
      <c r="O173" s="25"/>
      <c r="P173" s="25"/>
      <c r="Q173" s="25"/>
      <c r="R173" s="25"/>
      <c r="S173" s="25"/>
      <c r="T173" s="25"/>
      <c r="U173" s="25"/>
      <c r="V173" s="25"/>
      <c r="W173" s="25"/>
      <c r="X173" s="25"/>
      <c r="Y173" s="25"/>
      <c r="Z173" s="25"/>
    </row>
    <row r="174" ht="12.75" customHeight="1">
      <c r="A174" s="406" t="s">
        <v>1377</v>
      </c>
      <c r="B174" s="407">
        <v>14.93</v>
      </c>
      <c r="C174" s="403">
        <v>0.0</v>
      </c>
      <c r="D174" s="403">
        <f t="shared" si="1"/>
        <v>0</v>
      </c>
      <c r="E174" s="401">
        <v>1.0</v>
      </c>
      <c r="F174" s="408">
        <f t="shared" si="2"/>
        <v>29.86</v>
      </c>
      <c r="G174" s="409">
        <v>1.0</v>
      </c>
      <c r="H174" s="59">
        <f t="shared" si="3"/>
        <v>29.86</v>
      </c>
      <c r="I174" s="25"/>
      <c r="J174" s="25"/>
      <c r="K174" s="25"/>
      <c r="L174" s="25"/>
      <c r="M174" s="25"/>
      <c r="N174" s="25"/>
      <c r="O174" s="25"/>
      <c r="P174" s="25"/>
      <c r="Q174" s="25"/>
      <c r="R174" s="25"/>
      <c r="S174" s="25"/>
      <c r="T174" s="25"/>
      <c r="U174" s="25"/>
      <c r="V174" s="25"/>
      <c r="W174" s="25"/>
      <c r="X174" s="25"/>
      <c r="Y174" s="25"/>
      <c r="Z174" s="25"/>
    </row>
    <row r="175" ht="12.75" customHeight="1">
      <c r="A175" s="406" t="s">
        <v>1378</v>
      </c>
      <c r="B175" s="407">
        <v>5.86</v>
      </c>
      <c r="C175" s="403">
        <v>0.0</v>
      </c>
      <c r="D175" s="403">
        <f t="shared" si="1"/>
        <v>0</v>
      </c>
      <c r="E175" s="401">
        <v>1.0</v>
      </c>
      <c r="F175" s="408">
        <f t="shared" si="2"/>
        <v>11.72</v>
      </c>
      <c r="G175" s="409">
        <v>1.0</v>
      </c>
      <c r="H175" s="59">
        <f t="shared" si="3"/>
        <v>11.72</v>
      </c>
      <c r="I175" s="25"/>
      <c r="J175" s="25"/>
      <c r="K175" s="25"/>
      <c r="L175" s="25"/>
      <c r="M175" s="25"/>
      <c r="N175" s="25"/>
      <c r="O175" s="25"/>
      <c r="P175" s="25"/>
      <c r="Q175" s="25"/>
      <c r="R175" s="25"/>
      <c r="S175" s="25"/>
      <c r="T175" s="25"/>
      <c r="U175" s="25"/>
      <c r="V175" s="25"/>
      <c r="W175" s="25"/>
      <c r="X175" s="25"/>
      <c r="Y175" s="25"/>
      <c r="Z175" s="25"/>
    </row>
    <row r="176" ht="12.75" customHeight="1">
      <c r="A176" s="406" t="s">
        <v>1379</v>
      </c>
      <c r="B176" s="407">
        <v>64.89</v>
      </c>
      <c r="C176" s="403">
        <v>0.93</v>
      </c>
      <c r="D176" s="403">
        <f t="shared" si="1"/>
        <v>120.6954</v>
      </c>
      <c r="E176" s="401">
        <v>0.0</v>
      </c>
      <c r="F176" s="408">
        <f t="shared" si="2"/>
        <v>0</v>
      </c>
      <c r="G176" s="409">
        <v>0.75</v>
      </c>
      <c r="H176" s="59">
        <f t="shared" si="3"/>
        <v>97.335</v>
      </c>
      <c r="I176" s="25"/>
      <c r="J176" s="25"/>
      <c r="K176" s="25"/>
      <c r="L176" s="25"/>
      <c r="M176" s="25"/>
      <c r="N176" s="25"/>
      <c r="O176" s="25"/>
      <c r="P176" s="25"/>
      <c r="Q176" s="25"/>
      <c r="R176" s="25"/>
      <c r="S176" s="25"/>
      <c r="T176" s="25"/>
      <c r="U176" s="25"/>
      <c r="V176" s="25"/>
      <c r="W176" s="25"/>
      <c r="X176" s="25"/>
      <c r="Y176" s="25"/>
      <c r="Z176" s="25"/>
    </row>
    <row r="177" ht="12.75" customHeight="1">
      <c r="A177" s="406" t="s">
        <v>1380</v>
      </c>
      <c r="B177" s="407">
        <v>37.02</v>
      </c>
      <c r="C177" s="403">
        <v>0.0</v>
      </c>
      <c r="D177" s="403">
        <f t="shared" si="1"/>
        <v>0</v>
      </c>
      <c r="E177" s="401">
        <v>1.0</v>
      </c>
      <c r="F177" s="408">
        <f t="shared" si="2"/>
        <v>74.04</v>
      </c>
      <c r="G177" s="409">
        <v>0.83</v>
      </c>
      <c r="H177" s="59">
        <f t="shared" si="3"/>
        <v>61.4532</v>
      </c>
      <c r="I177" s="25"/>
      <c r="J177" s="25"/>
      <c r="K177" s="25"/>
      <c r="L177" s="25"/>
      <c r="M177" s="25"/>
      <c r="N177" s="25"/>
      <c r="O177" s="25"/>
      <c r="P177" s="25"/>
      <c r="Q177" s="25"/>
      <c r="R177" s="25"/>
      <c r="S177" s="25"/>
      <c r="T177" s="25"/>
      <c r="U177" s="25"/>
      <c r="V177" s="25"/>
      <c r="W177" s="25"/>
      <c r="X177" s="25"/>
      <c r="Y177" s="25"/>
      <c r="Z177" s="25"/>
    </row>
    <row r="178" ht="12.75" customHeight="1">
      <c r="A178" s="406" t="s">
        <v>1381</v>
      </c>
      <c r="B178" s="407">
        <v>52.57</v>
      </c>
      <c r="C178" s="403">
        <v>0.93</v>
      </c>
      <c r="D178" s="403">
        <f t="shared" si="1"/>
        <v>97.7802</v>
      </c>
      <c r="E178" s="401">
        <v>0.0</v>
      </c>
      <c r="F178" s="408">
        <f t="shared" si="2"/>
        <v>0</v>
      </c>
      <c r="G178" s="409">
        <v>0.0</v>
      </c>
      <c r="H178" s="59">
        <f t="shared" si="3"/>
        <v>0</v>
      </c>
      <c r="I178" s="25"/>
      <c r="J178" s="25"/>
      <c r="K178" s="25"/>
      <c r="L178" s="25"/>
      <c r="M178" s="25"/>
      <c r="N178" s="25"/>
      <c r="O178" s="25"/>
      <c r="P178" s="25"/>
      <c r="Q178" s="25"/>
      <c r="R178" s="25"/>
      <c r="S178" s="25"/>
      <c r="T178" s="25"/>
      <c r="U178" s="25"/>
      <c r="V178" s="25"/>
      <c r="W178" s="25"/>
      <c r="X178" s="25"/>
      <c r="Y178" s="25"/>
      <c r="Z178" s="25"/>
    </row>
    <row r="179" ht="12.75" customHeight="1">
      <c r="A179" s="406" t="s">
        <v>1382</v>
      </c>
      <c r="B179" s="407">
        <v>36.97</v>
      </c>
      <c r="C179" s="403">
        <v>0.0</v>
      </c>
      <c r="D179" s="403">
        <f t="shared" si="1"/>
        <v>0</v>
      </c>
      <c r="E179" s="401">
        <v>0.0</v>
      </c>
      <c r="F179" s="408">
        <f t="shared" si="2"/>
        <v>0</v>
      </c>
      <c r="G179" s="409">
        <v>1.0</v>
      </c>
      <c r="H179" s="59">
        <f t="shared" si="3"/>
        <v>73.94</v>
      </c>
      <c r="I179" s="47"/>
      <c r="J179" s="47"/>
      <c r="K179" s="47"/>
      <c r="L179" s="47"/>
      <c r="M179" s="47"/>
      <c r="N179" s="47"/>
      <c r="O179" s="47"/>
      <c r="P179" s="47"/>
      <c r="Q179" s="47"/>
      <c r="R179" s="47"/>
      <c r="S179" s="47"/>
      <c r="T179" s="47"/>
      <c r="U179" s="47"/>
      <c r="V179" s="47"/>
      <c r="W179" s="47"/>
      <c r="X179" s="47"/>
      <c r="Y179" s="47"/>
      <c r="Z179" s="47"/>
    </row>
    <row r="180" ht="12.75" customHeight="1">
      <c r="A180" s="406" t="s">
        <v>1383</v>
      </c>
      <c r="B180" s="407">
        <v>195.28</v>
      </c>
      <c r="C180" s="403">
        <v>0.0</v>
      </c>
      <c r="D180" s="403">
        <f t="shared" si="1"/>
        <v>0</v>
      </c>
      <c r="E180" s="401">
        <v>0.0</v>
      </c>
      <c r="F180" s="408">
        <f t="shared" si="2"/>
        <v>0</v>
      </c>
      <c r="G180" s="411">
        <v>0.0</v>
      </c>
      <c r="H180" s="59">
        <f t="shared" si="3"/>
        <v>0</v>
      </c>
      <c r="I180" s="25"/>
      <c r="J180" s="25"/>
      <c r="K180" s="25"/>
      <c r="L180" s="25"/>
      <c r="M180" s="25"/>
      <c r="N180" s="25"/>
      <c r="O180" s="25"/>
      <c r="P180" s="25"/>
      <c r="Q180" s="25"/>
      <c r="R180" s="25"/>
      <c r="S180" s="25"/>
      <c r="T180" s="25"/>
      <c r="U180" s="25"/>
      <c r="V180" s="25"/>
      <c r="W180" s="25"/>
      <c r="X180" s="25"/>
      <c r="Y180" s="25"/>
      <c r="Z180" s="25"/>
    </row>
    <row r="181" ht="12.75" customHeight="1">
      <c r="A181" s="406" t="s">
        <v>1384</v>
      </c>
      <c r="B181" s="407">
        <v>5.05</v>
      </c>
      <c r="C181" s="403">
        <v>8.35</v>
      </c>
      <c r="D181" s="403">
        <f t="shared" si="1"/>
        <v>84.335</v>
      </c>
      <c r="E181" s="401">
        <v>23.8</v>
      </c>
      <c r="F181" s="408">
        <f t="shared" si="2"/>
        <v>240.38</v>
      </c>
      <c r="G181" s="411">
        <v>53.76</v>
      </c>
      <c r="H181" s="59">
        <f t="shared" si="3"/>
        <v>542.976</v>
      </c>
      <c r="I181" s="25"/>
      <c r="J181" s="25"/>
      <c r="K181" s="25"/>
      <c r="L181" s="25"/>
      <c r="M181" s="25"/>
      <c r="N181" s="25"/>
      <c r="O181" s="25"/>
      <c r="P181" s="25"/>
      <c r="Q181" s="25"/>
      <c r="R181" s="25"/>
      <c r="S181" s="25"/>
      <c r="T181" s="25"/>
      <c r="U181" s="25"/>
      <c r="V181" s="25"/>
      <c r="W181" s="25"/>
      <c r="X181" s="25"/>
      <c r="Y181" s="25"/>
      <c r="Z181" s="25"/>
    </row>
    <row r="182" ht="12.75" customHeight="1">
      <c r="A182" s="406" t="s">
        <v>1385</v>
      </c>
      <c r="B182" s="407">
        <v>61.1</v>
      </c>
      <c r="C182" s="403">
        <v>0.93</v>
      </c>
      <c r="D182" s="403">
        <f t="shared" si="1"/>
        <v>113.646</v>
      </c>
      <c r="E182" s="401">
        <v>1.0</v>
      </c>
      <c r="F182" s="408">
        <f t="shared" si="2"/>
        <v>122.2</v>
      </c>
      <c r="G182" s="409">
        <v>0.0</v>
      </c>
      <c r="H182" s="59">
        <f t="shared" si="3"/>
        <v>0</v>
      </c>
      <c r="I182" s="25"/>
      <c r="J182" s="25"/>
      <c r="K182" s="25"/>
      <c r="L182" s="25"/>
      <c r="M182" s="25"/>
      <c r="N182" s="25"/>
      <c r="O182" s="25"/>
      <c r="P182" s="25"/>
      <c r="Q182" s="25"/>
      <c r="R182" s="25"/>
      <c r="S182" s="25"/>
      <c r="T182" s="25"/>
      <c r="U182" s="25"/>
      <c r="V182" s="25"/>
      <c r="W182" s="25"/>
      <c r="X182" s="25"/>
      <c r="Y182" s="25"/>
      <c r="Z182" s="25"/>
    </row>
    <row r="183" ht="12.75" customHeight="1">
      <c r="A183" s="406" t="s">
        <v>1386</v>
      </c>
      <c r="B183" s="407">
        <v>10.91</v>
      </c>
      <c r="C183" s="403">
        <v>3.7</v>
      </c>
      <c r="D183" s="403">
        <f t="shared" si="1"/>
        <v>80.734</v>
      </c>
      <c r="E183" s="401">
        <v>18.0</v>
      </c>
      <c r="F183" s="408">
        <f t="shared" si="2"/>
        <v>392.76</v>
      </c>
      <c r="G183" s="409">
        <v>16.5</v>
      </c>
      <c r="H183" s="59">
        <f t="shared" si="3"/>
        <v>360.03</v>
      </c>
      <c r="I183" s="25"/>
      <c r="J183" s="25"/>
      <c r="K183" s="25"/>
      <c r="L183" s="25"/>
      <c r="M183" s="25"/>
      <c r="N183" s="25"/>
      <c r="O183" s="25"/>
      <c r="P183" s="25"/>
      <c r="Q183" s="25"/>
      <c r="R183" s="25"/>
      <c r="S183" s="25"/>
      <c r="T183" s="25"/>
      <c r="U183" s="25"/>
      <c r="V183" s="25"/>
      <c r="W183" s="25"/>
      <c r="X183" s="25"/>
      <c r="Y183" s="25"/>
      <c r="Z183" s="25"/>
    </row>
    <row r="184" ht="12.75" customHeight="1">
      <c r="A184" s="406" t="s">
        <v>1387</v>
      </c>
      <c r="B184" s="407">
        <v>174.37</v>
      </c>
      <c r="C184" s="403">
        <v>0.0</v>
      </c>
      <c r="D184" s="403">
        <f t="shared" si="1"/>
        <v>0</v>
      </c>
      <c r="E184" s="401">
        <v>0.0</v>
      </c>
      <c r="F184" s="408">
        <f t="shared" si="2"/>
        <v>0</v>
      </c>
      <c r="G184" s="409">
        <v>0.0</v>
      </c>
      <c r="H184" s="59">
        <f t="shared" si="3"/>
        <v>0</v>
      </c>
      <c r="I184" s="25"/>
      <c r="J184" s="25"/>
      <c r="K184" s="25"/>
      <c r="L184" s="25"/>
      <c r="M184" s="25"/>
      <c r="N184" s="25"/>
      <c r="O184" s="25"/>
      <c r="P184" s="25"/>
      <c r="Q184" s="25"/>
      <c r="R184" s="25"/>
      <c r="S184" s="25"/>
      <c r="T184" s="25"/>
      <c r="U184" s="25"/>
      <c r="V184" s="25"/>
      <c r="W184" s="25"/>
      <c r="X184" s="25"/>
      <c r="Y184" s="25"/>
      <c r="Z184" s="25"/>
    </row>
    <row r="185" ht="12.75" customHeight="1">
      <c r="A185" s="406" t="s">
        <v>1388</v>
      </c>
      <c r="B185" s="407">
        <v>103.68</v>
      </c>
      <c r="C185" s="403">
        <v>0.0</v>
      </c>
      <c r="D185" s="403">
        <f t="shared" si="1"/>
        <v>0</v>
      </c>
      <c r="E185" s="401">
        <v>1.0</v>
      </c>
      <c r="F185" s="408">
        <f t="shared" si="2"/>
        <v>207.36</v>
      </c>
      <c r="G185" s="409">
        <v>0.8</v>
      </c>
      <c r="H185" s="59">
        <f t="shared" si="3"/>
        <v>165.888</v>
      </c>
      <c r="I185" s="25"/>
      <c r="J185" s="25"/>
      <c r="K185" s="25"/>
      <c r="L185" s="25"/>
      <c r="M185" s="25"/>
      <c r="N185" s="25"/>
      <c r="O185" s="25"/>
      <c r="P185" s="25"/>
      <c r="Q185" s="25"/>
      <c r="R185" s="25"/>
      <c r="S185" s="25"/>
      <c r="T185" s="25"/>
      <c r="U185" s="25"/>
      <c r="V185" s="25"/>
      <c r="W185" s="25"/>
      <c r="X185" s="25"/>
      <c r="Y185" s="25"/>
      <c r="Z185" s="25"/>
    </row>
    <row r="186" ht="12.75" customHeight="1">
      <c r="A186" s="406" t="s">
        <v>1389</v>
      </c>
      <c r="B186" s="407">
        <v>41.19</v>
      </c>
      <c r="C186" s="403">
        <v>0.0</v>
      </c>
      <c r="D186" s="403">
        <f t="shared" si="1"/>
        <v>0</v>
      </c>
      <c r="E186" s="401">
        <v>1.0</v>
      </c>
      <c r="F186" s="408">
        <f t="shared" si="2"/>
        <v>82.38</v>
      </c>
      <c r="G186" s="409">
        <v>1.0</v>
      </c>
      <c r="H186" s="59">
        <f t="shared" si="3"/>
        <v>82.38</v>
      </c>
      <c r="I186" s="25"/>
      <c r="J186" s="25"/>
      <c r="K186" s="25"/>
      <c r="L186" s="25"/>
      <c r="M186" s="25"/>
      <c r="N186" s="25"/>
      <c r="O186" s="25"/>
      <c r="P186" s="25"/>
      <c r="Q186" s="25"/>
      <c r="R186" s="25"/>
      <c r="S186" s="25"/>
      <c r="T186" s="25"/>
      <c r="U186" s="25"/>
      <c r="V186" s="25"/>
      <c r="W186" s="25"/>
      <c r="X186" s="25"/>
      <c r="Y186" s="25"/>
      <c r="Z186" s="25"/>
    </row>
    <row r="187" ht="12.75" customHeight="1">
      <c r="A187" s="406" t="s">
        <v>1390</v>
      </c>
      <c r="B187" s="407">
        <v>386.95</v>
      </c>
      <c r="C187" s="403">
        <v>0.0</v>
      </c>
      <c r="D187" s="403">
        <f t="shared" si="1"/>
        <v>0</v>
      </c>
      <c r="E187" s="401">
        <v>0.0</v>
      </c>
      <c r="F187" s="408">
        <f t="shared" si="2"/>
        <v>0</v>
      </c>
      <c r="G187" s="409">
        <v>0.0</v>
      </c>
      <c r="H187" s="59">
        <f t="shared" si="3"/>
        <v>0</v>
      </c>
      <c r="I187" s="25"/>
      <c r="J187" s="25"/>
      <c r="K187" s="25"/>
      <c r="L187" s="25"/>
      <c r="M187" s="25"/>
      <c r="N187" s="25"/>
      <c r="O187" s="25"/>
      <c r="P187" s="25"/>
      <c r="Q187" s="25"/>
      <c r="R187" s="25"/>
      <c r="S187" s="25"/>
      <c r="T187" s="25"/>
      <c r="U187" s="25"/>
      <c r="V187" s="25"/>
      <c r="W187" s="25"/>
      <c r="X187" s="25"/>
      <c r="Y187" s="25"/>
      <c r="Z187" s="25"/>
    </row>
    <row r="188" ht="12.75" customHeight="1">
      <c r="A188" s="406" t="s">
        <v>1391</v>
      </c>
      <c r="B188" s="407">
        <v>79.87</v>
      </c>
      <c r="C188" s="403">
        <v>0.0</v>
      </c>
      <c r="D188" s="403">
        <f t="shared" si="1"/>
        <v>0</v>
      </c>
      <c r="E188" s="401">
        <v>0.0</v>
      </c>
      <c r="F188" s="408">
        <f t="shared" si="2"/>
        <v>0</v>
      </c>
      <c r="G188" s="409">
        <v>0.0</v>
      </c>
      <c r="H188" s="59">
        <f t="shared" si="3"/>
        <v>0</v>
      </c>
      <c r="I188" s="25"/>
      <c r="J188" s="25"/>
      <c r="K188" s="25"/>
      <c r="L188" s="25"/>
      <c r="M188" s="25"/>
      <c r="N188" s="25"/>
      <c r="O188" s="25"/>
      <c r="P188" s="25"/>
      <c r="Q188" s="25"/>
      <c r="R188" s="25"/>
      <c r="S188" s="25"/>
      <c r="T188" s="25"/>
      <c r="U188" s="25"/>
      <c r="V188" s="25"/>
      <c r="W188" s="25"/>
      <c r="X188" s="25"/>
      <c r="Y188" s="25"/>
      <c r="Z188" s="25"/>
    </row>
    <row r="189" ht="12.75" customHeight="1">
      <c r="A189" s="406" t="s">
        <v>1392</v>
      </c>
      <c r="B189" s="407">
        <v>161.89</v>
      </c>
      <c r="C189" s="403">
        <v>0.0</v>
      </c>
      <c r="D189" s="403">
        <f t="shared" si="1"/>
        <v>0</v>
      </c>
      <c r="E189" s="401">
        <v>1.0</v>
      </c>
      <c r="F189" s="408">
        <f t="shared" si="2"/>
        <v>323.78</v>
      </c>
      <c r="G189" s="409">
        <v>1.0</v>
      </c>
      <c r="H189" s="59">
        <f t="shared" si="3"/>
        <v>323.78</v>
      </c>
      <c r="I189" s="25"/>
      <c r="J189" s="25"/>
      <c r="K189" s="25"/>
      <c r="L189" s="25"/>
      <c r="M189" s="25"/>
      <c r="N189" s="25"/>
      <c r="O189" s="25"/>
      <c r="P189" s="25"/>
      <c r="Q189" s="25"/>
      <c r="R189" s="25"/>
      <c r="S189" s="25"/>
      <c r="T189" s="25"/>
      <c r="U189" s="25"/>
      <c r="V189" s="25"/>
      <c r="W189" s="25"/>
      <c r="X189" s="25"/>
      <c r="Y189" s="25"/>
      <c r="Z189" s="25"/>
    </row>
    <row r="190" ht="12.75" customHeight="1">
      <c r="A190" s="406" t="s">
        <v>1393</v>
      </c>
      <c r="B190" s="407">
        <v>37.83</v>
      </c>
      <c r="C190" s="403">
        <v>0.93</v>
      </c>
      <c r="D190" s="403">
        <f t="shared" si="1"/>
        <v>70.3638</v>
      </c>
      <c r="E190" s="401">
        <v>0.0</v>
      </c>
      <c r="F190" s="408">
        <f t="shared" si="2"/>
        <v>0</v>
      </c>
      <c r="G190" s="409">
        <v>0.8</v>
      </c>
      <c r="H190" s="59">
        <f t="shared" si="3"/>
        <v>60.528</v>
      </c>
      <c r="I190" s="25"/>
      <c r="J190" s="25"/>
      <c r="K190" s="25"/>
      <c r="L190" s="25"/>
      <c r="M190" s="25"/>
      <c r="N190" s="25"/>
      <c r="O190" s="25"/>
      <c r="P190" s="25"/>
      <c r="Q190" s="25"/>
      <c r="R190" s="25"/>
      <c r="S190" s="25"/>
      <c r="T190" s="25"/>
      <c r="U190" s="25"/>
      <c r="V190" s="25"/>
      <c r="W190" s="25"/>
      <c r="X190" s="25"/>
      <c r="Y190" s="25"/>
      <c r="Z190" s="25"/>
    </row>
    <row r="191" ht="12.75" customHeight="1">
      <c r="A191" s="406" t="s">
        <v>1394</v>
      </c>
      <c r="B191" s="407">
        <v>29.39</v>
      </c>
      <c r="C191" s="403">
        <v>0.0</v>
      </c>
      <c r="D191" s="403">
        <f t="shared" si="1"/>
        <v>0</v>
      </c>
      <c r="E191" s="401">
        <v>0.0</v>
      </c>
      <c r="F191" s="408">
        <f t="shared" si="2"/>
        <v>0</v>
      </c>
      <c r="G191" s="409">
        <v>0.0</v>
      </c>
      <c r="H191" s="59">
        <f t="shared" si="3"/>
        <v>0</v>
      </c>
      <c r="I191" s="25"/>
      <c r="J191" s="25"/>
      <c r="K191" s="25"/>
      <c r="L191" s="25"/>
      <c r="M191" s="25"/>
      <c r="N191" s="25"/>
      <c r="O191" s="25"/>
      <c r="P191" s="25"/>
      <c r="Q191" s="25"/>
      <c r="R191" s="25"/>
      <c r="S191" s="25"/>
      <c r="T191" s="25"/>
      <c r="U191" s="25"/>
      <c r="V191" s="25"/>
      <c r="W191" s="25"/>
      <c r="X191" s="25"/>
      <c r="Y191" s="25"/>
      <c r="Z191" s="25"/>
    </row>
    <row r="192" ht="12.75" customHeight="1">
      <c r="A192" s="406" t="s">
        <v>1395</v>
      </c>
      <c r="B192" s="407">
        <v>236.45</v>
      </c>
      <c r="C192" s="403">
        <v>0.0</v>
      </c>
      <c r="D192" s="403">
        <f t="shared" si="1"/>
        <v>0</v>
      </c>
      <c r="E192" s="401">
        <v>0.0</v>
      </c>
      <c r="F192" s="408">
        <f t="shared" si="2"/>
        <v>0</v>
      </c>
      <c r="G192" s="409">
        <v>1.0</v>
      </c>
      <c r="H192" s="59">
        <f t="shared" si="3"/>
        <v>472.9</v>
      </c>
      <c r="I192" s="25"/>
      <c r="J192" s="25"/>
      <c r="K192" s="25"/>
      <c r="L192" s="25"/>
      <c r="M192" s="25"/>
      <c r="N192" s="25"/>
      <c r="O192" s="25"/>
      <c r="P192" s="25"/>
      <c r="Q192" s="25"/>
      <c r="R192" s="25"/>
      <c r="S192" s="25"/>
      <c r="T192" s="25"/>
      <c r="U192" s="25"/>
      <c r="V192" s="25"/>
      <c r="W192" s="25"/>
      <c r="X192" s="25"/>
      <c r="Y192" s="25"/>
      <c r="Z192" s="25"/>
    </row>
    <row r="193" ht="12.75" customHeight="1">
      <c r="A193" s="25"/>
      <c r="B193" s="58"/>
      <c r="C193" s="25"/>
      <c r="D193" s="25"/>
      <c r="E193" s="25"/>
      <c r="F193" s="25"/>
      <c r="G193" s="58"/>
      <c r="H193" s="25"/>
      <c r="I193" s="47"/>
      <c r="J193" s="25"/>
      <c r="K193" s="25"/>
      <c r="L193" s="25"/>
      <c r="M193" s="25"/>
      <c r="N193" s="25"/>
      <c r="O193" s="25"/>
      <c r="P193" s="25"/>
      <c r="Q193" s="25"/>
      <c r="R193" s="25"/>
      <c r="S193" s="25"/>
      <c r="T193" s="25"/>
      <c r="U193" s="25"/>
      <c r="V193" s="25"/>
      <c r="W193" s="25"/>
      <c r="X193" s="25"/>
      <c r="Y193" s="25"/>
      <c r="Z193" s="25"/>
    </row>
    <row r="194" ht="12.75" customHeight="1">
      <c r="A194" s="55" t="s">
        <v>1396</v>
      </c>
      <c r="B194" s="115"/>
      <c r="C194" s="115"/>
      <c r="D194" s="115">
        <f>SUM(D15:D192)*B231</f>
        <v>8635212.503</v>
      </c>
      <c r="E194" s="115"/>
      <c r="F194" s="115">
        <f>SUM(F15:F192)*B231</f>
        <v>4971371.399</v>
      </c>
      <c r="G194" s="116"/>
      <c r="H194" s="116">
        <f>SUM(H15:H192)*B231</f>
        <v>7194367.607</v>
      </c>
      <c r="I194" s="47"/>
      <c r="J194" s="25"/>
      <c r="K194" s="25"/>
      <c r="L194" s="25"/>
      <c r="M194" s="25"/>
      <c r="N194" s="25"/>
      <c r="O194" s="25"/>
      <c r="P194" s="25"/>
      <c r="Q194" s="25"/>
      <c r="R194" s="25"/>
      <c r="S194" s="25"/>
      <c r="T194" s="25"/>
      <c r="U194" s="25"/>
      <c r="V194" s="25"/>
      <c r="W194" s="25"/>
      <c r="X194" s="25"/>
      <c r="Y194" s="25"/>
      <c r="Z194" s="25"/>
    </row>
    <row r="195" ht="12.75" customHeight="1">
      <c r="A195" s="57" t="s">
        <v>1397</v>
      </c>
      <c r="B195" s="412"/>
      <c r="C195" s="412">
        <v>21.0</v>
      </c>
      <c r="D195" s="412"/>
      <c r="E195" s="412">
        <v>21.0</v>
      </c>
      <c r="F195" s="412"/>
      <c r="G195" s="412"/>
      <c r="H195" s="412">
        <v>21.0</v>
      </c>
      <c r="I195" s="25"/>
      <c r="J195" s="25"/>
      <c r="K195" s="25"/>
      <c r="L195" s="25"/>
      <c r="M195" s="25"/>
      <c r="N195" s="25"/>
      <c r="O195" s="25"/>
      <c r="P195" s="25"/>
      <c r="Q195" s="25"/>
      <c r="R195" s="25"/>
      <c r="S195" s="25"/>
      <c r="T195" s="25"/>
      <c r="U195" s="25"/>
      <c r="V195" s="25"/>
      <c r="W195" s="25"/>
      <c r="X195" s="25"/>
      <c r="Y195" s="25"/>
      <c r="Z195" s="25"/>
    </row>
    <row r="196" ht="12.75" customHeight="1">
      <c r="A196" s="25" t="s">
        <v>1398</v>
      </c>
      <c r="B196" s="73"/>
      <c r="C196" s="73">
        <f>ROUND(D194/C195,1)</f>
        <v>411200.6</v>
      </c>
      <c r="D196" s="73"/>
      <c r="E196" s="73">
        <f>ROUND(F194/E195,1)</f>
        <v>236732</v>
      </c>
      <c r="F196" s="73"/>
      <c r="G196" s="73"/>
      <c r="H196" s="73">
        <f>ROUND(H194/H195,1)</f>
        <v>342588.9</v>
      </c>
      <c r="I196" s="73"/>
      <c r="Q196" s="25"/>
      <c r="R196" s="25"/>
      <c r="S196" s="25"/>
      <c r="T196" s="25"/>
      <c r="U196" s="25"/>
      <c r="V196" s="25"/>
      <c r="W196" s="25"/>
      <c r="X196" s="25"/>
      <c r="Y196" s="25"/>
    </row>
    <row r="197" ht="12.75" customHeight="1">
      <c r="A197" s="25" t="s">
        <v>197</v>
      </c>
      <c r="B197" s="73"/>
      <c r="C197" s="73">
        <f>ROUND(C196*$B218,1)</f>
        <v>51429.4</v>
      </c>
      <c r="D197" s="73"/>
      <c r="E197" s="73">
        <f>ROUND(E196*$B218,1)</f>
        <v>29608.4</v>
      </c>
      <c r="F197" s="73"/>
      <c r="G197" s="73"/>
      <c r="H197" s="73">
        <f>ROUND(H196*$B218,1)</f>
        <v>42848.1</v>
      </c>
      <c r="I197" s="73"/>
      <c r="J197" s="25"/>
      <c r="K197" s="25"/>
      <c r="L197" s="25"/>
      <c r="M197" s="25"/>
      <c r="N197" s="25"/>
      <c r="O197" s="25"/>
      <c r="P197" s="25"/>
      <c r="Q197" s="25"/>
      <c r="R197" s="25"/>
      <c r="S197" s="25"/>
      <c r="T197" s="25"/>
      <c r="U197" s="25"/>
      <c r="V197" s="25"/>
      <c r="W197" s="25"/>
      <c r="X197" s="25"/>
      <c r="Y197" s="25"/>
      <c r="Z197" s="25"/>
    </row>
    <row r="198" ht="15.0" customHeight="1">
      <c r="A198" s="47" t="s">
        <v>1399</v>
      </c>
      <c r="B198" s="78"/>
      <c r="C198" s="78">
        <f>ROUND(C196*$B219,1)</f>
        <v>3608.2</v>
      </c>
      <c r="D198" s="78"/>
      <c r="E198" s="78">
        <f>ROUND(E196*$B219,1)</f>
        <v>2077.3</v>
      </c>
      <c r="F198" s="78"/>
      <c r="G198" s="78"/>
      <c r="H198" s="78">
        <f>ROUND(H196*$B219,1)</f>
        <v>3006.1</v>
      </c>
      <c r="I198" s="78"/>
      <c r="J198" s="25"/>
      <c r="K198" s="25"/>
      <c r="L198" s="25"/>
      <c r="M198" s="25"/>
      <c r="N198" s="25"/>
      <c r="O198" s="25"/>
      <c r="P198" s="25"/>
      <c r="Q198" s="25"/>
      <c r="R198" s="25"/>
      <c r="S198" s="25"/>
      <c r="T198" s="25"/>
      <c r="U198" s="25"/>
      <c r="V198" s="25"/>
      <c r="W198" s="25"/>
      <c r="X198" s="25"/>
      <c r="Y198" s="25"/>
      <c r="Z198" s="25"/>
    </row>
    <row r="199" ht="12.75" customHeight="1">
      <c r="A199" s="25" t="s">
        <v>448</v>
      </c>
      <c r="B199" s="97"/>
      <c r="C199" s="97">
        <f>D194</f>
        <v>8635212.503</v>
      </c>
      <c r="D199" s="97"/>
      <c r="E199" s="97">
        <f>F194</f>
        <v>4971371.399</v>
      </c>
      <c r="F199" s="97"/>
      <c r="G199" s="97"/>
      <c r="H199" s="97">
        <f>H194</f>
        <v>7194367.607</v>
      </c>
      <c r="I199" s="97"/>
      <c r="J199" s="25"/>
      <c r="K199" s="25"/>
      <c r="L199" s="25"/>
      <c r="M199" s="25"/>
      <c r="N199" s="25"/>
      <c r="O199" s="25"/>
      <c r="P199" s="25"/>
      <c r="Q199" s="25"/>
      <c r="R199" s="25"/>
      <c r="S199" s="25"/>
      <c r="T199" s="25"/>
      <c r="U199" s="25"/>
      <c r="V199" s="25"/>
      <c r="W199" s="25"/>
      <c r="X199" s="25"/>
      <c r="Y199" s="25"/>
      <c r="Z199" s="25"/>
    </row>
    <row r="200" ht="15.0" customHeight="1">
      <c r="A200" s="25" t="s">
        <v>1400</v>
      </c>
      <c r="B200" s="112"/>
      <c r="C200" s="112">
        <f>($B220*C199*$B213)</f>
        <v>1.713226161</v>
      </c>
      <c r="D200" s="112"/>
      <c r="E200" s="112">
        <f>($B220*E199*$B213)</f>
        <v>0.9863200856</v>
      </c>
      <c r="F200" s="112"/>
      <c r="G200" s="112"/>
      <c r="H200" s="112">
        <f>($B220*H199*$B213)</f>
        <v>1.427362533</v>
      </c>
      <c r="I200" s="112"/>
      <c r="J200" s="25"/>
      <c r="K200" s="25"/>
      <c r="L200" s="25"/>
      <c r="M200" s="25"/>
      <c r="N200" s="25"/>
      <c r="O200" s="25"/>
      <c r="P200" s="25"/>
      <c r="Q200" s="25"/>
      <c r="R200" s="25"/>
      <c r="S200" s="25"/>
      <c r="T200" s="25"/>
      <c r="U200" s="25"/>
      <c r="V200" s="25"/>
      <c r="W200" s="25"/>
      <c r="X200" s="25"/>
      <c r="Y200" s="25"/>
      <c r="Z200" s="25"/>
    </row>
    <row r="201" ht="15.0" customHeight="1">
      <c r="A201" s="47" t="s">
        <v>1401</v>
      </c>
      <c r="B201" s="126"/>
      <c r="C201" s="126">
        <f>C199*$B220*$B213*$B214</f>
        <v>35.97774937</v>
      </c>
      <c r="D201" s="126"/>
      <c r="E201" s="126">
        <f>E199*$B220*$B213*$B214</f>
        <v>20.7127218</v>
      </c>
      <c r="F201" s="126"/>
      <c r="G201" s="126"/>
      <c r="H201" s="126">
        <f>H199*$B220*$B213*$B214</f>
        <v>29.9746132</v>
      </c>
      <c r="I201" s="126"/>
      <c r="J201" s="25"/>
      <c r="K201" s="25"/>
      <c r="L201" s="25"/>
      <c r="M201" s="25"/>
      <c r="N201" s="25"/>
      <c r="O201" s="25"/>
      <c r="P201" s="25"/>
      <c r="Q201" s="25"/>
      <c r="R201" s="25"/>
      <c r="S201" s="25"/>
      <c r="T201" s="25"/>
      <c r="U201" s="25"/>
      <c r="V201" s="25"/>
      <c r="W201" s="25"/>
      <c r="X201" s="25"/>
      <c r="Y201" s="25"/>
      <c r="Z201" s="25"/>
    </row>
    <row r="202" ht="15.0" customHeight="1">
      <c r="A202" s="25" t="s">
        <v>1402</v>
      </c>
      <c r="B202" s="112"/>
      <c r="C202" s="112">
        <f>($B221*C199*$B213)</f>
        <v>1.309961737</v>
      </c>
      <c r="D202" s="112"/>
      <c r="E202" s="112">
        <f>($B221*E199*$B213)</f>
        <v>0.7541570412</v>
      </c>
      <c r="F202" s="112"/>
      <c r="G202" s="112"/>
      <c r="H202" s="112">
        <f>($B221*H199*$B213)</f>
        <v>1.091385566</v>
      </c>
      <c r="I202" s="112"/>
    </row>
    <row r="203" ht="15.0" customHeight="1">
      <c r="A203" s="47" t="s">
        <v>1403</v>
      </c>
      <c r="B203" s="119"/>
      <c r="C203" s="119">
        <f>C199*$B221*$B213*$B215</f>
        <v>406.0881384</v>
      </c>
      <c r="D203" s="119"/>
      <c r="E203" s="119">
        <f>E199*$B221*$B213*$B215</f>
        <v>233.7886828</v>
      </c>
      <c r="F203" s="119"/>
      <c r="G203" s="119"/>
      <c r="H203" s="119">
        <f>H199*$B221*$B213*$B215</f>
        <v>338.3295255</v>
      </c>
      <c r="I203" s="119"/>
    </row>
    <row r="204" ht="12.75" customHeight="1">
      <c r="A204" s="120" t="s">
        <v>1404</v>
      </c>
      <c r="B204" s="121"/>
      <c r="C204" s="121">
        <f>ROUND(C198+C201+C203,1)</f>
        <v>4050.3</v>
      </c>
      <c r="D204" s="121"/>
      <c r="E204" s="121">
        <f>ROUND(E198+E201+E203,1)</f>
        <v>2331.8</v>
      </c>
      <c r="F204" s="121"/>
      <c r="G204" s="121"/>
      <c r="H204" s="121">
        <f>ROUND(H198+H201+H203,1)</f>
        <v>3374.4</v>
      </c>
      <c r="I204" s="121"/>
    </row>
    <row r="205" ht="6.0" customHeight="1"/>
    <row r="206" ht="12.75" customHeight="1">
      <c r="A206" s="413" t="s">
        <v>1405</v>
      </c>
      <c r="B206" s="413"/>
      <c r="C206" s="413"/>
      <c r="D206" s="413"/>
      <c r="E206" s="413"/>
      <c r="F206" s="413"/>
      <c r="G206" s="413"/>
      <c r="H206" s="413"/>
      <c r="I206" s="413"/>
      <c r="J206" s="413"/>
      <c r="K206" s="413"/>
      <c r="L206" s="413"/>
      <c r="M206" s="413"/>
      <c r="N206" s="413"/>
      <c r="O206" s="414"/>
    </row>
    <row r="207" ht="12.75" customHeight="1">
      <c r="A207" s="413" t="s">
        <v>1406</v>
      </c>
      <c r="B207" s="414"/>
      <c r="C207" s="414"/>
      <c r="D207" s="414"/>
      <c r="E207" s="414"/>
      <c r="F207" s="415"/>
      <c r="G207" s="415"/>
      <c r="H207" s="414"/>
      <c r="I207" s="414"/>
      <c r="J207" s="414"/>
      <c r="K207" s="414"/>
      <c r="L207" s="414"/>
      <c r="M207" s="414"/>
      <c r="N207" s="414"/>
      <c r="O207" s="414"/>
      <c r="P207" s="25"/>
      <c r="Q207" s="25"/>
      <c r="R207" s="25"/>
      <c r="S207" s="25"/>
      <c r="T207" s="25"/>
      <c r="U207" s="25"/>
      <c r="V207" s="25"/>
      <c r="W207" s="25"/>
      <c r="X207" s="25"/>
      <c r="Y207" s="25"/>
      <c r="Z207" s="25"/>
    </row>
    <row r="208" ht="12.75" customHeight="1">
      <c r="A208" s="111"/>
      <c r="B208" s="25"/>
      <c r="C208" s="25"/>
      <c r="D208" s="25"/>
      <c r="E208" s="25"/>
      <c r="F208" s="73"/>
      <c r="G208" s="73"/>
      <c r="H208" s="25"/>
      <c r="I208" s="25"/>
      <c r="J208" s="25"/>
      <c r="K208" s="25"/>
      <c r="L208" s="25"/>
      <c r="M208" s="25"/>
      <c r="N208" s="25"/>
      <c r="O208" s="25"/>
      <c r="P208" s="25"/>
      <c r="Q208" s="25"/>
      <c r="R208" s="25"/>
      <c r="S208" s="25"/>
      <c r="T208" s="25"/>
      <c r="U208" s="25"/>
      <c r="V208" s="25"/>
      <c r="W208" s="25"/>
      <c r="X208" s="25"/>
      <c r="Y208" s="25"/>
      <c r="Z208" s="25"/>
    </row>
    <row r="209" ht="13.5" customHeight="1">
      <c r="A209" s="64" t="s">
        <v>606</v>
      </c>
      <c r="F209" s="73"/>
      <c r="G209" s="73"/>
      <c r="H209" s="25"/>
      <c r="I209" s="25"/>
      <c r="J209" s="25"/>
      <c r="K209" s="25"/>
      <c r="L209" s="25"/>
      <c r="M209" s="25"/>
      <c r="N209" s="25"/>
      <c r="O209" s="25"/>
      <c r="P209" s="25"/>
      <c r="Q209" s="25"/>
      <c r="R209" s="25"/>
      <c r="S209" s="25"/>
      <c r="T209" s="25"/>
      <c r="U209" s="25"/>
      <c r="V209" s="25"/>
      <c r="W209" s="25"/>
      <c r="X209" s="25"/>
      <c r="Y209" s="25"/>
      <c r="Z209" s="25"/>
    </row>
    <row r="210" ht="12.75" customHeight="1">
      <c r="A210" s="65" t="s">
        <v>252</v>
      </c>
      <c r="B210" s="25"/>
      <c r="C210" s="25"/>
      <c r="D210" s="25"/>
      <c r="E210" s="25"/>
      <c r="F210" s="97"/>
      <c r="G210" s="97"/>
      <c r="H210" s="25"/>
      <c r="I210" s="25"/>
      <c r="J210" s="25"/>
      <c r="K210" s="25"/>
      <c r="L210" s="25"/>
      <c r="M210" s="25"/>
      <c r="N210" s="25"/>
      <c r="O210" s="25"/>
      <c r="P210" s="25"/>
      <c r="Q210" s="25"/>
      <c r="R210" s="25"/>
      <c r="S210" s="25"/>
      <c r="T210" s="25"/>
      <c r="U210" s="25"/>
      <c r="V210" s="25"/>
      <c r="W210" s="25"/>
      <c r="X210" s="25"/>
      <c r="Y210" s="25"/>
      <c r="Z210" s="25"/>
    </row>
    <row r="211" ht="12.75" customHeight="1">
      <c r="A211" s="113" t="s">
        <v>253</v>
      </c>
      <c r="B211" s="128">
        <f>((1)/(42))</f>
        <v>0.02380952381</v>
      </c>
      <c r="C211" s="25"/>
      <c r="D211" s="25"/>
      <c r="E211" s="25"/>
      <c r="F211" s="128"/>
      <c r="G211" s="128"/>
      <c r="H211" s="25"/>
      <c r="I211" s="25"/>
      <c r="J211" s="25"/>
      <c r="K211" s="25"/>
      <c r="L211" s="25"/>
      <c r="M211" s="25"/>
      <c r="N211" s="25"/>
      <c r="O211" s="25"/>
      <c r="P211" s="25"/>
      <c r="Q211" s="25"/>
      <c r="R211" s="25"/>
      <c r="S211" s="25"/>
      <c r="T211" s="25"/>
      <c r="U211" s="25"/>
      <c r="V211" s="25"/>
      <c r="W211" s="25"/>
      <c r="X211" s="25"/>
      <c r="Y211" s="25"/>
      <c r="Z211" s="25"/>
    </row>
    <row r="212" ht="12.75" customHeight="1">
      <c r="A212" s="113" t="s">
        <v>465</v>
      </c>
      <c r="B212" s="25">
        <v>0.001</v>
      </c>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0" customHeight="1">
      <c r="A213" s="113" t="s">
        <v>1407</v>
      </c>
      <c r="B213" s="114">
        <v>1.0E-6</v>
      </c>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0" customHeight="1">
      <c r="A214" s="143" t="s">
        <v>1408</v>
      </c>
      <c r="B214" s="61">
        <v>21.0</v>
      </c>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0" customHeight="1">
      <c r="A215" s="143" t="s">
        <v>1409</v>
      </c>
      <c r="B215" s="61">
        <v>310.0</v>
      </c>
      <c r="D215" s="25"/>
      <c r="E215" s="25"/>
      <c r="F215" s="112"/>
      <c r="G215" s="112"/>
      <c r="H215" s="25"/>
      <c r="I215" s="25"/>
      <c r="J215" s="25"/>
      <c r="K215" s="25"/>
      <c r="L215" s="25"/>
      <c r="M215" s="25"/>
      <c r="N215" s="25"/>
      <c r="O215" s="25"/>
      <c r="P215" s="25"/>
      <c r="Q215" s="25"/>
      <c r="R215" s="25"/>
      <c r="S215" s="25"/>
      <c r="T215" s="25"/>
      <c r="U215" s="25"/>
      <c r="V215" s="25"/>
      <c r="W215" s="25"/>
      <c r="X215" s="25"/>
      <c r="Y215" s="25"/>
      <c r="Z215" s="25"/>
    </row>
    <row r="216" ht="12.75" customHeight="1">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2.75" customHeight="1">
      <c r="A217" s="65" t="s">
        <v>469</v>
      </c>
      <c r="B217" s="25"/>
      <c r="D217" s="25"/>
      <c r="E217" s="25"/>
      <c r="F217" s="326"/>
      <c r="G217" s="326"/>
      <c r="H217" s="25"/>
      <c r="I217" s="25"/>
      <c r="J217" s="25"/>
      <c r="K217" s="25"/>
      <c r="L217" s="25"/>
      <c r="M217" s="25"/>
      <c r="N217" s="25"/>
      <c r="O217" s="25"/>
      <c r="P217" s="25"/>
      <c r="Q217" s="25"/>
      <c r="R217" s="25"/>
      <c r="S217" s="25"/>
      <c r="T217" s="25"/>
      <c r="U217" s="25"/>
      <c r="V217" s="25"/>
      <c r="W217" s="25"/>
      <c r="X217" s="25"/>
      <c r="Y217" s="25"/>
      <c r="Z217" s="25"/>
    </row>
    <row r="218" ht="12.75" customHeight="1">
      <c r="A218" s="47" t="s">
        <v>470</v>
      </c>
      <c r="B218" s="144">
        <f>$B211*$B222</f>
        <v>0.1250714286</v>
      </c>
      <c r="C218" s="25"/>
      <c r="D218" s="25"/>
      <c r="E218" s="25"/>
      <c r="F218" s="326"/>
      <c r="G218" s="326"/>
      <c r="H218" s="25"/>
      <c r="I218" s="25"/>
      <c r="J218" s="25"/>
      <c r="K218" s="25"/>
      <c r="L218" s="25"/>
      <c r="M218" s="25"/>
      <c r="N218" s="25"/>
      <c r="O218" s="25"/>
      <c r="P218" s="25"/>
      <c r="Q218" s="25"/>
      <c r="R218" s="25"/>
      <c r="S218" s="25"/>
      <c r="T218" s="25"/>
      <c r="U218" s="25"/>
      <c r="V218" s="25"/>
      <c r="W218" s="25"/>
      <c r="X218" s="25"/>
      <c r="Y218" s="25"/>
      <c r="Z218" s="25"/>
    </row>
    <row r="219" ht="15.0" customHeight="1">
      <c r="A219" s="47" t="s">
        <v>1410</v>
      </c>
      <c r="B219" s="47">
        <f>($B211*$B222*$B223*$B224*$B225*$B212)</f>
        <v>0.008774691254</v>
      </c>
      <c r="C219" s="25"/>
      <c r="D219" s="25"/>
      <c r="E219" s="25"/>
      <c r="F219" s="326"/>
      <c r="G219" s="326"/>
      <c r="H219" s="25"/>
      <c r="I219" s="25"/>
      <c r="J219" s="25"/>
      <c r="K219" s="25"/>
      <c r="L219" s="25"/>
      <c r="M219" s="25"/>
      <c r="N219" s="25"/>
      <c r="O219" s="25"/>
      <c r="P219" s="25"/>
      <c r="Q219" s="25"/>
      <c r="R219" s="25"/>
      <c r="S219" s="25"/>
      <c r="T219" s="25"/>
      <c r="U219" s="25"/>
      <c r="V219" s="25"/>
      <c r="W219" s="25"/>
      <c r="X219" s="25"/>
      <c r="Y219" s="25"/>
      <c r="Z219" s="25"/>
    </row>
    <row r="220" ht="15.0" customHeight="1">
      <c r="A220" s="143" t="s">
        <v>1411</v>
      </c>
      <c r="B220" s="224">
        <v>0.1984</v>
      </c>
      <c r="C220" s="25"/>
      <c r="D220" s="25"/>
      <c r="E220" s="25"/>
      <c r="F220" s="78"/>
      <c r="G220" s="78"/>
      <c r="H220" s="25"/>
      <c r="I220" s="25"/>
      <c r="J220" s="25"/>
      <c r="K220" s="25"/>
      <c r="L220" s="25"/>
      <c r="M220" s="25"/>
      <c r="N220" s="25"/>
      <c r="O220" s="25"/>
      <c r="P220" s="25"/>
      <c r="Q220" s="25"/>
      <c r="R220" s="25"/>
      <c r="S220" s="25"/>
      <c r="T220" s="25"/>
      <c r="U220" s="25"/>
      <c r="V220" s="25"/>
      <c r="W220" s="25"/>
      <c r="X220" s="25"/>
      <c r="Y220" s="25"/>
      <c r="Z220" s="25"/>
    </row>
    <row r="221" ht="15.0" customHeight="1">
      <c r="A221" s="143" t="s">
        <v>1412</v>
      </c>
      <c r="B221" s="224">
        <v>0.1517</v>
      </c>
      <c r="C221" s="25"/>
      <c r="D221" s="25"/>
      <c r="E221" s="25"/>
      <c r="F221" s="73"/>
      <c r="G221" s="73"/>
      <c r="H221" s="25"/>
      <c r="I221" s="25"/>
      <c r="J221" s="25"/>
      <c r="K221" s="25"/>
      <c r="L221" s="25"/>
      <c r="M221" s="25"/>
      <c r="N221" s="25"/>
      <c r="O221" s="25"/>
      <c r="P221" s="25"/>
      <c r="Q221" s="25"/>
      <c r="R221" s="25"/>
      <c r="S221" s="25"/>
      <c r="T221" s="25"/>
      <c r="U221" s="25"/>
      <c r="V221" s="25"/>
      <c r="W221" s="25"/>
      <c r="X221" s="25"/>
      <c r="Y221" s="25"/>
      <c r="Z221" s="25"/>
    </row>
    <row r="222" ht="12.75" customHeight="1">
      <c r="A222" s="143" t="s">
        <v>261</v>
      </c>
      <c r="B222" s="61">
        <v>5.253</v>
      </c>
      <c r="C222" s="25"/>
      <c r="D222" s="25"/>
      <c r="E222" s="25"/>
      <c r="F222" s="225"/>
      <c r="G222" s="225"/>
      <c r="H222" s="25"/>
      <c r="I222" s="25"/>
      <c r="J222" s="25"/>
      <c r="K222" s="25"/>
      <c r="L222" s="25"/>
      <c r="M222" s="25"/>
      <c r="N222" s="25"/>
      <c r="O222" s="25"/>
      <c r="P222" s="25"/>
      <c r="Q222" s="25"/>
      <c r="R222" s="25"/>
      <c r="S222" s="25"/>
      <c r="T222" s="25"/>
      <c r="U222" s="25"/>
      <c r="V222" s="25"/>
      <c r="W222" s="25"/>
      <c r="X222" s="25"/>
      <c r="Y222" s="25"/>
      <c r="Z222" s="25"/>
    </row>
    <row r="223" ht="12.75" customHeight="1">
      <c r="A223" s="143" t="s">
        <v>262</v>
      </c>
      <c r="B223" s="61">
        <v>19.34</v>
      </c>
      <c r="C223" s="25"/>
      <c r="D223" s="25"/>
      <c r="E223" s="25"/>
      <c r="F223" s="97"/>
      <c r="G223" s="97"/>
      <c r="O223" s="25"/>
      <c r="P223" s="25"/>
      <c r="Q223" s="25"/>
      <c r="R223" s="25"/>
      <c r="S223" s="25"/>
      <c r="T223" s="25"/>
      <c r="U223" s="25"/>
      <c r="V223" s="25"/>
      <c r="W223" s="25"/>
      <c r="X223" s="25"/>
      <c r="Y223" s="25"/>
      <c r="Z223" s="25"/>
    </row>
    <row r="224" ht="12.75" customHeight="1">
      <c r="A224" s="143" t="s">
        <v>263</v>
      </c>
      <c r="B224" s="61">
        <v>0.99</v>
      </c>
      <c r="C224" s="25"/>
      <c r="D224" s="25"/>
    </row>
    <row r="225" ht="15.0" customHeight="1">
      <c r="A225" s="143" t="s">
        <v>1413</v>
      </c>
      <c r="B225" s="145">
        <f>((12.011+32)/12.011)</f>
        <v>3.664224461</v>
      </c>
      <c r="C225" s="114"/>
      <c r="D225" s="114"/>
    </row>
    <row r="226" ht="12.75" customHeight="1"/>
    <row r="227" ht="12.75" customHeight="1">
      <c r="A227" s="261" t="s">
        <v>1414</v>
      </c>
      <c r="C227" s="326"/>
      <c r="D227" s="326"/>
      <c r="E227" s="326"/>
      <c r="F227" s="326"/>
      <c r="G227" s="326"/>
    </row>
    <row r="228" ht="12.75" customHeight="1">
      <c r="A228" s="61" t="s">
        <v>1415</v>
      </c>
      <c r="B228" s="416">
        <v>365.0</v>
      </c>
      <c r="C228" s="126"/>
      <c r="D228" s="126"/>
      <c r="E228" s="126"/>
      <c r="F228" s="126"/>
      <c r="G228" s="126"/>
    </row>
    <row r="229" ht="12.75" customHeight="1">
      <c r="A229" s="61" t="s">
        <v>1416</v>
      </c>
      <c r="B229" s="416">
        <f>52*2</f>
        <v>104</v>
      </c>
    </row>
    <row r="230" ht="12.75" customHeight="1">
      <c r="A230" s="61" t="s">
        <v>1417</v>
      </c>
      <c r="B230" s="417">
        <v>8.5</v>
      </c>
      <c r="C230" s="326"/>
      <c r="D230" s="326"/>
      <c r="E230" s="326"/>
      <c r="F230" s="326"/>
      <c r="G230" s="326"/>
    </row>
    <row r="231" ht="12.75" customHeight="1">
      <c r="A231" s="61" t="s">
        <v>1418</v>
      </c>
      <c r="B231" s="417">
        <f>B228-(B229+B230)</f>
        <v>252.5</v>
      </c>
      <c r="C231" s="114"/>
      <c r="D231" s="114"/>
      <c r="E231" s="114"/>
      <c r="F231" s="114"/>
      <c r="G231" s="114"/>
    </row>
    <row r="232" ht="12.75" customHeight="1">
      <c r="A232" s="61" t="s">
        <v>1419</v>
      </c>
      <c r="B232" s="416">
        <v>0.0</v>
      </c>
    </row>
    <row r="233" ht="12.75" customHeight="1">
      <c r="A233" s="61" t="s">
        <v>1420</v>
      </c>
      <c r="B233" s="416">
        <v>26.0</v>
      </c>
      <c r="C233" s="326"/>
      <c r="D233" s="326"/>
      <c r="E233" s="326"/>
      <c r="F233" s="326"/>
      <c r="G233" s="326"/>
    </row>
    <row r="234" ht="12.75" customHeight="1">
      <c r="A234" s="61" t="s">
        <v>1421</v>
      </c>
      <c r="B234" s="416">
        <v>31.0</v>
      </c>
      <c r="C234" s="119"/>
      <c r="D234" s="119"/>
      <c r="E234" s="119"/>
      <c r="F234" s="119"/>
      <c r="G234" s="119"/>
    </row>
    <row r="235" ht="12.75" customHeight="1">
      <c r="A235" s="61" t="s">
        <v>1422</v>
      </c>
      <c r="B235" s="416">
        <v>36.0</v>
      </c>
    </row>
    <row r="236" ht="12.75" customHeight="1">
      <c r="A236" s="61" t="s">
        <v>1423</v>
      </c>
      <c r="B236" s="416">
        <v>40.0</v>
      </c>
      <c r="C236" s="78"/>
      <c r="D236" s="78"/>
      <c r="E236" s="78"/>
      <c r="F236" s="78"/>
      <c r="G236" s="78"/>
    </row>
    <row r="237" ht="12.75" customHeight="1"/>
    <row r="238" ht="12.75" customHeight="1"/>
    <row r="239" ht="12.75" customHeight="1"/>
    <row r="240" ht="12.75" customHeight="1"/>
    <row r="241" ht="12.75" customHeight="1">
      <c r="B241" s="65"/>
    </row>
    <row r="242" ht="12.75" customHeight="1">
      <c r="B242" s="85"/>
      <c r="C242" s="85"/>
      <c r="D242" s="85"/>
      <c r="E242" s="85"/>
      <c r="F242" s="85"/>
      <c r="G242" s="85"/>
      <c r="H242" s="25"/>
      <c r="I242" s="25"/>
      <c r="J242" s="25"/>
      <c r="K242" s="25"/>
      <c r="L242" s="25"/>
      <c r="M242" s="25"/>
      <c r="N242" s="25"/>
    </row>
    <row r="243" ht="12.75" customHeight="1">
      <c r="A243" s="25"/>
      <c r="B243" s="97"/>
      <c r="C243" s="97"/>
      <c r="D243" s="97"/>
      <c r="E243" s="97"/>
      <c r="F243" s="97"/>
      <c r="G243" s="97"/>
      <c r="O243" s="25"/>
      <c r="P243" s="25"/>
      <c r="Q243" s="25"/>
      <c r="R243" s="25"/>
      <c r="S243" s="25"/>
      <c r="T243" s="25"/>
      <c r="U243" s="25"/>
      <c r="V243" s="25"/>
      <c r="W243" s="25"/>
      <c r="X243" s="25"/>
      <c r="Y243" s="25"/>
      <c r="Z243" s="25"/>
    </row>
    <row r="244" ht="12.75" customHeight="1">
      <c r="B244" s="128"/>
      <c r="C244" s="128"/>
      <c r="D244" s="128"/>
      <c r="E244" s="128"/>
      <c r="F244" s="128"/>
      <c r="G244" s="128"/>
    </row>
    <row r="245" ht="12.75" customHeight="1"/>
    <row r="246" ht="12.75" customHeight="1"/>
    <row r="247" ht="12.75" customHeight="1"/>
    <row r="248" ht="12.75" customHeight="1">
      <c r="A248" s="25"/>
      <c r="B248" s="112"/>
      <c r="C248" s="112"/>
      <c r="D248" s="112"/>
      <c r="E248" s="112"/>
      <c r="F248" s="112"/>
      <c r="G248" s="112"/>
    </row>
    <row r="249" ht="12.75" customHeight="1">
      <c r="A249" s="111"/>
      <c r="B249" s="25"/>
      <c r="C249" s="25"/>
      <c r="D249" s="25"/>
      <c r="E249" s="25"/>
      <c r="F249" s="25"/>
      <c r="G249" s="25"/>
    </row>
    <row r="250" ht="12.75" customHeight="1">
      <c r="A250" s="25"/>
      <c r="B250" s="112"/>
      <c r="C250" s="112"/>
      <c r="D250" s="112"/>
      <c r="E250" s="112"/>
      <c r="F250" s="112"/>
      <c r="G250" s="112"/>
    </row>
    <row r="251" ht="12.75" customHeight="1">
      <c r="A251" s="111"/>
      <c r="B251" s="25"/>
      <c r="C251" s="25"/>
      <c r="D251" s="25"/>
      <c r="E251" s="25"/>
      <c r="F251" s="25"/>
      <c r="G251" s="25"/>
      <c r="H251" s="112"/>
      <c r="I251" s="112"/>
      <c r="J251" s="112"/>
      <c r="K251" s="112"/>
      <c r="L251" s="112"/>
      <c r="M251" s="112"/>
      <c r="N251" s="112"/>
    </row>
    <row r="252" ht="12.75" customHeight="1">
      <c r="A252" s="25"/>
      <c r="B252" s="112"/>
      <c r="C252" s="112"/>
      <c r="D252" s="112"/>
      <c r="E252" s="112"/>
      <c r="F252" s="112"/>
      <c r="G252" s="112"/>
      <c r="H252" s="25"/>
      <c r="I252" s="25"/>
      <c r="J252" s="25"/>
      <c r="K252" s="25"/>
      <c r="L252" s="25"/>
      <c r="M252" s="25"/>
      <c r="N252" s="25"/>
    </row>
    <row r="253" ht="12.75" customHeight="1">
      <c r="A253" s="111"/>
      <c r="B253" s="25"/>
      <c r="C253" s="25"/>
      <c r="D253" s="25"/>
      <c r="E253" s="25"/>
      <c r="F253" s="25"/>
      <c r="G253" s="25"/>
    </row>
    <row r="254" ht="12.75" customHeight="1"/>
    <row r="255" ht="12.75" customHeight="1">
      <c r="A255" s="25"/>
      <c r="B255" s="225"/>
      <c r="C255" s="225"/>
      <c r="D255" s="225"/>
      <c r="E255" s="225"/>
      <c r="F255" s="225"/>
      <c r="G255" s="225"/>
    </row>
    <row r="256" ht="12.75" customHeight="1">
      <c r="A256" s="111"/>
      <c r="B256" s="114"/>
      <c r="C256" s="114"/>
      <c r="D256" s="114"/>
      <c r="E256" s="114"/>
      <c r="F256" s="114"/>
      <c r="G256" s="114"/>
    </row>
    <row r="257" ht="12.75" customHeight="1">
      <c r="A257" s="25"/>
    </row>
    <row r="258" ht="12.75" customHeight="1">
      <c r="A258" s="25"/>
      <c r="B258" s="112"/>
      <c r="C258" s="112"/>
      <c r="D258" s="112"/>
      <c r="E258" s="112"/>
      <c r="F258" s="112"/>
      <c r="G258" s="112"/>
    </row>
    <row r="259" ht="12.75" customHeight="1">
      <c r="A259" s="111"/>
      <c r="B259" s="25"/>
      <c r="C259" s="25"/>
      <c r="D259" s="25"/>
      <c r="E259" s="25"/>
      <c r="F259" s="25"/>
      <c r="G259" s="25"/>
    </row>
    <row r="260" ht="12.75" customHeight="1"/>
    <row r="261" ht="12.75" customHeight="1">
      <c r="A261" s="25"/>
      <c r="B261" s="112"/>
      <c r="C261" s="112"/>
      <c r="D261" s="112"/>
      <c r="E261" s="112"/>
      <c r="F261" s="112"/>
      <c r="G261" s="112"/>
    </row>
    <row r="262" ht="12.75" customHeight="1">
      <c r="A262" s="111"/>
      <c r="B262" s="114"/>
      <c r="C262" s="114"/>
      <c r="D262" s="114"/>
      <c r="E262" s="114"/>
      <c r="F262" s="114"/>
      <c r="G262" s="114"/>
    </row>
    <row r="263" ht="12.75" customHeight="1">
      <c r="A263" s="25"/>
    </row>
    <row r="264" ht="12.75" customHeight="1">
      <c r="A264" s="25"/>
      <c r="B264" s="112"/>
      <c r="C264" s="112"/>
      <c r="D264" s="112"/>
      <c r="E264" s="112"/>
      <c r="F264" s="112"/>
      <c r="G264" s="112"/>
    </row>
    <row r="265" ht="12.75" customHeight="1">
      <c r="A265" s="111"/>
      <c r="B265" s="25"/>
      <c r="C265" s="25"/>
      <c r="D265" s="25"/>
      <c r="E265" s="25"/>
      <c r="F265" s="25"/>
      <c r="G265" s="25"/>
    </row>
    <row r="266" ht="12.75" customHeight="1"/>
    <row r="267" ht="12.75" customHeight="1">
      <c r="A267" s="47"/>
      <c r="B267" s="235"/>
      <c r="C267" s="235"/>
      <c r="D267" s="235"/>
      <c r="E267" s="235"/>
      <c r="F267" s="235"/>
      <c r="G267" s="235"/>
    </row>
    <row r="268" ht="12.75" customHeight="1"/>
    <row r="269" ht="12.75" customHeight="1"/>
    <row r="270" ht="12.75" customHeight="1"/>
    <row r="271" ht="15.75" customHeight="1">
      <c r="A271" s="350"/>
    </row>
    <row r="272" ht="15.75" customHeight="1">
      <c r="A272" s="148"/>
    </row>
    <row r="273" ht="15.75" customHeight="1">
      <c r="A273" s="336"/>
    </row>
    <row r="274" ht="15.75" customHeight="1">
      <c r="A274" s="49"/>
    </row>
    <row r="275" ht="15.75" customHeight="1">
      <c r="A275" s="336"/>
    </row>
    <row r="276" ht="15.75" customHeight="1">
      <c r="A276" s="49"/>
    </row>
    <row r="277" ht="15.75" customHeight="1">
      <c r="A277" s="49"/>
    </row>
    <row r="278" ht="15.75" customHeight="1">
      <c r="A278" s="148"/>
    </row>
    <row r="279" ht="15.75" customHeight="1">
      <c r="A279" s="336"/>
    </row>
    <row r="280" ht="15.75" customHeight="1">
      <c r="A280" s="49"/>
    </row>
    <row r="281" ht="15.75" customHeight="1">
      <c r="A281" s="336"/>
    </row>
    <row r="282" ht="15.75" customHeight="1">
      <c r="A282" s="49"/>
    </row>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2:J2"/>
    <mergeCell ref="A10:F10"/>
    <mergeCell ref="A209:B209"/>
    <mergeCell ref="A227:B227"/>
  </mergeCells>
  <printOptions/>
  <pageMargins bottom="0.75" footer="0.0" header="0.0" left="0.7" right="0.7" top="0.75"/>
  <pageSetup orientation="landscape"/>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0"/>
    <col customWidth="1" min="2" max="2" width="13.88"/>
    <col customWidth="1" min="3" max="3" width="8.13"/>
    <col customWidth="1" min="4" max="4" width="8.38"/>
    <col customWidth="1" min="5" max="5" width="7.63"/>
    <col customWidth="1" min="6" max="6" width="8.0"/>
    <col customWidth="1" min="7" max="7" width="8.5"/>
    <col customWidth="1" min="8" max="8" width="12.38"/>
    <col customWidth="1" min="9" max="10" width="8.88"/>
    <col customWidth="1" min="11" max="26" width="10.0"/>
  </cols>
  <sheetData>
    <row r="1" ht="27.75" customHeight="1">
      <c r="A1" s="418" t="s">
        <v>16</v>
      </c>
      <c r="B1" s="90"/>
      <c r="C1" s="90"/>
      <c r="D1" s="90"/>
      <c r="E1" s="90"/>
      <c r="F1" s="90"/>
      <c r="G1" s="90"/>
      <c r="H1" s="91"/>
    </row>
    <row r="2" ht="12.75" customHeight="1">
      <c r="A2" s="110" t="s">
        <v>1424</v>
      </c>
    </row>
    <row r="3" ht="12.75" customHeight="1"/>
    <row r="4" ht="12.75" customHeight="1"/>
    <row r="5" ht="12.75" customHeight="1">
      <c r="B5" s="25"/>
      <c r="C5" s="47"/>
      <c r="D5" s="25"/>
      <c r="E5" s="25"/>
      <c r="F5" s="25"/>
      <c r="G5" s="25"/>
    </row>
    <row r="6" ht="12.75" customHeight="1">
      <c r="B6" s="47"/>
      <c r="C6" s="86"/>
      <c r="D6" s="86"/>
      <c r="E6" s="86"/>
      <c r="F6" s="86"/>
      <c r="G6" s="86"/>
    </row>
    <row r="7" ht="12.75" customHeight="1">
      <c r="B7" s="25"/>
      <c r="C7" s="97"/>
      <c r="D7" s="97"/>
      <c r="E7" s="97"/>
      <c r="F7" s="97"/>
      <c r="G7" s="97"/>
    </row>
    <row r="8" ht="12.75" customHeight="1">
      <c r="B8" s="25"/>
      <c r="C8" s="97"/>
      <c r="D8" s="97"/>
      <c r="E8" s="97"/>
      <c r="F8" s="97"/>
      <c r="G8" s="73"/>
    </row>
    <row r="9" ht="12.75" customHeight="1">
      <c r="B9" s="25"/>
      <c r="C9" s="25"/>
      <c r="D9" s="25"/>
      <c r="E9" s="25"/>
      <c r="F9" s="25"/>
      <c r="G9" s="25"/>
    </row>
    <row r="10" ht="12.75" customHeight="1">
      <c r="B10" s="25"/>
      <c r="C10" s="25"/>
      <c r="D10" s="25"/>
      <c r="E10" s="25"/>
      <c r="F10" s="25"/>
      <c r="G10" s="2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c r="A21" s="343" t="s">
        <v>1425</v>
      </c>
    </row>
    <row r="22" ht="12.75" customHeight="1"/>
    <row r="23" ht="12.75" customHeight="1">
      <c r="A23" s="419"/>
      <c r="B23" s="419"/>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c r="A37" s="343" t="s">
        <v>1426</v>
      </c>
    </row>
    <row r="38" ht="12.75" customHeight="1"/>
    <row r="39" ht="12.75" customHeight="1"/>
    <row r="40" ht="15.75" customHeight="1">
      <c r="A40" s="92" t="s">
        <v>606</v>
      </c>
    </row>
    <row r="41" ht="14.25" customHeight="1">
      <c r="A41" s="56" t="s">
        <v>261</v>
      </c>
      <c r="B41" s="420" t="s">
        <v>1009</v>
      </c>
    </row>
    <row r="42" ht="12.75" customHeight="1"/>
    <row r="43" ht="12.75" customHeight="1">
      <c r="J43" s="25"/>
    </row>
    <row r="44" ht="12.75" customHeight="1">
      <c r="A44" s="56" t="s">
        <v>262</v>
      </c>
      <c r="B44" s="156" t="s">
        <v>1427</v>
      </c>
    </row>
    <row r="45" ht="12.75" customHeight="1"/>
    <row r="46" ht="12.75" customHeight="1">
      <c r="A46" s="56" t="s">
        <v>263</v>
      </c>
      <c r="B46" s="156" t="s">
        <v>1427</v>
      </c>
    </row>
    <row r="47" ht="12.75" customHeight="1"/>
    <row r="48" ht="15.0" customHeight="1">
      <c r="A48" s="25" t="s">
        <v>1428</v>
      </c>
      <c r="B48" s="156" t="s">
        <v>324</v>
      </c>
    </row>
    <row r="49" ht="12.75" customHeight="1"/>
    <row r="50" ht="12.75" customHeight="1"/>
    <row r="51" ht="15.75" customHeight="1">
      <c r="A51" s="25" t="s">
        <v>1429</v>
      </c>
      <c r="B51" s="156" t="s">
        <v>1430</v>
      </c>
    </row>
    <row r="52" ht="12.75" customHeight="1">
      <c r="A52" s="25"/>
    </row>
    <row r="53" ht="12.75" customHeight="1">
      <c r="A53" s="25"/>
    </row>
    <row r="54" ht="12.75" customHeight="1">
      <c r="A54" s="25"/>
    </row>
    <row r="55" ht="15.0" customHeight="1">
      <c r="A55" s="111" t="s">
        <v>1431</v>
      </c>
      <c r="B55" s="56" t="s">
        <v>335</v>
      </c>
    </row>
    <row r="56" ht="15.0" customHeight="1">
      <c r="A56" s="25" t="s">
        <v>1432</v>
      </c>
      <c r="B56" s="156" t="s">
        <v>1433</v>
      </c>
    </row>
    <row r="57" ht="12.75" customHeight="1">
      <c r="A57" s="25"/>
    </row>
    <row r="58" ht="12.75" customHeight="1">
      <c r="A58" s="25"/>
    </row>
    <row r="59" ht="15.75" customHeight="1">
      <c r="A59" s="25" t="s">
        <v>1434</v>
      </c>
      <c r="B59" s="156" t="s">
        <v>1435</v>
      </c>
    </row>
    <row r="60" ht="12.75" customHeight="1"/>
    <row r="61" ht="12.75" customHeight="1"/>
    <row r="62" ht="12.75" customHeight="1"/>
    <row r="63" ht="15.0" customHeight="1">
      <c r="A63" s="25" t="s">
        <v>1436</v>
      </c>
      <c r="B63" s="156" t="s">
        <v>1433</v>
      </c>
    </row>
    <row r="64" ht="12.75" customHeight="1"/>
    <row r="65" ht="12.75" customHeight="1">
      <c r="B65" s="156"/>
      <c r="C65" s="156"/>
      <c r="D65" s="156"/>
      <c r="E65" s="156"/>
      <c r="F65" s="156"/>
      <c r="G65" s="156"/>
      <c r="H65" s="156"/>
    </row>
    <row r="66" ht="12.75" customHeight="1">
      <c r="A66" s="111" t="s">
        <v>253</v>
      </c>
      <c r="B66" s="56" t="s">
        <v>335</v>
      </c>
    </row>
    <row r="67" ht="12.75" customHeight="1">
      <c r="A67" s="111" t="s">
        <v>255</v>
      </c>
      <c r="B67" s="56" t="s">
        <v>335</v>
      </c>
    </row>
    <row r="68" ht="15.0" customHeight="1">
      <c r="A68" s="111" t="s">
        <v>1437</v>
      </c>
      <c r="B68" s="56" t="s">
        <v>335</v>
      </c>
    </row>
    <row r="69" ht="12.75" customHeight="1"/>
    <row r="70" ht="12.75" customHeight="1">
      <c r="A70" s="47" t="s">
        <v>1414</v>
      </c>
      <c r="B70" s="25"/>
      <c r="C70" s="25"/>
      <c r="D70" s="25"/>
      <c r="E70" s="25"/>
      <c r="F70" s="25"/>
      <c r="G70" s="25"/>
      <c r="H70" s="25"/>
    </row>
    <row r="71" ht="12.75" customHeight="1">
      <c r="A71" s="25" t="s">
        <v>1415</v>
      </c>
      <c r="B71" s="25" t="s">
        <v>1438</v>
      </c>
      <c r="C71" s="25"/>
      <c r="D71" s="25"/>
      <c r="E71" s="25"/>
      <c r="F71" s="25"/>
      <c r="G71" s="25"/>
      <c r="H71" s="25"/>
    </row>
    <row r="72" ht="12.75" customHeight="1">
      <c r="A72" s="25" t="s">
        <v>1416</v>
      </c>
      <c r="B72" s="25" t="s">
        <v>1438</v>
      </c>
      <c r="C72" s="25"/>
      <c r="D72" s="25"/>
      <c r="E72" s="25"/>
      <c r="F72" s="25"/>
      <c r="G72" s="25"/>
      <c r="H72" s="25"/>
    </row>
    <row r="73" ht="12.75" customHeight="1">
      <c r="A73" s="25" t="s">
        <v>1417</v>
      </c>
      <c r="B73" s="156" t="s">
        <v>1439</v>
      </c>
    </row>
    <row r="74" ht="12.75" customHeight="1">
      <c r="A74" s="25"/>
    </row>
    <row r="75" ht="12.75" customHeight="1">
      <c r="A75" s="25" t="s">
        <v>1419</v>
      </c>
      <c r="B75" s="25" t="s">
        <v>1440</v>
      </c>
      <c r="C75" s="25"/>
      <c r="D75" s="25"/>
      <c r="E75" s="25"/>
      <c r="F75" s="25"/>
      <c r="G75" s="25"/>
      <c r="H75" s="25"/>
    </row>
    <row r="76" ht="12.75" customHeight="1">
      <c r="A76" s="25" t="s">
        <v>1420</v>
      </c>
      <c r="B76" s="156" t="s">
        <v>1439</v>
      </c>
    </row>
    <row r="77" ht="12.75" customHeight="1">
      <c r="A77" s="25"/>
    </row>
    <row r="78" ht="12.75" customHeight="1">
      <c r="A78" s="25" t="s">
        <v>1421</v>
      </c>
      <c r="B78" s="156" t="s">
        <v>1439</v>
      </c>
    </row>
    <row r="79" ht="12.75" customHeight="1">
      <c r="A79" s="25"/>
    </row>
    <row r="80" ht="12.75" customHeight="1">
      <c r="A80" s="25" t="s">
        <v>1422</v>
      </c>
      <c r="B80" s="156" t="s">
        <v>1439</v>
      </c>
    </row>
    <row r="81" ht="12.75" customHeight="1">
      <c r="A81" s="25"/>
    </row>
    <row r="82" ht="12.75" customHeight="1">
      <c r="A82" s="25" t="s">
        <v>1423</v>
      </c>
      <c r="B82" s="156" t="s">
        <v>1439</v>
      </c>
    </row>
    <row r="83" ht="12.75" customHeight="1">
      <c r="A83" s="25"/>
    </row>
    <row r="84" ht="12.75" customHeight="1"/>
    <row r="85" ht="15.75" customHeight="1">
      <c r="A85" s="92" t="s">
        <v>440</v>
      </c>
    </row>
    <row r="86" ht="12.75" customHeight="1">
      <c r="A86" s="47" t="s">
        <v>1441</v>
      </c>
    </row>
    <row r="87" ht="12.75" customHeight="1">
      <c r="A87" s="65" t="s">
        <v>195</v>
      </c>
      <c r="B87" s="65" t="s">
        <v>164</v>
      </c>
    </row>
    <row r="88" ht="12.75" customHeight="1">
      <c r="A88" s="404" t="s">
        <v>1217</v>
      </c>
      <c r="B88" s="406"/>
      <c r="C88" s="406"/>
      <c r="D88" s="406"/>
      <c r="E88" s="406"/>
      <c r="F88" s="406"/>
      <c r="G88" s="406"/>
      <c r="H88" s="406"/>
      <c r="I88" s="25"/>
      <c r="J88" s="25"/>
      <c r="K88" s="25"/>
      <c r="L88" s="25"/>
      <c r="M88" s="25"/>
      <c r="N88" s="25"/>
      <c r="O88" s="25"/>
      <c r="P88" s="25"/>
      <c r="Q88" s="25"/>
      <c r="R88" s="25"/>
      <c r="S88" s="25"/>
      <c r="T88" s="25"/>
      <c r="U88" s="25"/>
      <c r="V88" s="25"/>
      <c r="W88" s="25"/>
      <c r="X88" s="25"/>
      <c r="Y88" s="25"/>
      <c r="Z88" s="25"/>
    </row>
    <row r="89" ht="12.0" customHeight="1">
      <c r="A89" s="406" t="s">
        <v>1218</v>
      </c>
      <c r="B89" s="421" t="s">
        <v>1442</v>
      </c>
      <c r="C89" s="90"/>
      <c r="D89" s="90"/>
      <c r="E89" s="90"/>
      <c r="F89" s="90"/>
      <c r="G89" s="90"/>
      <c r="H89" s="91"/>
      <c r="I89" s="25"/>
      <c r="J89" s="25"/>
      <c r="K89" s="25"/>
      <c r="L89" s="25"/>
      <c r="M89" s="25"/>
      <c r="N89" s="25"/>
      <c r="O89" s="25"/>
      <c r="P89" s="25"/>
      <c r="Q89" s="25"/>
      <c r="R89" s="25"/>
      <c r="S89" s="25"/>
      <c r="T89" s="25"/>
      <c r="U89" s="25"/>
      <c r="V89" s="25"/>
      <c r="W89" s="25"/>
      <c r="X89" s="25"/>
      <c r="Y89" s="25"/>
      <c r="Z89" s="25"/>
    </row>
    <row r="90" ht="12.75" customHeight="1">
      <c r="A90" s="406"/>
      <c r="B90" s="421" t="s">
        <v>1443</v>
      </c>
      <c r="C90" s="90"/>
      <c r="D90" s="90"/>
      <c r="E90" s="90"/>
      <c r="F90" s="90"/>
      <c r="G90" s="90"/>
      <c r="H90" s="91"/>
      <c r="I90" s="25"/>
      <c r="J90" s="25"/>
      <c r="K90" s="25"/>
      <c r="L90" s="25"/>
      <c r="M90" s="25"/>
      <c r="N90" s="25"/>
      <c r="O90" s="25"/>
      <c r="P90" s="25"/>
      <c r="Q90" s="25"/>
      <c r="R90" s="25"/>
      <c r="S90" s="25"/>
      <c r="T90" s="25"/>
      <c r="U90" s="25"/>
      <c r="V90" s="25"/>
      <c r="W90" s="25"/>
      <c r="X90" s="25"/>
      <c r="Y90" s="25"/>
      <c r="Z90" s="25"/>
    </row>
    <row r="91" ht="10.5" customHeight="1">
      <c r="A91" s="406"/>
      <c r="B91" s="421" t="s">
        <v>1444</v>
      </c>
      <c r="C91" s="90"/>
      <c r="D91" s="90"/>
      <c r="E91" s="90"/>
      <c r="F91" s="90"/>
      <c r="G91" s="90"/>
      <c r="H91" s="91"/>
      <c r="I91" s="25"/>
      <c r="J91" s="25"/>
      <c r="K91" s="25"/>
      <c r="L91" s="25"/>
      <c r="M91" s="25"/>
      <c r="N91" s="25"/>
      <c r="O91" s="25"/>
      <c r="P91" s="25"/>
      <c r="Q91" s="25"/>
      <c r="R91" s="25"/>
      <c r="S91" s="25"/>
      <c r="T91" s="25"/>
      <c r="U91" s="25"/>
      <c r="V91" s="25"/>
      <c r="W91" s="25"/>
      <c r="X91" s="25"/>
      <c r="Y91" s="25"/>
      <c r="Z91" s="25"/>
    </row>
    <row r="92" ht="12.75" customHeight="1">
      <c r="A92" s="406"/>
      <c r="B92" s="421" t="s">
        <v>1445</v>
      </c>
      <c r="C92" s="90"/>
      <c r="D92" s="90"/>
      <c r="E92" s="90"/>
      <c r="F92" s="90"/>
      <c r="G92" s="90"/>
      <c r="H92" s="91"/>
      <c r="I92" s="25"/>
      <c r="J92" s="25"/>
      <c r="K92" s="25"/>
      <c r="L92" s="25"/>
      <c r="M92" s="25"/>
      <c r="N92" s="25"/>
      <c r="O92" s="25"/>
      <c r="P92" s="25"/>
      <c r="Q92" s="25"/>
      <c r="R92" s="25"/>
      <c r="S92" s="25"/>
      <c r="T92" s="25"/>
      <c r="U92" s="25"/>
      <c r="V92" s="25"/>
      <c r="W92" s="25"/>
      <c r="X92" s="25"/>
      <c r="Y92" s="25"/>
      <c r="Z92" s="25"/>
    </row>
    <row r="93" ht="12.75" customHeight="1">
      <c r="A93" s="406" t="s">
        <v>1222</v>
      </c>
      <c r="B93" s="422" t="s">
        <v>1446</v>
      </c>
      <c r="C93" s="91"/>
      <c r="D93" s="25"/>
      <c r="E93" s="25"/>
      <c r="F93" s="25"/>
      <c r="G93" s="25"/>
      <c r="H93" s="25"/>
      <c r="I93" s="25"/>
      <c r="J93" s="25"/>
      <c r="K93" s="25"/>
      <c r="L93" s="25"/>
      <c r="M93" s="25"/>
      <c r="N93" s="25"/>
      <c r="O93" s="25"/>
      <c r="P93" s="25"/>
      <c r="Q93" s="25"/>
      <c r="R93" s="25"/>
      <c r="S93" s="25"/>
      <c r="T93" s="25"/>
      <c r="U93" s="25"/>
      <c r="V93" s="25"/>
      <c r="W93" s="25"/>
      <c r="X93" s="25"/>
      <c r="Y93" s="25"/>
      <c r="Z93" s="25"/>
    </row>
    <row r="94" ht="12.75" customHeight="1">
      <c r="A94" s="406" t="s">
        <v>1223</v>
      </c>
      <c r="B94" s="422" t="s">
        <v>1446</v>
      </c>
      <c r="C94" s="91"/>
      <c r="D94" s="25"/>
      <c r="E94" s="25"/>
      <c r="F94" s="25"/>
      <c r="G94" s="25"/>
      <c r="H94" s="25"/>
      <c r="I94" s="25"/>
      <c r="J94" s="25"/>
      <c r="K94" s="25"/>
      <c r="L94" s="25"/>
      <c r="M94" s="25"/>
      <c r="N94" s="25"/>
      <c r="O94" s="25"/>
      <c r="P94" s="25"/>
      <c r="Q94" s="25"/>
      <c r="R94" s="25"/>
      <c r="S94" s="25"/>
      <c r="T94" s="25"/>
      <c r="U94" s="25"/>
      <c r="V94" s="25"/>
      <c r="W94" s="25"/>
      <c r="X94" s="25"/>
      <c r="Y94" s="25"/>
      <c r="Z94" s="25"/>
    </row>
    <row r="95" ht="12.75" customHeight="1">
      <c r="A95" s="406" t="s">
        <v>1224</v>
      </c>
      <c r="B95" s="422" t="s">
        <v>1446</v>
      </c>
      <c r="C95" s="91"/>
      <c r="D95" s="25"/>
      <c r="E95" s="25"/>
      <c r="F95" s="25"/>
      <c r="G95" s="25"/>
      <c r="H95" s="25"/>
      <c r="I95" s="25"/>
      <c r="J95" s="25"/>
      <c r="K95" s="25"/>
      <c r="L95" s="25"/>
      <c r="M95" s="25"/>
      <c r="N95" s="25"/>
      <c r="O95" s="25"/>
      <c r="P95" s="25"/>
      <c r="Q95" s="25"/>
      <c r="R95" s="25"/>
      <c r="S95" s="25"/>
      <c r="T95" s="25"/>
      <c r="U95" s="25"/>
      <c r="V95" s="25"/>
      <c r="W95" s="25"/>
      <c r="X95" s="25"/>
      <c r="Y95" s="25"/>
      <c r="Z95" s="25"/>
    </row>
    <row r="96" ht="12.75" customHeight="1">
      <c r="A96" s="406" t="s">
        <v>1228</v>
      </c>
      <c r="B96" s="422" t="s">
        <v>1446</v>
      </c>
      <c r="C96" s="91"/>
      <c r="D96" s="25"/>
      <c r="E96" s="25"/>
      <c r="F96" s="25"/>
      <c r="G96" s="25"/>
      <c r="H96" s="25"/>
      <c r="I96" s="25"/>
      <c r="J96" s="25"/>
      <c r="K96" s="25"/>
      <c r="L96" s="25"/>
      <c r="M96" s="25"/>
      <c r="N96" s="25"/>
      <c r="O96" s="25"/>
      <c r="P96" s="25"/>
      <c r="Q96" s="25"/>
      <c r="R96" s="25"/>
      <c r="S96" s="25"/>
      <c r="T96" s="25"/>
      <c r="U96" s="25"/>
      <c r="V96" s="25"/>
      <c r="W96" s="25"/>
      <c r="X96" s="25"/>
      <c r="Y96" s="25"/>
      <c r="Z96" s="25"/>
    </row>
    <row r="97" ht="12.75" customHeight="1">
      <c r="A97" s="406" t="s">
        <v>1229</v>
      </c>
      <c r="B97" s="422" t="s">
        <v>1446</v>
      </c>
      <c r="C97" s="91"/>
      <c r="D97" s="25"/>
      <c r="E97" s="25"/>
      <c r="F97" s="25"/>
      <c r="G97" s="25"/>
      <c r="H97" s="25"/>
      <c r="I97" s="25"/>
      <c r="J97" s="25"/>
      <c r="K97" s="25"/>
      <c r="L97" s="25"/>
      <c r="M97" s="25"/>
      <c r="N97" s="25"/>
      <c r="O97" s="25"/>
      <c r="P97" s="25"/>
      <c r="Q97" s="25"/>
      <c r="R97" s="25"/>
      <c r="S97" s="25"/>
      <c r="T97" s="25"/>
      <c r="U97" s="25"/>
      <c r="V97" s="25"/>
      <c r="W97" s="25"/>
      <c r="X97" s="25"/>
      <c r="Y97" s="25"/>
      <c r="Z97" s="25"/>
    </row>
    <row r="98" ht="12.75" customHeight="1">
      <c r="A98" s="406" t="s">
        <v>1231</v>
      </c>
      <c r="B98" s="422" t="s">
        <v>1446</v>
      </c>
      <c r="C98" s="91"/>
      <c r="D98" s="25"/>
      <c r="E98" s="25"/>
      <c r="F98" s="25"/>
      <c r="G98" s="25"/>
      <c r="H98" s="25"/>
      <c r="I98" s="25"/>
      <c r="J98" s="25"/>
      <c r="K98" s="25"/>
      <c r="L98" s="25"/>
      <c r="M98" s="25"/>
      <c r="N98" s="25"/>
      <c r="O98" s="25"/>
      <c r="P98" s="25"/>
      <c r="Q98" s="25"/>
      <c r="R98" s="25"/>
      <c r="S98" s="25"/>
      <c r="T98" s="25"/>
      <c r="U98" s="25"/>
      <c r="V98" s="25"/>
      <c r="W98" s="25"/>
      <c r="X98" s="25"/>
      <c r="Y98" s="25"/>
      <c r="Z98" s="25"/>
    </row>
    <row r="99" ht="12.75" customHeight="1">
      <c r="A99" s="406" t="s">
        <v>1235</v>
      </c>
      <c r="B99" s="422" t="s">
        <v>1446</v>
      </c>
      <c r="C99" s="91"/>
      <c r="D99" s="25"/>
      <c r="E99" s="25"/>
      <c r="F99" s="25"/>
      <c r="G99" s="25"/>
      <c r="H99" s="25"/>
      <c r="I99" s="25"/>
      <c r="J99" s="25"/>
      <c r="K99" s="25"/>
      <c r="L99" s="25"/>
      <c r="M99" s="25"/>
      <c r="N99" s="25"/>
      <c r="O99" s="25"/>
      <c r="P99" s="25"/>
      <c r="Q99" s="25"/>
      <c r="R99" s="25"/>
      <c r="S99" s="25"/>
      <c r="T99" s="25"/>
      <c r="U99" s="25"/>
      <c r="V99" s="25"/>
      <c r="W99" s="25"/>
      <c r="X99" s="25"/>
      <c r="Y99" s="25"/>
      <c r="Z99" s="25"/>
    </row>
    <row r="100" ht="12.75" customHeight="1">
      <c r="A100" s="406" t="s">
        <v>1238</v>
      </c>
      <c r="B100" s="422" t="s">
        <v>1446</v>
      </c>
      <c r="C100" s="91"/>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2.75" customHeight="1">
      <c r="A101" s="406" t="s">
        <v>1239</v>
      </c>
      <c r="B101" s="422" t="s">
        <v>1446</v>
      </c>
      <c r="C101" s="91"/>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2.75" customHeight="1">
      <c r="A102" s="406" t="s">
        <v>1242</v>
      </c>
      <c r="B102" s="422" t="s">
        <v>1446</v>
      </c>
      <c r="C102" s="91"/>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2.75" customHeight="1">
      <c r="A103" s="406" t="s">
        <v>1243</v>
      </c>
      <c r="B103" s="422" t="s">
        <v>1446</v>
      </c>
      <c r="C103" s="91"/>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2.75" customHeight="1">
      <c r="A104" s="406" t="s">
        <v>1245</v>
      </c>
      <c r="B104" s="422" t="s">
        <v>1446</v>
      </c>
      <c r="C104" s="91"/>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2.75" customHeight="1">
      <c r="A105" s="406" t="s">
        <v>1248</v>
      </c>
      <c r="B105" s="422" t="s">
        <v>1446</v>
      </c>
      <c r="C105" s="91"/>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2.75" customHeight="1">
      <c r="A106" s="406" t="s">
        <v>1249</v>
      </c>
      <c r="B106" s="422" t="s">
        <v>1446</v>
      </c>
      <c r="C106" s="91"/>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2.75" customHeight="1">
      <c r="A107" s="406" t="s">
        <v>1447</v>
      </c>
      <c r="B107" s="422" t="s">
        <v>1446</v>
      </c>
      <c r="C107" s="91"/>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2.75" customHeight="1">
      <c r="A108" s="406" t="s">
        <v>1251</v>
      </c>
      <c r="B108" s="422" t="s">
        <v>1446</v>
      </c>
      <c r="C108" s="91"/>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2.75" customHeight="1">
      <c r="A109" s="406" t="s">
        <v>1254</v>
      </c>
      <c r="B109" s="422" t="s">
        <v>1446</v>
      </c>
      <c r="C109" s="91"/>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2.75" customHeight="1">
      <c r="A110" s="406" t="s">
        <v>1255</v>
      </c>
      <c r="B110" s="422" t="s">
        <v>1446</v>
      </c>
      <c r="C110" s="91"/>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2.75" customHeight="1">
      <c r="A111" s="406" t="s">
        <v>1258</v>
      </c>
      <c r="B111" s="422" t="s">
        <v>1446</v>
      </c>
      <c r="C111" s="91"/>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2.75" customHeight="1">
      <c r="A112" s="406" t="s">
        <v>1259</v>
      </c>
      <c r="B112" s="422" t="s">
        <v>1446</v>
      </c>
      <c r="C112" s="91"/>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2.75" customHeight="1">
      <c r="A113" s="406" t="s">
        <v>1262</v>
      </c>
      <c r="B113" s="422" t="s">
        <v>1446</v>
      </c>
      <c r="C113" s="91"/>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2.75" customHeight="1">
      <c r="A114" s="406" t="s">
        <v>1264</v>
      </c>
      <c r="B114" s="422" t="s">
        <v>1446</v>
      </c>
      <c r="C114" s="91"/>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2.75" customHeight="1">
      <c r="A115" s="406" t="s">
        <v>1448</v>
      </c>
      <c r="B115" s="422" t="s">
        <v>1446</v>
      </c>
      <c r="C115" s="91"/>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2.75" customHeight="1">
      <c r="A116" s="406" t="s">
        <v>1267</v>
      </c>
      <c r="B116" s="422" t="s">
        <v>1446</v>
      </c>
      <c r="C116" s="91"/>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2.75" customHeight="1">
      <c r="A117" s="406" t="s">
        <v>1268</v>
      </c>
      <c r="B117" s="422" t="s">
        <v>1446</v>
      </c>
      <c r="C117" s="91"/>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2.75" customHeight="1">
      <c r="A118" s="406" t="s">
        <v>1270</v>
      </c>
      <c r="B118" s="422" t="s">
        <v>1446</v>
      </c>
      <c r="C118" s="91"/>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2.75" customHeight="1">
      <c r="A119" s="406" t="s">
        <v>1273</v>
      </c>
      <c r="B119" s="422" t="s">
        <v>1446</v>
      </c>
      <c r="C119" s="91"/>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2.75" customHeight="1">
      <c r="A120" s="406" t="s">
        <v>1274</v>
      </c>
      <c r="B120" s="422" t="s">
        <v>1446</v>
      </c>
      <c r="C120" s="91"/>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2.75" customHeight="1">
      <c r="A121" s="406" t="s">
        <v>1275</v>
      </c>
      <c r="B121" s="422" t="s">
        <v>1446</v>
      </c>
      <c r="C121" s="91"/>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2.75" customHeight="1">
      <c r="A122" s="406" t="s">
        <v>1276</v>
      </c>
      <c r="B122" s="422" t="s">
        <v>1446</v>
      </c>
      <c r="C122" s="91"/>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2.75" customHeight="1">
      <c r="A123" s="406" t="s">
        <v>1280</v>
      </c>
      <c r="B123" s="422" t="s">
        <v>1446</v>
      </c>
      <c r="C123" s="91"/>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2.75" customHeight="1">
      <c r="A124" s="406" t="s">
        <v>1281</v>
      </c>
      <c r="B124" s="422" t="s">
        <v>1446</v>
      </c>
      <c r="C124" s="91"/>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2.75" customHeight="1">
      <c r="A125" s="406" t="s">
        <v>1284</v>
      </c>
      <c r="B125" s="422" t="s">
        <v>1446</v>
      </c>
      <c r="C125" s="91"/>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2.75" customHeight="1">
      <c r="A126" s="406" t="s">
        <v>1287</v>
      </c>
      <c r="B126" s="422" t="s">
        <v>1446</v>
      </c>
      <c r="C126" s="91"/>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2.75" customHeight="1">
      <c r="A127" s="406" t="s">
        <v>1289</v>
      </c>
      <c r="B127" s="422" t="s">
        <v>1446</v>
      </c>
      <c r="C127" s="91"/>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2.75" customHeight="1">
      <c r="A128" s="406" t="s">
        <v>1294</v>
      </c>
      <c r="B128" s="422" t="s">
        <v>1446</v>
      </c>
      <c r="C128" s="91"/>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2.75" customHeight="1">
      <c r="A129" s="406" t="s">
        <v>1296</v>
      </c>
      <c r="B129" s="422" t="s">
        <v>1446</v>
      </c>
      <c r="C129" s="91"/>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2.75" customHeight="1">
      <c r="A130" s="406" t="s">
        <v>1298</v>
      </c>
      <c r="B130" s="422" t="s">
        <v>1446</v>
      </c>
      <c r="C130" s="91"/>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2.75" customHeight="1">
      <c r="A131" s="406" t="s">
        <v>1302</v>
      </c>
      <c r="B131" s="422" t="s">
        <v>1446</v>
      </c>
      <c r="C131" s="91"/>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2.75" customHeight="1">
      <c r="A132" s="406" t="s">
        <v>1303</v>
      </c>
      <c r="B132" s="422" t="s">
        <v>1446</v>
      </c>
      <c r="C132" s="91"/>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2.75" customHeight="1">
      <c r="A133" s="406" t="s">
        <v>1449</v>
      </c>
      <c r="B133" s="422" t="s">
        <v>1446</v>
      </c>
      <c r="C133" s="91"/>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2.75" customHeight="1">
      <c r="A134" s="406" t="s">
        <v>1450</v>
      </c>
      <c r="B134" s="422" t="s">
        <v>1446</v>
      </c>
      <c r="C134" s="91"/>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2.75" customHeight="1">
      <c r="A135" s="406" t="s">
        <v>1308</v>
      </c>
      <c r="B135" s="422" t="s">
        <v>1446</v>
      </c>
      <c r="C135" s="91"/>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2.75" customHeight="1">
      <c r="A136" s="406" t="s">
        <v>1451</v>
      </c>
      <c r="B136" s="422" t="s">
        <v>1446</v>
      </c>
      <c r="C136" s="91"/>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2.75" customHeight="1">
      <c r="A137" s="406" t="s">
        <v>1310</v>
      </c>
      <c r="B137" s="422" t="s">
        <v>1446</v>
      </c>
      <c r="C137" s="91"/>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2.75" customHeight="1">
      <c r="A138" s="406" t="s">
        <v>1316</v>
      </c>
      <c r="B138" s="422" t="s">
        <v>1446</v>
      </c>
      <c r="C138" s="91"/>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2.75" customHeight="1">
      <c r="A139" s="406" t="s">
        <v>1321</v>
      </c>
      <c r="B139" s="422" t="s">
        <v>1446</v>
      </c>
      <c r="C139" s="91"/>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2.75" customHeight="1">
      <c r="A140" s="406" t="s">
        <v>1322</v>
      </c>
      <c r="B140" s="422" t="s">
        <v>1446</v>
      </c>
      <c r="C140" s="91"/>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2.75" customHeight="1">
      <c r="A141" s="406" t="s">
        <v>1327</v>
      </c>
      <c r="B141" s="422" t="s">
        <v>1446</v>
      </c>
      <c r="C141" s="91"/>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2.75" customHeight="1">
      <c r="A142" s="406" t="s">
        <v>1330</v>
      </c>
      <c r="B142" s="422" t="s">
        <v>1446</v>
      </c>
      <c r="C142" s="91"/>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2.75" customHeight="1">
      <c r="A143" s="406" t="s">
        <v>1331</v>
      </c>
      <c r="B143" s="422" t="s">
        <v>1446</v>
      </c>
      <c r="C143" s="91"/>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2.75" customHeight="1">
      <c r="A144" s="406" t="s">
        <v>1333</v>
      </c>
      <c r="B144" s="422" t="s">
        <v>1446</v>
      </c>
      <c r="C144" s="91"/>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2.75" customHeight="1">
      <c r="A145" s="406" t="s">
        <v>1335</v>
      </c>
      <c r="B145" s="422" t="s">
        <v>1446</v>
      </c>
      <c r="C145" s="91"/>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2.75" customHeight="1">
      <c r="A146" s="406" t="s">
        <v>1336</v>
      </c>
      <c r="B146" s="422" t="s">
        <v>1446</v>
      </c>
      <c r="C146" s="91"/>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2.75" customHeight="1">
      <c r="A147" s="406" t="s">
        <v>1337</v>
      </c>
      <c r="B147" s="422" t="s">
        <v>1446</v>
      </c>
      <c r="C147" s="91"/>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2.75" customHeight="1">
      <c r="A148" s="406" t="s">
        <v>1338</v>
      </c>
      <c r="B148" s="422" t="s">
        <v>1446</v>
      </c>
      <c r="C148" s="91"/>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2.75" customHeight="1">
      <c r="A149" s="406" t="s">
        <v>1342</v>
      </c>
      <c r="B149" s="422" t="s">
        <v>1446</v>
      </c>
      <c r="C149" s="91"/>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2.75" customHeight="1">
      <c r="A150" s="406" t="s">
        <v>1343</v>
      </c>
      <c r="B150" s="422" t="s">
        <v>1446</v>
      </c>
      <c r="C150" s="91"/>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2.75" customHeight="1">
      <c r="A151" s="406" t="s">
        <v>1346</v>
      </c>
      <c r="B151" s="422" t="s">
        <v>1446</v>
      </c>
      <c r="C151" s="91"/>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2.75" customHeight="1">
      <c r="A152" s="406" t="s">
        <v>1356</v>
      </c>
      <c r="B152" s="422" t="s">
        <v>1446</v>
      </c>
      <c r="C152" s="91"/>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2.75" customHeight="1">
      <c r="A153" s="406" t="s">
        <v>1347</v>
      </c>
      <c r="B153" s="422" t="s">
        <v>1446</v>
      </c>
      <c r="C153" s="91"/>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2.75" customHeight="1">
      <c r="A154" s="406" t="s">
        <v>1349</v>
      </c>
      <c r="B154" s="422" t="s">
        <v>1446</v>
      </c>
      <c r="C154" s="91"/>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2.75" customHeight="1">
      <c r="A155" s="406" t="s">
        <v>1351</v>
      </c>
      <c r="B155" s="422" t="s">
        <v>1446</v>
      </c>
      <c r="C155" s="91"/>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2.75" customHeight="1">
      <c r="A156" s="406" t="s">
        <v>1353</v>
      </c>
      <c r="B156" s="422" t="s">
        <v>1446</v>
      </c>
      <c r="C156" s="91"/>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2.75" customHeight="1">
      <c r="A157" s="406" t="s">
        <v>1355</v>
      </c>
      <c r="B157" s="422" t="s">
        <v>1446</v>
      </c>
      <c r="C157" s="91"/>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2.75" customHeight="1">
      <c r="A158" s="406" t="s">
        <v>1357</v>
      </c>
      <c r="B158" s="422" t="s">
        <v>1446</v>
      </c>
      <c r="C158" s="91"/>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2.75" customHeight="1">
      <c r="A159" s="406" t="s">
        <v>1361</v>
      </c>
      <c r="B159" s="422" t="s">
        <v>1446</v>
      </c>
      <c r="C159" s="91"/>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2.75" customHeight="1">
      <c r="A160" s="406" t="s">
        <v>1362</v>
      </c>
      <c r="B160" s="422" t="s">
        <v>1446</v>
      </c>
      <c r="C160" s="91"/>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2.75" customHeight="1">
      <c r="A161" s="406" t="s">
        <v>1363</v>
      </c>
      <c r="B161" s="422" t="s">
        <v>1446</v>
      </c>
      <c r="C161" s="91"/>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2.75" customHeight="1">
      <c r="A162" s="406" t="s">
        <v>1368</v>
      </c>
      <c r="B162" s="422" t="s">
        <v>1446</v>
      </c>
      <c r="C162" s="91"/>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2.75" customHeight="1">
      <c r="A163" s="406" t="s">
        <v>1369</v>
      </c>
      <c r="B163" s="422" t="s">
        <v>1446</v>
      </c>
      <c r="C163" s="91"/>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2.75" customHeight="1">
      <c r="A164" s="406" t="s">
        <v>1370</v>
      </c>
      <c r="B164" s="422" t="s">
        <v>1446</v>
      </c>
      <c r="C164" s="91"/>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2.75" customHeight="1">
      <c r="A165" s="406" t="s">
        <v>1371</v>
      </c>
      <c r="B165" s="422" t="s">
        <v>1446</v>
      </c>
      <c r="C165" s="91"/>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2.75" customHeight="1">
      <c r="A166" s="406" t="s">
        <v>1373</v>
      </c>
      <c r="B166" s="422" t="s">
        <v>1446</v>
      </c>
      <c r="C166" s="91"/>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2.75" customHeight="1">
      <c r="A167" s="406" t="s">
        <v>1376</v>
      </c>
      <c r="B167" s="422" t="s">
        <v>1446</v>
      </c>
      <c r="C167" s="91"/>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2.75" customHeight="1">
      <c r="A168" s="406" t="s">
        <v>1378</v>
      </c>
      <c r="B168" s="422" t="s">
        <v>1446</v>
      </c>
      <c r="C168" s="91"/>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2.75" customHeight="1">
      <c r="A169" s="406" t="s">
        <v>1380</v>
      </c>
      <c r="B169" s="422" t="s">
        <v>1446</v>
      </c>
      <c r="C169" s="91"/>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2.75" customHeight="1">
      <c r="A170" s="406" t="s">
        <v>1382</v>
      </c>
      <c r="B170" s="422" t="s">
        <v>1446</v>
      </c>
      <c r="C170" s="91"/>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2.75" customHeight="1">
      <c r="A171" s="406" t="s">
        <v>1384</v>
      </c>
      <c r="B171" s="422" t="s">
        <v>1446</v>
      </c>
      <c r="C171" s="91"/>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2.75" customHeight="1">
      <c r="A172" s="406" t="s">
        <v>1386</v>
      </c>
      <c r="B172" s="422" t="s">
        <v>1446</v>
      </c>
      <c r="C172" s="91"/>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2.75" customHeight="1">
      <c r="A173" s="406" t="s">
        <v>1389</v>
      </c>
      <c r="B173" s="422" t="s">
        <v>1446</v>
      </c>
      <c r="C173" s="91"/>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2.75" customHeight="1">
      <c r="A174" s="406" t="s">
        <v>1394</v>
      </c>
      <c r="B174" s="422" t="s">
        <v>1446</v>
      </c>
      <c r="C174" s="91"/>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2.75" customHeight="1">
      <c r="A175" s="406" t="s">
        <v>1395</v>
      </c>
      <c r="B175" s="422" t="s">
        <v>1446</v>
      </c>
      <c r="C175" s="91"/>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2.75" customHeight="1">
      <c r="A176" s="55" t="s">
        <v>1452</v>
      </c>
      <c r="B176" s="257" t="s">
        <v>1453</v>
      </c>
      <c r="C176" s="90"/>
      <c r="D176" s="90"/>
      <c r="E176" s="90"/>
      <c r="F176" s="90"/>
      <c r="G176" s="90"/>
      <c r="H176" s="91"/>
      <c r="I176" s="25"/>
      <c r="J176" s="25"/>
      <c r="K176" s="25"/>
      <c r="L176" s="25"/>
      <c r="M176" s="25"/>
      <c r="N176" s="25"/>
      <c r="O176" s="25"/>
      <c r="P176" s="25"/>
      <c r="Q176" s="25"/>
      <c r="R176" s="25"/>
      <c r="S176" s="25"/>
      <c r="T176" s="25"/>
      <c r="U176" s="25"/>
      <c r="V176" s="25"/>
      <c r="W176" s="25"/>
      <c r="X176" s="25"/>
      <c r="Y176" s="25"/>
      <c r="Z176" s="25"/>
    </row>
    <row r="177" ht="12.75" customHeight="1">
      <c r="A177" s="55"/>
      <c r="B177" s="423" t="s">
        <v>1454</v>
      </c>
      <c r="C177" s="423"/>
      <c r="D177" s="423"/>
      <c r="E177" s="423"/>
      <c r="F177" s="423"/>
      <c r="G177" s="423"/>
      <c r="H177" s="423"/>
      <c r="I177" s="25"/>
      <c r="J177" s="25"/>
      <c r="K177" s="25"/>
      <c r="L177" s="25"/>
      <c r="M177" s="25"/>
      <c r="N177" s="25"/>
      <c r="O177" s="25"/>
      <c r="P177" s="25"/>
      <c r="Q177" s="25"/>
      <c r="R177" s="25"/>
      <c r="S177" s="25"/>
      <c r="T177" s="25"/>
      <c r="U177" s="25"/>
      <c r="V177" s="25"/>
      <c r="W177" s="25"/>
      <c r="X177" s="25"/>
      <c r="Y177" s="25"/>
      <c r="Z177" s="25"/>
    </row>
    <row r="178" ht="12.75" customHeight="1">
      <c r="A178" s="55"/>
      <c r="B178" s="55" t="s">
        <v>1455</v>
      </c>
      <c r="C178" s="55"/>
      <c r="D178" s="55"/>
      <c r="E178" s="55"/>
      <c r="F178" s="55"/>
      <c r="G178" s="55"/>
      <c r="H178" s="55"/>
      <c r="I178" s="25"/>
      <c r="J178" s="25"/>
      <c r="K178" s="25"/>
      <c r="L178" s="25"/>
      <c r="M178" s="25"/>
      <c r="N178" s="25"/>
      <c r="O178" s="25"/>
      <c r="P178" s="25"/>
      <c r="Q178" s="25"/>
      <c r="R178" s="25"/>
      <c r="S178" s="25"/>
      <c r="T178" s="25"/>
      <c r="U178" s="25"/>
      <c r="V178" s="25"/>
      <c r="W178" s="25"/>
      <c r="X178" s="25"/>
      <c r="Y178" s="25"/>
      <c r="Z178" s="25"/>
    </row>
    <row r="179" ht="12.75" customHeight="1">
      <c r="A179" s="57" t="s">
        <v>1397</v>
      </c>
      <c r="B179" s="227" t="s">
        <v>1456</v>
      </c>
      <c r="C179" s="158"/>
      <c r="D179" s="158"/>
      <c r="E179" s="158"/>
      <c r="F179" s="158"/>
      <c r="G179" s="158"/>
      <c r="H179" s="159"/>
      <c r="I179" s="25"/>
      <c r="J179" s="25"/>
      <c r="K179" s="25"/>
      <c r="L179" s="25"/>
      <c r="M179" s="25"/>
      <c r="N179" s="25"/>
      <c r="O179" s="25"/>
      <c r="P179" s="25"/>
      <c r="Q179" s="25"/>
      <c r="R179" s="25"/>
      <c r="S179" s="25"/>
      <c r="T179" s="25"/>
      <c r="U179" s="25"/>
      <c r="V179" s="25"/>
      <c r="W179" s="25"/>
      <c r="X179" s="25"/>
      <c r="Y179" s="25"/>
      <c r="Z179" s="25"/>
    </row>
    <row r="180" ht="12.75" customHeight="1">
      <c r="A180" s="57"/>
      <c r="B180" s="229"/>
      <c r="H180" s="5"/>
      <c r="I180" s="25"/>
      <c r="J180" s="25"/>
      <c r="K180" s="25"/>
      <c r="L180" s="25"/>
      <c r="M180" s="25"/>
      <c r="N180" s="25"/>
      <c r="O180" s="25"/>
      <c r="P180" s="25"/>
      <c r="Q180" s="25"/>
      <c r="R180" s="25"/>
      <c r="S180" s="25"/>
      <c r="T180" s="25"/>
      <c r="U180" s="25"/>
      <c r="V180" s="25"/>
      <c r="W180" s="25"/>
      <c r="X180" s="25"/>
      <c r="Y180" s="25"/>
      <c r="Z180" s="25"/>
    </row>
    <row r="181" ht="12.75" customHeight="1">
      <c r="A181" s="57"/>
      <c r="B181" s="229"/>
      <c r="H181" s="5"/>
      <c r="I181" s="25"/>
      <c r="J181" s="25"/>
      <c r="K181" s="25"/>
      <c r="L181" s="25"/>
      <c r="M181" s="25"/>
      <c r="N181" s="25"/>
      <c r="O181" s="25"/>
      <c r="P181" s="25"/>
      <c r="Q181" s="25"/>
      <c r="R181" s="25"/>
      <c r="S181" s="25"/>
      <c r="T181" s="25"/>
      <c r="U181" s="25"/>
      <c r="V181" s="25"/>
      <c r="W181" s="25"/>
      <c r="X181" s="25"/>
      <c r="Y181" s="25"/>
      <c r="Z181" s="25"/>
    </row>
    <row r="182" ht="12.75" customHeight="1">
      <c r="A182" s="57"/>
      <c r="B182" s="229"/>
      <c r="H182" s="5"/>
      <c r="I182" s="25"/>
      <c r="J182" s="25"/>
      <c r="K182" s="25"/>
      <c r="L182" s="25"/>
      <c r="M182" s="25"/>
      <c r="N182" s="25"/>
      <c r="O182" s="25"/>
      <c r="P182" s="25"/>
      <c r="Q182" s="25"/>
      <c r="R182" s="25"/>
      <c r="S182" s="25"/>
      <c r="T182" s="25"/>
      <c r="U182" s="25"/>
      <c r="V182" s="25"/>
      <c r="W182" s="25"/>
      <c r="X182" s="25"/>
      <c r="Y182" s="25"/>
      <c r="Z182" s="25"/>
    </row>
    <row r="183" ht="12.75" customHeight="1">
      <c r="A183" s="57"/>
      <c r="B183" s="160"/>
      <c r="C183" s="7"/>
      <c r="D183" s="7"/>
      <c r="E183" s="7"/>
      <c r="F183" s="7"/>
      <c r="G183" s="7"/>
      <c r="H183" s="8"/>
      <c r="I183" s="25"/>
      <c r="J183" s="25"/>
      <c r="K183" s="25"/>
      <c r="L183" s="25"/>
      <c r="M183" s="25"/>
      <c r="N183" s="25"/>
      <c r="O183" s="25"/>
      <c r="P183" s="25"/>
      <c r="Q183" s="25"/>
      <c r="R183" s="25"/>
      <c r="S183" s="25"/>
      <c r="T183" s="25"/>
      <c r="U183" s="25"/>
      <c r="V183" s="25"/>
      <c r="W183" s="25"/>
      <c r="X183" s="25"/>
      <c r="Y183" s="25"/>
      <c r="Z183" s="25"/>
    </row>
    <row r="184" ht="12.75" customHeight="1">
      <c r="A184" s="25" t="s">
        <v>1398</v>
      </c>
      <c r="B184" s="25" t="s">
        <v>338</v>
      </c>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2.75" customHeight="1">
      <c r="A185" s="25" t="s">
        <v>470</v>
      </c>
      <c r="B185" s="56" t="s">
        <v>338</v>
      </c>
    </row>
    <row r="186" ht="15.0" customHeight="1">
      <c r="A186" s="25" t="s">
        <v>1457</v>
      </c>
      <c r="B186" s="56" t="s">
        <v>338</v>
      </c>
    </row>
    <row r="187" ht="12.75" customHeight="1">
      <c r="A187" s="25"/>
    </row>
    <row r="188" ht="15.75" customHeight="1">
      <c r="A188" s="350" t="s">
        <v>347</v>
      </c>
    </row>
    <row r="189" ht="15.75" customHeight="1">
      <c r="A189" s="351" t="s">
        <v>517</v>
      </c>
      <c r="I189" s="25"/>
      <c r="J189" s="25"/>
      <c r="K189" s="25"/>
      <c r="L189" s="25"/>
      <c r="M189" s="25"/>
      <c r="N189" s="25"/>
      <c r="O189" s="25"/>
      <c r="P189" s="25"/>
      <c r="Q189" s="25"/>
      <c r="R189" s="25"/>
      <c r="S189" s="25"/>
      <c r="T189" s="25"/>
      <c r="U189" s="25"/>
      <c r="V189" s="25"/>
      <c r="W189" s="25"/>
      <c r="X189" s="25"/>
      <c r="Y189" s="25"/>
      <c r="Z189" s="25"/>
    </row>
    <row r="190" ht="12.75" customHeight="1">
      <c r="I190" s="25"/>
      <c r="J190" s="25"/>
      <c r="K190" s="25"/>
      <c r="L190" s="25"/>
      <c r="M190" s="25"/>
      <c r="N190" s="25"/>
      <c r="O190" s="25"/>
      <c r="P190" s="25"/>
      <c r="Q190" s="25"/>
      <c r="R190" s="25"/>
      <c r="S190" s="25"/>
      <c r="T190" s="25"/>
      <c r="U190" s="25"/>
      <c r="V190" s="25"/>
      <c r="W190" s="25"/>
      <c r="X190" s="25"/>
      <c r="Y190" s="25"/>
      <c r="Z190" s="25"/>
    </row>
    <row r="191" ht="13.5" customHeight="1">
      <c r="I191" s="25"/>
      <c r="J191" s="25"/>
      <c r="K191" s="25"/>
      <c r="L191" s="25"/>
      <c r="M191" s="25"/>
      <c r="N191" s="25"/>
      <c r="O191" s="25"/>
      <c r="P191" s="25"/>
      <c r="Q191" s="25"/>
      <c r="R191" s="25"/>
      <c r="S191" s="25"/>
      <c r="T191" s="25"/>
      <c r="U191" s="25"/>
      <c r="V191" s="25"/>
      <c r="W191" s="25"/>
      <c r="X191" s="25"/>
      <c r="Y191" s="25"/>
      <c r="Z191" s="25"/>
    </row>
    <row r="192" ht="12.75" customHeight="1">
      <c r="I192" s="25"/>
      <c r="J192" s="25"/>
      <c r="K192" s="25"/>
      <c r="L192" s="25"/>
      <c r="M192" s="25"/>
      <c r="N192" s="25"/>
      <c r="O192" s="25"/>
      <c r="P192" s="25"/>
      <c r="Q192" s="25"/>
      <c r="R192" s="25"/>
      <c r="S192" s="25"/>
      <c r="T192" s="25"/>
      <c r="U192" s="25"/>
      <c r="V192" s="25"/>
      <c r="W192" s="25"/>
      <c r="X192" s="25"/>
      <c r="Y192" s="25"/>
      <c r="Z192" s="25"/>
    </row>
    <row r="193" ht="12.75" customHeight="1">
      <c r="I193" s="25"/>
      <c r="J193" s="25"/>
      <c r="K193" s="25"/>
      <c r="L193" s="25"/>
      <c r="M193" s="25"/>
      <c r="N193" s="25"/>
      <c r="O193" s="25"/>
      <c r="P193" s="25"/>
      <c r="Q193" s="25"/>
      <c r="R193" s="25"/>
      <c r="S193" s="25"/>
      <c r="T193" s="25"/>
      <c r="U193" s="25"/>
      <c r="V193" s="25"/>
      <c r="W193" s="25"/>
      <c r="X193" s="25"/>
      <c r="Y193" s="25"/>
      <c r="Z193" s="25"/>
    </row>
    <row r="194" ht="12.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2.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2.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2.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2.75" customHeight="1">
      <c r="A198" s="111"/>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2.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2.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2.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2.75" customHeight="1">
      <c r="A202" s="47"/>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2.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2.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2.75" customHeight="1">
      <c r="H205" s="25"/>
      <c r="I205" s="25"/>
      <c r="J205" s="25"/>
      <c r="K205" s="25"/>
      <c r="L205" s="25"/>
      <c r="M205" s="25"/>
      <c r="N205" s="25"/>
      <c r="O205" s="25"/>
      <c r="P205" s="25"/>
      <c r="Q205" s="25"/>
      <c r="R205" s="25"/>
      <c r="S205" s="25"/>
      <c r="T205" s="25"/>
      <c r="U205" s="25"/>
      <c r="V205" s="25"/>
      <c r="W205" s="25"/>
      <c r="X205" s="25"/>
      <c r="Y205" s="25"/>
      <c r="Z205" s="25"/>
    </row>
    <row r="206" ht="5.25" customHeight="1"/>
    <row r="207" ht="12.75" customHeight="1">
      <c r="A207" s="25"/>
    </row>
    <row r="208" ht="12.75" customHeight="1">
      <c r="A208" s="111"/>
    </row>
    <row r="209" ht="12.75" customHeight="1">
      <c r="A209" s="25"/>
    </row>
    <row r="210" ht="12.75" customHeight="1">
      <c r="A210" s="25"/>
    </row>
    <row r="211" ht="12.75" customHeight="1">
      <c r="A211" s="47"/>
    </row>
    <row r="212" ht="12.75" customHeight="1"/>
    <row r="213" ht="12.75" customHeight="1">
      <c r="A213" s="25"/>
    </row>
    <row r="214" ht="12.75" customHeight="1">
      <c r="A214" s="111"/>
    </row>
    <row r="215" ht="12.75" customHeight="1">
      <c r="A215" s="25"/>
    </row>
    <row r="216" ht="12.75" customHeight="1">
      <c r="A216" s="25"/>
    </row>
    <row r="217" ht="12.75" customHeight="1">
      <c r="A217" s="47"/>
    </row>
    <row r="218" ht="12.75" customHeight="1"/>
    <row r="219" ht="12.75" customHeight="1">
      <c r="A219" s="47"/>
    </row>
    <row r="220" ht="12.75" customHeight="1"/>
    <row r="221" ht="12.75" customHeight="1"/>
    <row r="222" ht="12.75" customHeight="1"/>
    <row r="223" ht="12.75" customHeight="1"/>
    <row r="224" ht="12.75" customHeight="1">
      <c r="B224" s="65"/>
    </row>
    <row r="225" ht="12.75" customHeight="1">
      <c r="B225" s="25"/>
      <c r="C225" s="25"/>
      <c r="D225" s="25"/>
      <c r="E225" s="25"/>
      <c r="F225" s="25"/>
      <c r="G225" s="25"/>
    </row>
    <row r="226" ht="12.75" customHeight="1">
      <c r="A226" s="25"/>
      <c r="H226" s="25"/>
      <c r="I226" s="25"/>
      <c r="J226" s="25"/>
      <c r="K226" s="25"/>
      <c r="L226" s="25"/>
      <c r="M226" s="25"/>
      <c r="N226" s="25"/>
      <c r="O226" s="25"/>
      <c r="P226" s="25"/>
      <c r="Q226" s="25"/>
      <c r="R226" s="25"/>
      <c r="S226" s="25"/>
      <c r="T226" s="25"/>
      <c r="U226" s="25"/>
      <c r="V226" s="25"/>
      <c r="W226" s="25"/>
      <c r="X226" s="25"/>
      <c r="Y226" s="25"/>
      <c r="Z226" s="25"/>
    </row>
    <row r="227" ht="12.75" customHeight="1"/>
    <row r="228" ht="12.75" customHeight="1"/>
    <row r="229" ht="12.75" customHeight="1"/>
    <row r="230" ht="12.75" customHeight="1"/>
    <row r="231" ht="12.75" customHeight="1">
      <c r="A231" s="25"/>
    </row>
    <row r="232" ht="12.75" customHeight="1">
      <c r="A232" s="111"/>
    </row>
    <row r="233" ht="12.75" customHeight="1">
      <c r="A233" s="25"/>
    </row>
    <row r="234" ht="12.75" customHeight="1">
      <c r="A234" s="111"/>
      <c r="C234" s="112"/>
      <c r="D234" s="112"/>
      <c r="E234" s="112"/>
      <c r="F234" s="112"/>
      <c r="G234" s="112"/>
    </row>
    <row r="235" ht="12.75" customHeight="1">
      <c r="A235" s="25"/>
      <c r="B235" s="25"/>
      <c r="C235" s="25"/>
      <c r="D235" s="25"/>
      <c r="E235" s="25"/>
      <c r="F235" s="25"/>
      <c r="G235" s="25"/>
    </row>
    <row r="236" ht="12.75" customHeight="1">
      <c r="A236" s="111"/>
    </row>
    <row r="237" ht="12.75" customHeight="1"/>
    <row r="238" ht="12.75" customHeight="1">
      <c r="A238" s="25"/>
    </row>
    <row r="239" ht="12.75" customHeight="1">
      <c r="A239" s="111"/>
    </row>
    <row r="240" ht="12.75" customHeight="1">
      <c r="A240" s="25"/>
    </row>
    <row r="241" ht="12.75" customHeight="1">
      <c r="A241" s="25"/>
    </row>
    <row r="242" ht="12.75" customHeight="1">
      <c r="A242" s="111"/>
    </row>
    <row r="243" ht="12.75" customHeight="1"/>
    <row r="244" ht="12.75" customHeight="1">
      <c r="A244" s="25"/>
    </row>
    <row r="245" ht="12.75" customHeight="1">
      <c r="A245" s="111"/>
    </row>
    <row r="246" ht="12.75" customHeight="1">
      <c r="A246" s="25"/>
    </row>
    <row r="247" ht="12.75" customHeight="1">
      <c r="A247" s="25"/>
    </row>
    <row r="248" ht="12.75" customHeight="1">
      <c r="A248" s="111"/>
    </row>
    <row r="249" ht="12.75" customHeight="1"/>
    <row r="250" ht="12.75" customHeight="1">
      <c r="A250" s="47"/>
    </row>
    <row r="251" ht="12.75" customHeight="1"/>
    <row r="252" ht="12.75" customHeight="1"/>
    <row r="253" ht="12.75" customHeight="1"/>
    <row r="254" ht="15.75" customHeight="1">
      <c r="A254" s="350" t="s">
        <v>347</v>
      </c>
    </row>
    <row r="255" ht="15.75" customHeight="1">
      <c r="A255" s="148" t="s">
        <v>348</v>
      </c>
    </row>
    <row r="256" ht="15.75" customHeight="1">
      <c r="A256" s="336" t="s">
        <v>1458</v>
      </c>
    </row>
    <row r="257" ht="15.75" customHeight="1">
      <c r="A257" s="49" t="s">
        <v>1459</v>
      </c>
    </row>
    <row r="258" ht="15.75" customHeight="1">
      <c r="A258" s="336" t="s">
        <v>1460</v>
      </c>
    </row>
    <row r="259" ht="15.75" customHeight="1">
      <c r="A259" s="49" t="s">
        <v>1461</v>
      </c>
    </row>
    <row r="260" ht="15.75" customHeight="1">
      <c r="A260" s="49"/>
    </row>
    <row r="261" ht="15.75" customHeight="1">
      <c r="A261" s="148" t="s">
        <v>351</v>
      </c>
    </row>
    <row r="262" ht="15.75" customHeight="1">
      <c r="A262" s="336" t="s">
        <v>1462</v>
      </c>
    </row>
    <row r="263" ht="15.75" customHeight="1">
      <c r="A263" s="49" t="s">
        <v>1463</v>
      </c>
    </row>
    <row r="264" ht="15.75" customHeight="1">
      <c r="A264" s="336" t="s">
        <v>1464</v>
      </c>
    </row>
    <row r="265" ht="15.75" customHeight="1">
      <c r="A265" s="49" t="s">
        <v>1461</v>
      </c>
    </row>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7">
    <mergeCell ref="A1:H1"/>
    <mergeCell ref="A2:H4"/>
    <mergeCell ref="A21:H22"/>
    <mergeCell ref="A37:H38"/>
    <mergeCell ref="B41:H43"/>
    <mergeCell ref="B44:H45"/>
    <mergeCell ref="B46:H47"/>
    <mergeCell ref="B48:H49"/>
    <mergeCell ref="B51:H54"/>
    <mergeCell ref="B56:H58"/>
    <mergeCell ref="B59:H62"/>
    <mergeCell ref="B63:H64"/>
    <mergeCell ref="B73:H74"/>
    <mergeCell ref="B76:H77"/>
    <mergeCell ref="B78:H79"/>
    <mergeCell ref="B80:H81"/>
    <mergeCell ref="B82:H83"/>
    <mergeCell ref="B89:H89"/>
    <mergeCell ref="B90:H90"/>
    <mergeCell ref="B91:H91"/>
    <mergeCell ref="B92:H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79:H183"/>
    <mergeCell ref="A189:H193"/>
    <mergeCell ref="B170:C170"/>
    <mergeCell ref="B171:C171"/>
    <mergeCell ref="B172:C172"/>
    <mergeCell ref="B173:C173"/>
    <mergeCell ref="B174:C174"/>
    <mergeCell ref="B175:C175"/>
    <mergeCell ref="B176:H176"/>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s>
  <printOptions/>
  <pageMargins bottom="0.75" footer="0.0" header="0.0" left="0.7" right="0.7" top="0.75"/>
  <pageSetup orientation="landscape"/>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5"/>
    <col customWidth="1" min="2" max="8" width="11.5"/>
    <col customWidth="1" min="9" max="26" width="10.0"/>
  </cols>
  <sheetData>
    <row r="1" ht="28.5" customHeight="1">
      <c r="A1" s="418" t="s">
        <v>1208</v>
      </c>
      <c r="B1" s="90"/>
      <c r="C1" s="90"/>
      <c r="D1" s="90"/>
      <c r="E1" s="90"/>
      <c r="F1" s="90"/>
      <c r="G1" s="90"/>
      <c r="H1" s="91"/>
    </row>
    <row r="2" ht="12.75" customHeight="1">
      <c r="A2" s="110" t="s">
        <v>1424</v>
      </c>
    </row>
    <row r="3" ht="12.75" customHeight="1"/>
    <row r="4" ht="12.75" customHeight="1"/>
    <row r="5" ht="12.75" customHeight="1">
      <c r="A5" s="47"/>
      <c r="B5" s="47" t="s">
        <v>1465</v>
      </c>
      <c r="C5" s="47" t="s">
        <v>1466</v>
      </c>
      <c r="D5" s="47"/>
      <c r="E5" s="47"/>
      <c r="F5" s="47"/>
      <c r="G5" s="47"/>
      <c r="H5" s="47"/>
      <c r="I5" s="47"/>
      <c r="J5" s="47"/>
      <c r="K5" s="47"/>
      <c r="L5" s="47"/>
      <c r="M5" s="47"/>
      <c r="N5" s="47"/>
      <c r="O5" s="47"/>
      <c r="P5" s="47"/>
      <c r="Q5" s="47"/>
      <c r="R5" s="47"/>
      <c r="S5" s="47"/>
      <c r="T5" s="47"/>
      <c r="U5" s="47"/>
      <c r="V5" s="47"/>
      <c r="W5" s="47"/>
      <c r="X5" s="47"/>
      <c r="Y5" s="47"/>
      <c r="Z5" s="47"/>
    </row>
    <row r="6" ht="12.75" customHeight="1">
      <c r="A6" s="55" t="s">
        <v>1467</v>
      </c>
      <c r="B6" s="55">
        <v>137.0</v>
      </c>
      <c r="C6" s="55">
        <v>127.0</v>
      </c>
    </row>
    <row r="7" ht="12.75" customHeight="1">
      <c r="A7" s="55" t="s">
        <v>1468</v>
      </c>
      <c r="B7" s="55">
        <v>19.4</v>
      </c>
      <c r="C7" s="55">
        <v>16.8</v>
      </c>
    </row>
    <row r="8" ht="12.75" customHeight="1">
      <c r="A8" s="55" t="s">
        <v>1469</v>
      </c>
      <c r="B8" s="55">
        <v>28.33</v>
      </c>
      <c r="C8" s="55">
        <v>27.85</v>
      </c>
    </row>
    <row r="9" ht="12.75" customHeight="1">
      <c r="A9" s="56" t="s">
        <v>1470</v>
      </c>
      <c r="B9" s="73">
        <f t="shared" ref="B9:C9" si="1">(B6*B7/B8)</f>
        <v>93.81574303</v>
      </c>
      <c r="C9" s="73">
        <f t="shared" si="1"/>
        <v>76.61041293</v>
      </c>
    </row>
    <row r="10" ht="12.75" customHeight="1">
      <c r="A10" s="56" t="s">
        <v>1471</v>
      </c>
      <c r="B10" s="73">
        <f>SUM('Normalization Factors'!K50:K51)</f>
        <v>337</v>
      </c>
      <c r="C10" s="73">
        <f>SUM('Normalization Factors'!L50:L51)</f>
        <v>329</v>
      </c>
    </row>
    <row r="11" ht="12.75" customHeight="1">
      <c r="A11" s="56" t="s">
        <v>1472</v>
      </c>
      <c r="B11" s="73">
        <f t="shared" ref="B11:C11" si="2">B10*B9</f>
        <v>31615.9054</v>
      </c>
      <c r="C11" s="73">
        <f t="shared" si="2"/>
        <v>25204.82585</v>
      </c>
    </row>
    <row r="12" ht="12.75" customHeight="1">
      <c r="B12" s="73"/>
      <c r="C12" s="73"/>
    </row>
    <row r="13" ht="12.75" customHeight="1">
      <c r="A13" s="55" t="s">
        <v>1473</v>
      </c>
      <c r="B13" s="117">
        <v>172.0</v>
      </c>
      <c r="C13" s="117">
        <v>177.0</v>
      </c>
    </row>
    <row r="14" ht="12.75" customHeight="1">
      <c r="A14" s="55" t="s">
        <v>1474</v>
      </c>
      <c r="B14" s="117">
        <v>26.0</v>
      </c>
      <c r="C14" s="117">
        <v>24.2</v>
      </c>
    </row>
    <row r="15" ht="12.75" customHeight="1">
      <c r="A15" s="55" t="s">
        <v>1475</v>
      </c>
      <c r="B15" s="117">
        <v>27.19</v>
      </c>
      <c r="C15" s="117">
        <v>27.82</v>
      </c>
    </row>
    <row r="16" ht="12.75" customHeight="1">
      <c r="A16" s="56" t="s">
        <v>1476</v>
      </c>
      <c r="B16" s="73">
        <f t="shared" ref="B16:C16" si="3">B13*B14/B15</f>
        <v>164.4722324</v>
      </c>
      <c r="C16" s="73">
        <f t="shared" si="3"/>
        <v>153.9683681</v>
      </c>
    </row>
    <row r="17" ht="12.75" customHeight="1">
      <c r="A17" s="56" t="s">
        <v>1477</v>
      </c>
      <c r="B17" s="73">
        <f>SUM('Normalization Factors'!K52:K53)</f>
        <v>865</v>
      </c>
      <c r="C17" s="73">
        <f>SUM('Normalization Factors'!L52:L53)</f>
        <v>785</v>
      </c>
    </row>
    <row r="18" ht="12.75" customHeight="1">
      <c r="A18" s="56" t="s">
        <v>1478</v>
      </c>
      <c r="B18" s="73">
        <f t="shared" ref="B18:C18" si="4">B17*B16</f>
        <v>142268.4811</v>
      </c>
      <c r="C18" s="73">
        <f t="shared" si="4"/>
        <v>120865.1689</v>
      </c>
    </row>
    <row r="19" ht="12.75" customHeight="1">
      <c r="B19" s="73"/>
      <c r="C19" s="73"/>
    </row>
    <row r="20" ht="12.75" customHeight="1">
      <c r="A20" s="56" t="s">
        <v>1479</v>
      </c>
      <c r="B20" s="73">
        <f t="shared" ref="B20:C20" si="5">B18+B11</f>
        <v>173884.3865</v>
      </c>
      <c r="C20" s="73">
        <f t="shared" si="5"/>
        <v>146069.9948</v>
      </c>
    </row>
    <row r="21" ht="12.75" customHeight="1"/>
    <row r="22" ht="12.75" customHeight="1"/>
    <row r="23" ht="12.75" customHeight="1"/>
    <row r="24" ht="12.75" customHeight="1">
      <c r="A24" s="25" t="s">
        <v>1398</v>
      </c>
      <c r="B24" s="73">
        <f t="shared" ref="B24:C24" si="6">B20</f>
        <v>173884.3865</v>
      </c>
      <c r="C24" s="73">
        <f t="shared" si="6"/>
        <v>146069.9948</v>
      </c>
      <c r="D24" s="73"/>
    </row>
    <row r="25" ht="12.75" customHeight="1">
      <c r="A25" s="25" t="s">
        <v>197</v>
      </c>
      <c r="B25" s="73">
        <f t="shared" ref="B25:C25" si="7">ROUND(B24*$B44,1)</f>
        <v>21748</v>
      </c>
      <c r="C25" s="73">
        <f t="shared" si="7"/>
        <v>18269.2</v>
      </c>
      <c r="D25" s="73"/>
    </row>
    <row r="26" ht="15.0" customHeight="1">
      <c r="A26" s="47" t="s">
        <v>1480</v>
      </c>
      <c r="B26" s="78">
        <f t="shared" ref="B26:C26" si="8">ROUND(B24*$B45,1)</f>
        <v>1525.8</v>
      </c>
      <c r="C26" s="78">
        <f t="shared" si="8"/>
        <v>1281.7</v>
      </c>
      <c r="D26" s="78"/>
    </row>
    <row r="27" ht="12.75" customHeight="1">
      <c r="A27" s="25" t="s">
        <v>448</v>
      </c>
      <c r="B27" s="97">
        <f t="shared" ref="B27:C27" si="9">(B14*B13)+(B7*B6)</f>
        <v>7129.8</v>
      </c>
      <c r="C27" s="97">
        <f t="shared" si="9"/>
        <v>6417</v>
      </c>
      <c r="D27" s="97"/>
    </row>
    <row r="28" ht="15.0" customHeight="1">
      <c r="A28" s="25" t="s">
        <v>1481</v>
      </c>
      <c r="B28" s="112">
        <f t="shared" ref="B28:C28" si="10">($B46*B27*$B39)</f>
        <v>0.00141455232</v>
      </c>
      <c r="C28" s="112">
        <f t="shared" si="10"/>
        <v>0.0012731328</v>
      </c>
      <c r="D28" s="112"/>
    </row>
    <row r="29" ht="15.0" customHeight="1">
      <c r="A29" s="47" t="s">
        <v>1482</v>
      </c>
      <c r="B29" s="126">
        <f t="shared" ref="B29:C29" si="11">B27*$B46*$B39*$B40</f>
        <v>0.02970559872</v>
      </c>
      <c r="C29" s="126">
        <f t="shared" si="11"/>
        <v>0.0267357888</v>
      </c>
      <c r="D29" s="126"/>
    </row>
    <row r="30" ht="15.0" customHeight="1">
      <c r="A30" s="25" t="s">
        <v>1483</v>
      </c>
      <c r="B30" s="112">
        <f t="shared" ref="B30:C30" si="12">($B47*B27*$B39)</f>
        <v>0.00108159066</v>
      </c>
      <c r="C30" s="112">
        <f t="shared" si="12"/>
        <v>0.0009734589</v>
      </c>
      <c r="D30" s="112"/>
    </row>
    <row r="31" ht="15.0" customHeight="1">
      <c r="A31" s="47" t="s">
        <v>1484</v>
      </c>
      <c r="B31" s="119">
        <f t="shared" ref="B31:C31" si="13">B27*$B47*$B39*$B41</f>
        <v>0.3352931046</v>
      </c>
      <c r="C31" s="119">
        <f t="shared" si="13"/>
        <v>0.301772259</v>
      </c>
      <c r="D31" s="119"/>
    </row>
    <row r="32" ht="12.75" customHeight="1">
      <c r="A32" s="120" t="s">
        <v>1404</v>
      </c>
      <c r="B32" s="121">
        <f t="shared" ref="B32:C32" si="14">ROUND(B26+B29+B31,1)</f>
        <v>1526.2</v>
      </c>
      <c r="C32" s="121">
        <f t="shared" si="14"/>
        <v>1282</v>
      </c>
      <c r="D32" s="121"/>
    </row>
    <row r="33" ht="16.5" customHeight="1"/>
    <row r="34" ht="12.75" customHeight="1">
      <c r="A34" s="111"/>
      <c r="B34" s="25"/>
      <c r="C34" s="25"/>
      <c r="D34" s="25"/>
    </row>
    <row r="35" ht="15.75" customHeight="1">
      <c r="A35" s="64" t="s">
        <v>606</v>
      </c>
    </row>
    <row r="36" ht="12.75" customHeight="1">
      <c r="A36" s="65" t="s">
        <v>252</v>
      </c>
      <c r="B36" s="25"/>
      <c r="C36" s="25"/>
      <c r="D36" s="25"/>
    </row>
    <row r="37" ht="12.75" customHeight="1">
      <c r="A37" s="113" t="s">
        <v>253</v>
      </c>
      <c r="B37" s="128">
        <f>((1)/(42))</f>
        <v>0.02380952381</v>
      </c>
      <c r="C37" s="25"/>
      <c r="D37" s="25"/>
    </row>
    <row r="38" ht="12.75" customHeight="1">
      <c r="A38" s="113" t="s">
        <v>465</v>
      </c>
      <c r="B38" s="25">
        <v>0.001</v>
      </c>
      <c r="D38" s="25"/>
    </row>
    <row r="39" ht="15.0" customHeight="1">
      <c r="A39" s="113" t="s">
        <v>1485</v>
      </c>
      <c r="B39" s="114">
        <v>1.0E-6</v>
      </c>
      <c r="D39" s="25"/>
    </row>
    <row r="40" ht="15.0" customHeight="1">
      <c r="A40" s="143" t="s">
        <v>1486</v>
      </c>
      <c r="B40" s="61">
        <v>21.0</v>
      </c>
      <c r="D40" s="25"/>
    </row>
    <row r="41" ht="15.0" customHeight="1">
      <c r="A41" s="143" t="s">
        <v>1487</v>
      </c>
      <c r="B41" s="61">
        <v>310.0</v>
      </c>
      <c r="D41" s="25"/>
    </row>
    <row r="42" ht="12.75" customHeight="1">
      <c r="D42" s="25"/>
    </row>
    <row r="43" ht="12.75" customHeight="1">
      <c r="A43" s="65" t="s">
        <v>469</v>
      </c>
      <c r="B43" s="25"/>
      <c r="D43" s="25"/>
    </row>
    <row r="44" ht="12.75" customHeight="1">
      <c r="A44" s="47" t="s">
        <v>470</v>
      </c>
      <c r="B44" s="144">
        <f>$B37*$B48</f>
        <v>0.1250714286</v>
      </c>
      <c r="C44" s="25"/>
      <c r="D44" s="25"/>
    </row>
    <row r="45" ht="15.0" customHeight="1">
      <c r="A45" s="47" t="s">
        <v>1488</v>
      </c>
      <c r="B45" s="47">
        <f>($B37*$B48*$B49*$B50*$B51*$B38)</f>
        <v>0.008774691254</v>
      </c>
      <c r="C45" s="25"/>
      <c r="D45" s="25"/>
    </row>
    <row r="46" ht="15.0" customHeight="1">
      <c r="A46" s="143" t="s">
        <v>1489</v>
      </c>
      <c r="B46" s="224">
        <v>0.1984</v>
      </c>
      <c r="C46" s="25"/>
      <c r="D46" s="25"/>
    </row>
    <row r="47" ht="15.0" customHeight="1">
      <c r="A47" s="143" t="s">
        <v>1490</v>
      </c>
      <c r="B47" s="224">
        <v>0.1517</v>
      </c>
      <c r="C47" s="25"/>
      <c r="D47" s="25"/>
    </row>
    <row r="48" ht="12.75" customHeight="1">
      <c r="A48" s="143" t="s">
        <v>261</v>
      </c>
      <c r="B48" s="61">
        <v>5.253</v>
      </c>
      <c r="C48" s="25"/>
      <c r="D48" s="25"/>
    </row>
    <row r="49" ht="12.75" customHeight="1">
      <c r="A49" s="143" t="s">
        <v>262</v>
      </c>
      <c r="B49" s="61">
        <v>19.34</v>
      </c>
      <c r="C49" s="25"/>
      <c r="D49" s="25"/>
    </row>
    <row r="50" ht="12.75" customHeight="1">
      <c r="A50" s="143" t="s">
        <v>263</v>
      </c>
      <c r="B50" s="61">
        <v>0.99</v>
      </c>
      <c r="C50" s="25"/>
      <c r="D50" s="25"/>
    </row>
    <row r="51" ht="15.0" customHeight="1">
      <c r="A51" s="143" t="s">
        <v>1491</v>
      </c>
      <c r="B51" s="145">
        <f>((12.011+32)/12.011)</f>
        <v>3.664224461</v>
      </c>
      <c r="C51" s="114"/>
      <c r="D51" s="114"/>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H1"/>
    <mergeCell ref="A2:H4"/>
    <mergeCell ref="A35:B35"/>
  </mergeCell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0"/>
    <col customWidth="1" min="2" max="2" width="13.88"/>
    <col customWidth="1" min="3" max="3" width="8.13"/>
    <col customWidth="1" min="4" max="4" width="8.38"/>
    <col customWidth="1" min="5" max="5" width="7.63"/>
    <col customWidth="1" min="6" max="6" width="8.0"/>
    <col customWidth="1" min="7" max="7" width="8.5"/>
    <col customWidth="1" min="8" max="8" width="45.63"/>
    <col customWidth="1" min="9" max="10" width="8.88"/>
    <col customWidth="1" min="11" max="26" width="10.0"/>
  </cols>
  <sheetData>
    <row r="1" ht="27.75" customHeight="1">
      <c r="A1" s="418" t="s">
        <v>16</v>
      </c>
      <c r="B1" s="90"/>
      <c r="C1" s="90"/>
      <c r="D1" s="90"/>
      <c r="E1" s="90"/>
      <c r="F1" s="90"/>
      <c r="G1" s="90"/>
      <c r="H1" s="91"/>
    </row>
    <row r="2" ht="12.75" customHeight="1">
      <c r="A2" s="110" t="s">
        <v>1424</v>
      </c>
    </row>
    <row r="3" ht="12.75" customHeight="1"/>
    <row r="4" ht="12.75" customHeight="1"/>
    <row r="5" ht="12.75" customHeight="1">
      <c r="B5" s="25"/>
      <c r="C5" s="47"/>
      <c r="D5" s="25"/>
      <c r="E5" s="25"/>
      <c r="F5" s="25"/>
      <c r="G5" s="25"/>
    </row>
    <row r="6" ht="12.75" customHeight="1">
      <c r="B6" s="47"/>
      <c r="C6" s="86"/>
      <c r="D6" s="86"/>
      <c r="E6" s="86"/>
      <c r="F6" s="86"/>
      <c r="G6" s="86"/>
    </row>
    <row r="7" ht="12.75" customHeight="1">
      <c r="B7" s="25"/>
      <c r="C7" s="97"/>
      <c r="D7" s="97"/>
      <c r="E7" s="97"/>
      <c r="F7" s="97"/>
      <c r="G7" s="97"/>
    </row>
    <row r="8" ht="12.75" customHeight="1">
      <c r="B8" s="25"/>
      <c r="C8" s="97"/>
      <c r="D8" s="97"/>
      <c r="E8" s="97"/>
      <c r="F8" s="97"/>
      <c r="G8" s="73"/>
    </row>
    <row r="9" ht="12.75" customHeight="1">
      <c r="B9" s="25"/>
      <c r="C9" s="25"/>
      <c r="D9" s="25"/>
      <c r="E9" s="25"/>
      <c r="F9" s="25"/>
      <c r="G9" s="25"/>
    </row>
    <row r="10" ht="12.75" customHeight="1">
      <c r="B10" s="25"/>
      <c r="C10" s="25"/>
      <c r="D10" s="25"/>
      <c r="E10" s="25"/>
      <c r="F10" s="25"/>
      <c r="G10" s="2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c r="A21" s="343" t="s">
        <v>1492</v>
      </c>
    </row>
    <row r="22" ht="12.75" customHeight="1"/>
    <row r="23" ht="12.75" customHeight="1">
      <c r="A23" s="419"/>
      <c r="B23" s="419"/>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c r="A37" s="343" t="s">
        <v>1493</v>
      </c>
    </row>
    <row r="38" ht="12.75" customHeight="1"/>
    <row r="39" ht="12.75" customHeight="1"/>
    <row r="40" ht="15.75" customHeight="1">
      <c r="A40" s="92" t="s">
        <v>606</v>
      </c>
    </row>
    <row r="41" ht="14.25" customHeight="1">
      <c r="A41" s="56" t="s">
        <v>261</v>
      </c>
      <c r="B41" s="420" t="s">
        <v>1009</v>
      </c>
    </row>
    <row r="42" ht="12.75" customHeight="1"/>
    <row r="43" ht="12.75" customHeight="1">
      <c r="J43" s="25"/>
    </row>
    <row r="44" ht="12.75" customHeight="1">
      <c r="A44" s="56" t="s">
        <v>262</v>
      </c>
      <c r="B44" s="156" t="s">
        <v>1427</v>
      </c>
    </row>
    <row r="45" ht="12.75" customHeight="1"/>
    <row r="46" ht="12.75" customHeight="1">
      <c r="A46" s="56" t="s">
        <v>263</v>
      </c>
      <c r="B46" s="156" t="s">
        <v>1427</v>
      </c>
    </row>
    <row r="47" ht="12.75" customHeight="1"/>
    <row r="48" ht="15.0" customHeight="1">
      <c r="A48" s="25" t="s">
        <v>1494</v>
      </c>
      <c r="B48" s="156" t="s">
        <v>324</v>
      </c>
    </row>
    <row r="49" ht="12.75" customHeight="1"/>
    <row r="50" ht="12.75" customHeight="1"/>
    <row r="51" ht="15.75" customHeight="1">
      <c r="A51" s="25" t="s">
        <v>1495</v>
      </c>
      <c r="B51" s="156" t="s">
        <v>1430</v>
      </c>
    </row>
    <row r="52" ht="12.75" customHeight="1">
      <c r="A52" s="25"/>
    </row>
    <row r="53" ht="12.75" customHeight="1">
      <c r="A53" s="25"/>
    </row>
    <row r="54" ht="12.75" customHeight="1">
      <c r="A54" s="25"/>
    </row>
    <row r="55" ht="15.0" customHeight="1">
      <c r="A55" s="111" t="s">
        <v>1496</v>
      </c>
      <c r="B55" s="56" t="s">
        <v>335</v>
      </c>
    </row>
    <row r="56" ht="15.0" customHeight="1">
      <c r="A56" s="25" t="s">
        <v>1497</v>
      </c>
      <c r="B56" s="156" t="s">
        <v>1433</v>
      </c>
    </row>
    <row r="57" ht="12.75" customHeight="1">
      <c r="A57" s="25"/>
    </row>
    <row r="58" ht="12.75" customHeight="1">
      <c r="A58" s="25"/>
    </row>
    <row r="59" ht="15.75" customHeight="1">
      <c r="A59" s="25" t="s">
        <v>1498</v>
      </c>
      <c r="B59" s="156" t="s">
        <v>1435</v>
      </c>
    </row>
    <row r="60" ht="12.75" customHeight="1"/>
    <row r="61" ht="12.75" customHeight="1"/>
    <row r="62" ht="12.75" customHeight="1"/>
    <row r="63" ht="15.0" customHeight="1">
      <c r="A63" s="25" t="s">
        <v>1499</v>
      </c>
      <c r="B63" s="156" t="s">
        <v>1433</v>
      </c>
    </row>
    <row r="64" ht="12.75" customHeight="1"/>
    <row r="65" ht="12.75" customHeight="1">
      <c r="B65" s="156"/>
      <c r="C65" s="156"/>
      <c r="D65" s="156"/>
      <c r="E65" s="156"/>
      <c r="F65" s="156"/>
      <c r="G65" s="156"/>
      <c r="H65" s="156"/>
    </row>
    <row r="66" ht="12.75" customHeight="1">
      <c r="A66" s="111" t="s">
        <v>253</v>
      </c>
      <c r="B66" s="56" t="s">
        <v>335</v>
      </c>
    </row>
    <row r="67" ht="12.75" customHeight="1">
      <c r="A67" s="111" t="s">
        <v>255</v>
      </c>
      <c r="B67" s="56" t="s">
        <v>335</v>
      </c>
    </row>
    <row r="68" ht="15.0" customHeight="1">
      <c r="A68" s="111" t="s">
        <v>1500</v>
      </c>
      <c r="B68" s="56" t="s">
        <v>335</v>
      </c>
    </row>
    <row r="69" ht="12.75" customHeight="1"/>
    <row r="70" ht="12.75" customHeight="1"/>
    <row r="71" ht="15.75" customHeight="1">
      <c r="A71" s="92" t="s">
        <v>440</v>
      </c>
    </row>
    <row r="72" ht="12.75" customHeight="1">
      <c r="A72" s="47" t="s">
        <v>1501</v>
      </c>
    </row>
    <row r="73" ht="12.75" customHeight="1">
      <c r="A73" s="55" t="s">
        <v>1452</v>
      </c>
      <c r="B73" s="424" t="s">
        <v>1502</v>
      </c>
      <c r="C73" s="158"/>
      <c r="D73" s="158"/>
      <c r="E73" s="158"/>
      <c r="F73" s="158"/>
      <c r="G73" s="158"/>
      <c r="H73" s="159"/>
    </row>
    <row r="74" ht="12.75" customHeight="1">
      <c r="A74" s="55"/>
      <c r="B74" s="229"/>
      <c r="H74" s="5"/>
      <c r="I74" s="25"/>
      <c r="J74" s="25"/>
      <c r="K74" s="25"/>
      <c r="L74" s="25"/>
      <c r="M74" s="25"/>
      <c r="N74" s="25"/>
      <c r="O74" s="25"/>
      <c r="P74" s="25"/>
      <c r="Q74" s="25"/>
      <c r="R74" s="25"/>
      <c r="S74" s="25"/>
      <c r="T74" s="25"/>
      <c r="U74" s="25"/>
      <c r="V74" s="25"/>
      <c r="W74" s="25"/>
      <c r="X74" s="25"/>
      <c r="Y74" s="25"/>
      <c r="Z74" s="25"/>
    </row>
    <row r="75" ht="12.0" customHeight="1">
      <c r="A75" s="55"/>
      <c r="B75" s="160"/>
      <c r="C75" s="7"/>
      <c r="D75" s="7"/>
      <c r="E75" s="7"/>
      <c r="F75" s="7"/>
      <c r="G75" s="7"/>
      <c r="H75" s="8"/>
      <c r="I75" s="25"/>
      <c r="J75" s="25"/>
      <c r="K75" s="25"/>
      <c r="L75" s="25"/>
      <c r="M75" s="25"/>
      <c r="N75" s="25"/>
      <c r="O75" s="25"/>
      <c r="P75" s="25"/>
      <c r="Q75" s="25"/>
      <c r="R75" s="25"/>
      <c r="S75" s="25"/>
      <c r="T75" s="25"/>
      <c r="U75" s="25"/>
      <c r="V75" s="25"/>
      <c r="W75" s="25"/>
      <c r="X75" s="25"/>
      <c r="Y75" s="25"/>
      <c r="Z75" s="25"/>
    </row>
    <row r="76" ht="12.75" customHeight="1">
      <c r="A76" s="57" t="s">
        <v>1503</v>
      </c>
      <c r="B76" s="425" t="s">
        <v>1504</v>
      </c>
      <c r="C76" s="90"/>
      <c r="D76" s="90"/>
      <c r="E76" s="90"/>
      <c r="F76" s="90"/>
      <c r="G76" s="90"/>
      <c r="H76" s="91"/>
      <c r="I76" s="25"/>
      <c r="J76" s="25"/>
      <c r="K76" s="25"/>
      <c r="L76" s="25"/>
      <c r="M76" s="25"/>
      <c r="N76" s="25"/>
      <c r="O76" s="25"/>
      <c r="P76" s="25"/>
      <c r="Q76" s="25"/>
      <c r="R76" s="25"/>
      <c r="S76" s="25"/>
      <c r="T76" s="25"/>
      <c r="U76" s="25"/>
      <c r="V76" s="25"/>
      <c r="W76" s="25"/>
      <c r="X76" s="25"/>
      <c r="Y76" s="25"/>
      <c r="Z76" s="25"/>
    </row>
    <row r="77" ht="10.5" customHeight="1">
      <c r="A77" s="57"/>
      <c r="B77" s="426"/>
      <c r="C77" s="426"/>
      <c r="D77" s="426"/>
      <c r="E77" s="426"/>
      <c r="F77" s="426"/>
      <c r="G77" s="426"/>
      <c r="H77" s="426"/>
      <c r="I77" s="25"/>
      <c r="J77" s="25"/>
      <c r="K77" s="25"/>
      <c r="L77" s="25"/>
      <c r="M77" s="25"/>
      <c r="N77" s="25"/>
      <c r="O77" s="25"/>
      <c r="P77" s="25"/>
      <c r="Q77" s="25"/>
      <c r="R77" s="25"/>
      <c r="S77" s="25"/>
      <c r="T77" s="25"/>
      <c r="U77" s="25"/>
      <c r="V77" s="25"/>
      <c r="W77" s="25"/>
      <c r="X77" s="25"/>
      <c r="Y77" s="25"/>
      <c r="Z77" s="25"/>
    </row>
    <row r="78" ht="12.75" customHeight="1">
      <c r="A78" s="427" t="s">
        <v>1505</v>
      </c>
      <c r="B78" s="428" t="s">
        <v>1506</v>
      </c>
      <c r="C78" s="158"/>
      <c r="D78" s="158"/>
      <c r="E78" s="158"/>
      <c r="F78" s="158"/>
      <c r="G78" s="158"/>
      <c r="H78" s="159"/>
      <c r="I78" s="25"/>
      <c r="J78" s="25"/>
      <c r="K78" s="25"/>
      <c r="L78" s="25"/>
      <c r="M78" s="25"/>
      <c r="N78" s="25"/>
      <c r="O78" s="25"/>
      <c r="P78" s="25"/>
      <c r="Q78" s="25"/>
      <c r="R78" s="25"/>
      <c r="S78" s="25"/>
      <c r="T78" s="25"/>
      <c r="U78" s="25"/>
      <c r="V78" s="25"/>
      <c r="W78" s="25"/>
      <c r="X78" s="25"/>
      <c r="Y78" s="25"/>
      <c r="Z78" s="25"/>
    </row>
    <row r="79" ht="12.75" customHeight="1">
      <c r="A79" s="427"/>
      <c r="B79" s="229"/>
      <c r="H79" s="5"/>
      <c r="I79" s="25"/>
      <c r="J79" s="25"/>
      <c r="K79" s="25"/>
      <c r="L79" s="25"/>
      <c r="M79" s="25"/>
      <c r="N79" s="25"/>
      <c r="O79" s="25"/>
      <c r="P79" s="25"/>
      <c r="Q79" s="25"/>
      <c r="R79" s="25"/>
      <c r="S79" s="25"/>
      <c r="T79" s="25"/>
      <c r="U79" s="25"/>
      <c r="V79" s="25"/>
      <c r="W79" s="25"/>
      <c r="X79" s="25"/>
      <c r="Y79" s="25"/>
      <c r="Z79" s="25"/>
    </row>
    <row r="80" ht="12.75" customHeight="1">
      <c r="A80" s="427"/>
      <c r="B80" s="160"/>
      <c r="C80" s="7"/>
      <c r="D80" s="7"/>
      <c r="E80" s="7"/>
      <c r="F80" s="7"/>
      <c r="G80" s="7"/>
      <c r="H80" s="8"/>
      <c r="I80" s="25"/>
      <c r="J80" s="25"/>
      <c r="K80" s="25"/>
      <c r="L80" s="25"/>
      <c r="M80" s="25"/>
      <c r="N80" s="25"/>
      <c r="O80" s="25"/>
      <c r="P80" s="25"/>
      <c r="Q80" s="25"/>
      <c r="R80" s="25"/>
      <c r="S80" s="25"/>
      <c r="T80" s="25"/>
      <c r="U80" s="25"/>
      <c r="V80" s="25"/>
      <c r="W80" s="25"/>
      <c r="X80" s="25"/>
      <c r="Y80" s="25"/>
      <c r="Z80" s="25"/>
    </row>
    <row r="81" ht="12.75" customHeight="1">
      <c r="A81" s="25" t="s">
        <v>1398</v>
      </c>
      <c r="B81" s="25" t="s">
        <v>338</v>
      </c>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2.75" customHeight="1">
      <c r="A82" s="25" t="s">
        <v>470</v>
      </c>
      <c r="B82" s="56" t="s">
        <v>338</v>
      </c>
      <c r="I82" s="25"/>
      <c r="J82" s="25"/>
      <c r="K82" s="25"/>
      <c r="L82" s="25"/>
      <c r="M82" s="25"/>
      <c r="N82" s="25"/>
      <c r="O82" s="25"/>
      <c r="P82" s="25"/>
      <c r="Q82" s="25"/>
      <c r="R82" s="25"/>
      <c r="S82" s="25"/>
      <c r="T82" s="25"/>
      <c r="U82" s="25"/>
      <c r="V82" s="25"/>
      <c r="W82" s="25"/>
      <c r="X82" s="25"/>
      <c r="Y82" s="25"/>
      <c r="Z82" s="25"/>
    </row>
    <row r="83" ht="15.0" customHeight="1">
      <c r="A83" s="25" t="s">
        <v>1507</v>
      </c>
      <c r="B83" s="56" t="s">
        <v>338</v>
      </c>
      <c r="I83" s="25"/>
      <c r="J83" s="25"/>
      <c r="K83" s="25"/>
      <c r="L83" s="25"/>
      <c r="M83" s="25"/>
      <c r="N83" s="25"/>
      <c r="O83" s="25"/>
      <c r="P83" s="25"/>
      <c r="Q83" s="25"/>
      <c r="R83" s="25"/>
      <c r="S83" s="25"/>
      <c r="T83" s="25"/>
      <c r="U83" s="25"/>
      <c r="V83" s="25"/>
      <c r="W83" s="25"/>
      <c r="X83" s="25"/>
      <c r="Y83" s="25"/>
      <c r="Z83" s="25"/>
    </row>
    <row r="84" ht="12.75" customHeight="1">
      <c r="A84" s="25"/>
      <c r="I84" s="25"/>
      <c r="J84" s="25"/>
      <c r="K84" s="25"/>
      <c r="L84" s="25"/>
      <c r="M84" s="25"/>
      <c r="N84" s="25"/>
      <c r="O84" s="25"/>
      <c r="P84" s="25"/>
      <c r="Q84" s="25"/>
      <c r="R84" s="25"/>
      <c r="S84" s="25"/>
      <c r="T84" s="25"/>
      <c r="U84" s="25"/>
      <c r="V84" s="25"/>
      <c r="W84" s="25"/>
      <c r="X84" s="25"/>
      <c r="Y84" s="25"/>
      <c r="Z84" s="25"/>
    </row>
    <row r="85" ht="15.75" customHeight="1">
      <c r="A85" s="350" t="s">
        <v>347</v>
      </c>
      <c r="I85" s="25"/>
      <c r="J85" s="25"/>
      <c r="K85" s="25"/>
      <c r="L85" s="25"/>
      <c r="M85" s="25"/>
      <c r="N85" s="25"/>
      <c r="O85" s="25"/>
      <c r="P85" s="25"/>
      <c r="Q85" s="25"/>
      <c r="R85" s="25"/>
      <c r="S85" s="25"/>
      <c r="T85" s="25"/>
      <c r="U85" s="25"/>
      <c r="V85" s="25"/>
      <c r="W85" s="25"/>
      <c r="X85" s="25"/>
      <c r="Y85" s="25"/>
      <c r="Z85" s="25"/>
    </row>
    <row r="86" ht="12.75" customHeight="1">
      <c r="A86" s="351" t="s">
        <v>517</v>
      </c>
      <c r="I86" s="25"/>
      <c r="J86" s="25"/>
      <c r="K86" s="25"/>
      <c r="L86" s="25"/>
      <c r="M86" s="25"/>
      <c r="N86" s="25"/>
      <c r="O86" s="25"/>
      <c r="P86" s="25"/>
      <c r="Q86" s="25"/>
      <c r="R86" s="25"/>
      <c r="S86" s="25"/>
      <c r="T86" s="25"/>
      <c r="U86" s="25"/>
      <c r="V86" s="25"/>
      <c r="W86" s="25"/>
      <c r="X86" s="25"/>
      <c r="Y86" s="25"/>
      <c r="Z86" s="25"/>
    </row>
    <row r="87" ht="12.75" customHeight="1">
      <c r="I87" s="25"/>
      <c r="J87" s="25"/>
      <c r="K87" s="25"/>
      <c r="L87" s="25"/>
      <c r="M87" s="25"/>
      <c r="N87" s="25"/>
      <c r="O87" s="25"/>
      <c r="P87" s="25"/>
      <c r="Q87" s="25"/>
      <c r="R87" s="25"/>
      <c r="S87" s="25"/>
      <c r="T87" s="25"/>
      <c r="U87" s="25"/>
      <c r="V87" s="25"/>
      <c r="W87" s="25"/>
      <c r="X87" s="25"/>
      <c r="Y87" s="25"/>
      <c r="Z87" s="25"/>
    </row>
    <row r="88" ht="12.75" customHeight="1">
      <c r="I88" s="25"/>
      <c r="J88" s="25"/>
      <c r="K88" s="25"/>
      <c r="L88" s="25"/>
      <c r="M88" s="25"/>
      <c r="N88" s="25"/>
      <c r="O88" s="25"/>
      <c r="P88" s="25"/>
      <c r="Q88" s="25"/>
      <c r="R88" s="25"/>
      <c r="S88" s="25"/>
      <c r="T88" s="25"/>
      <c r="U88" s="25"/>
      <c r="V88" s="25"/>
      <c r="W88" s="25"/>
      <c r="X88" s="25"/>
      <c r="Y88" s="25"/>
      <c r="Z88" s="25"/>
    </row>
    <row r="89" ht="12.75" customHeight="1">
      <c r="I89" s="25"/>
      <c r="J89" s="25"/>
      <c r="K89" s="25"/>
      <c r="L89" s="25"/>
      <c r="M89" s="25"/>
      <c r="N89" s="25"/>
      <c r="O89" s="25"/>
      <c r="P89" s="25"/>
      <c r="Q89" s="25"/>
      <c r="R89" s="25"/>
      <c r="S89" s="25"/>
      <c r="T89" s="25"/>
      <c r="U89" s="25"/>
      <c r="V89" s="25"/>
      <c r="W89" s="25"/>
      <c r="X89" s="25"/>
      <c r="Y89" s="25"/>
      <c r="Z89" s="25"/>
    </row>
    <row r="90" ht="12.75" customHeight="1">
      <c r="I90" s="25"/>
      <c r="J90" s="25"/>
      <c r="K90" s="25"/>
      <c r="L90" s="25"/>
      <c r="M90" s="25"/>
      <c r="N90" s="25"/>
      <c r="O90" s="25"/>
      <c r="P90" s="25"/>
      <c r="Q90" s="25"/>
      <c r="R90" s="25"/>
      <c r="S90" s="25"/>
      <c r="T90" s="25"/>
      <c r="U90" s="25"/>
      <c r="V90" s="25"/>
      <c r="W90" s="25"/>
      <c r="X90" s="25"/>
      <c r="Y90" s="25"/>
      <c r="Z90" s="25"/>
    </row>
    <row r="91" ht="12.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2.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2.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2.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2.75" customHeight="1">
      <c r="A95" s="111"/>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2.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2.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2.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2.75" customHeight="1">
      <c r="A99" s="47"/>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2.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2.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2.75" customHeight="1">
      <c r="H102" s="25"/>
      <c r="I102" s="25"/>
      <c r="J102" s="25"/>
      <c r="K102" s="25"/>
      <c r="L102" s="25"/>
      <c r="M102" s="25"/>
      <c r="N102" s="25"/>
      <c r="O102" s="25"/>
      <c r="P102" s="25"/>
      <c r="Q102" s="25"/>
      <c r="R102" s="25"/>
      <c r="S102" s="25"/>
      <c r="T102" s="25"/>
      <c r="U102" s="25"/>
      <c r="V102" s="25"/>
      <c r="W102" s="25"/>
      <c r="X102" s="25"/>
      <c r="Y102" s="25"/>
      <c r="Z102" s="25"/>
    </row>
    <row r="103" ht="12.75" customHeight="1">
      <c r="I103" s="25"/>
      <c r="J103" s="25"/>
      <c r="K103" s="25"/>
      <c r="L103" s="25"/>
      <c r="M103" s="25"/>
      <c r="N103" s="25"/>
      <c r="O103" s="25"/>
      <c r="P103" s="25"/>
      <c r="Q103" s="25"/>
      <c r="R103" s="25"/>
      <c r="S103" s="25"/>
      <c r="T103" s="25"/>
      <c r="U103" s="25"/>
      <c r="V103" s="25"/>
      <c r="W103" s="25"/>
      <c r="X103" s="25"/>
      <c r="Y103" s="25"/>
      <c r="Z103" s="25"/>
    </row>
    <row r="104" ht="12.75" customHeight="1">
      <c r="A104" s="25"/>
      <c r="I104" s="25"/>
      <c r="J104" s="25"/>
      <c r="K104" s="25"/>
      <c r="L104" s="25"/>
      <c r="M104" s="25"/>
      <c r="N104" s="25"/>
      <c r="O104" s="25"/>
      <c r="P104" s="25"/>
      <c r="Q104" s="25"/>
      <c r="R104" s="25"/>
      <c r="S104" s="25"/>
      <c r="T104" s="25"/>
      <c r="U104" s="25"/>
      <c r="V104" s="25"/>
      <c r="W104" s="25"/>
      <c r="X104" s="25"/>
      <c r="Y104" s="25"/>
      <c r="Z104" s="25"/>
    </row>
    <row r="105" ht="12.75" customHeight="1">
      <c r="A105" s="111"/>
      <c r="I105" s="25"/>
      <c r="J105" s="25"/>
      <c r="K105" s="25"/>
      <c r="L105" s="25"/>
      <c r="M105" s="25"/>
      <c r="N105" s="25"/>
      <c r="O105" s="25"/>
      <c r="P105" s="25"/>
      <c r="Q105" s="25"/>
      <c r="R105" s="25"/>
      <c r="S105" s="25"/>
      <c r="T105" s="25"/>
      <c r="U105" s="25"/>
      <c r="V105" s="25"/>
      <c r="W105" s="25"/>
      <c r="X105" s="25"/>
      <c r="Y105" s="25"/>
      <c r="Z105" s="25"/>
    </row>
    <row r="106" ht="12.75" customHeight="1">
      <c r="A106" s="25"/>
      <c r="I106" s="25"/>
      <c r="J106" s="25"/>
      <c r="K106" s="25"/>
      <c r="L106" s="25"/>
      <c r="M106" s="25"/>
      <c r="N106" s="25"/>
      <c r="O106" s="25"/>
      <c r="P106" s="25"/>
      <c r="Q106" s="25"/>
      <c r="R106" s="25"/>
      <c r="S106" s="25"/>
      <c r="T106" s="25"/>
      <c r="U106" s="25"/>
      <c r="V106" s="25"/>
      <c r="W106" s="25"/>
      <c r="X106" s="25"/>
      <c r="Y106" s="25"/>
      <c r="Z106" s="25"/>
    </row>
    <row r="107" ht="12.75" customHeight="1">
      <c r="A107" s="25"/>
      <c r="I107" s="25"/>
      <c r="J107" s="25"/>
      <c r="K107" s="25"/>
      <c r="L107" s="25"/>
      <c r="M107" s="25"/>
      <c r="N107" s="25"/>
      <c r="O107" s="25"/>
      <c r="P107" s="25"/>
      <c r="Q107" s="25"/>
      <c r="R107" s="25"/>
      <c r="S107" s="25"/>
      <c r="T107" s="25"/>
      <c r="U107" s="25"/>
      <c r="V107" s="25"/>
      <c r="W107" s="25"/>
      <c r="X107" s="25"/>
      <c r="Y107" s="25"/>
      <c r="Z107" s="25"/>
    </row>
    <row r="108" ht="12.75" customHeight="1">
      <c r="A108" s="47"/>
      <c r="I108" s="25"/>
      <c r="J108" s="25"/>
      <c r="K108" s="25"/>
      <c r="L108" s="25"/>
      <c r="M108" s="25"/>
      <c r="N108" s="25"/>
      <c r="O108" s="25"/>
      <c r="P108" s="25"/>
      <c r="Q108" s="25"/>
      <c r="R108" s="25"/>
      <c r="S108" s="25"/>
      <c r="T108" s="25"/>
      <c r="U108" s="25"/>
      <c r="V108" s="25"/>
      <c r="W108" s="25"/>
      <c r="X108" s="25"/>
      <c r="Y108" s="25"/>
      <c r="Z108" s="25"/>
    </row>
    <row r="109" ht="12.75" customHeight="1">
      <c r="I109" s="25"/>
      <c r="J109" s="25"/>
      <c r="K109" s="25"/>
      <c r="L109" s="25"/>
      <c r="M109" s="25"/>
      <c r="N109" s="25"/>
      <c r="O109" s="25"/>
      <c r="P109" s="25"/>
      <c r="Q109" s="25"/>
      <c r="R109" s="25"/>
      <c r="S109" s="25"/>
      <c r="T109" s="25"/>
      <c r="U109" s="25"/>
      <c r="V109" s="25"/>
      <c r="W109" s="25"/>
      <c r="X109" s="25"/>
      <c r="Y109" s="25"/>
      <c r="Z109" s="25"/>
    </row>
    <row r="110" ht="12.75" customHeight="1">
      <c r="A110" s="25"/>
      <c r="I110" s="25"/>
      <c r="J110" s="25"/>
      <c r="K110" s="25"/>
      <c r="L110" s="25"/>
      <c r="M110" s="25"/>
      <c r="N110" s="25"/>
      <c r="O110" s="25"/>
      <c r="P110" s="25"/>
      <c r="Q110" s="25"/>
      <c r="R110" s="25"/>
      <c r="S110" s="25"/>
      <c r="T110" s="25"/>
      <c r="U110" s="25"/>
      <c r="V110" s="25"/>
      <c r="W110" s="25"/>
      <c r="X110" s="25"/>
      <c r="Y110" s="25"/>
      <c r="Z110" s="25"/>
    </row>
    <row r="111" ht="12.75" customHeight="1">
      <c r="A111" s="111"/>
      <c r="I111" s="25"/>
      <c r="J111" s="25"/>
      <c r="K111" s="25"/>
      <c r="L111" s="25"/>
      <c r="M111" s="25"/>
      <c r="N111" s="25"/>
      <c r="O111" s="25"/>
      <c r="P111" s="25"/>
      <c r="Q111" s="25"/>
      <c r="R111" s="25"/>
      <c r="S111" s="25"/>
      <c r="T111" s="25"/>
      <c r="U111" s="25"/>
      <c r="V111" s="25"/>
      <c r="W111" s="25"/>
      <c r="X111" s="25"/>
      <c r="Y111" s="25"/>
      <c r="Z111" s="25"/>
    </row>
    <row r="112" ht="12.75" customHeight="1">
      <c r="A112" s="25"/>
      <c r="I112" s="25"/>
      <c r="J112" s="25"/>
      <c r="K112" s="25"/>
      <c r="L112" s="25"/>
      <c r="M112" s="25"/>
      <c r="N112" s="25"/>
      <c r="O112" s="25"/>
      <c r="P112" s="25"/>
      <c r="Q112" s="25"/>
      <c r="R112" s="25"/>
      <c r="S112" s="25"/>
      <c r="T112" s="25"/>
      <c r="U112" s="25"/>
      <c r="V112" s="25"/>
      <c r="W112" s="25"/>
      <c r="X112" s="25"/>
      <c r="Y112" s="25"/>
      <c r="Z112" s="25"/>
    </row>
    <row r="113" ht="12.75" customHeight="1">
      <c r="A113" s="25"/>
      <c r="I113" s="25"/>
      <c r="J113" s="25"/>
      <c r="K113" s="25"/>
      <c r="L113" s="25"/>
      <c r="M113" s="25"/>
      <c r="N113" s="25"/>
      <c r="O113" s="25"/>
      <c r="P113" s="25"/>
      <c r="Q113" s="25"/>
      <c r="R113" s="25"/>
      <c r="S113" s="25"/>
      <c r="T113" s="25"/>
      <c r="U113" s="25"/>
      <c r="V113" s="25"/>
      <c r="W113" s="25"/>
      <c r="X113" s="25"/>
      <c r="Y113" s="25"/>
      <c r="Z113" s="25"/>
    </row>
    <row r="114" ht="12.75" customHeight="1">
      <c r="A114" s="47"/>
      <c r="I114" s="25"/>
      <c r="J114" s="25"/>
      <c r="K114" s="25"/>
      <c r="L114" s="25"/>
      <c r="M114" s="25"/>
      <c r="N114" s="25"/>
      <c r="O114" s="25"/>
      <c r="P114" s="25"/>
      <c r="Q114" s="25"/>
      <c r="R114" s="25"/>
      <c r="S114" s="25"/>
      <c r="T114" s="25"/>
      <c r="U114" s="25"/>
      <c r="V114" s="25"/>
      <c r="W114" s="25"/>
      <c r="X114" s="25"/>
      <c r="Y114" s="25"/>
      <c r="Z114" s="25"/>
    </row>
    <row r="115" ht="12.75" customHeight="1">
      <c r="I115" s="25"/>
      <c r="J115" s="25"/>
      <c r="K115" s="25"/>
      <c r="L115" s="25"/>
      <c r="M115" s="25"/>
      <c r="N115" s="25"/>
      <c r="O115" s="25"/>
      <c r="P115" s="25"/>
      <c r="Q115" s="25"/>
      <c r="R115" s="25"/>
      <c r="S115" s="25"/>
      <c r="T115" s="25"/>
      <c r="U115" s="25"/>
      <c r="V115" s="25"/>
      <c r="W115" s="25"/>
      <c r="X115" s="25"/>
      <c r="Y115" s="25"/>
      <c r="Z115" s="25"/>
    </row>
    <row r="116" ht="12.75" customHeight="1">
      <c r="A116" s="47"/>
      <c r="I116" s="25"/>
      <c r="J116" s="25"/>
      <c r="K116" s="25"/>
      <c r="L116" s="25"/>
      <c r="M116" s="25"/>
      <c r="N116" s="25"/>
      <c r="O116" s="25"/>
      <c r="P116" s="25"/>
      <c r="Q116" s="25"/>
      <c r="R116" s="25"/>
      <c r="S116" s="25"/>
      <c r="T116" s="25"/>
      <c r="U116" s="25"/>
      <c r="V116" s="25"/>
      <c r="W116" s="25"/>
      <c r="X116" s="25"/>
      <c r="Y116" s="25"/>
      <c r="Z116" s="25"/>
    </row>
    <row r="117" ht="12.75" customHeight="1">
      <c r="I117" s="25"/>
      <c r="J117" s="25"/>
      <c r="K117" s="25"/>
      <c r="L117" s="25"/>
      <c r="M117" s="25"/>
      <c r="N117" s="25"/>
      <c r="O117" s="25"/>
      <c r="P117" s="25"/>
      <c r="Q117" s="25"/>
      <c r="R117" s="25"/>
      <c r="S117" s="25"/>
      <c r="T117" s="25"/>
      <c r="U117" s="25"/>
      <c r="V117" s="25"/>
      <c r="W117" s="25"/>
      <c r="X117" s="25"/>
      <c r="Y117" s="25"/>
      <c r="Z117" s="25"/>
    </row>
    <row r="118" ht="12.75" customHeight="1">
      <c r="I118" s="25"/>
      <c r="J118" s="25"/>
      <c r="K118" s="25"/>
      <c r="L118" s="25"/>
      <c r="M118" s="25"/>
      <c r="N118" s="25"/>
      <c r="O118" s="25"/>
      <c r="P118" s="25"/>
      <c r="Q118" s="25"/>
      <c r="R118" s="25"/>
      <c r="S118" s="25"/>
      <c r="T118" s="25"/>
      <c r="U118" s="25"/>
      <c r="V118" s="25"/>
      <c r="W118" s="25"/>
      <c r="X118" s="25"/>
      <c r="Y118" s="25"/>
      <c r="Z118" s="25"/>
    </row>
    <row r="119" ht="12.75" customHeight="1">
      <c r="I119" s="25"/>
      <c r="J119" s="25"/>
      <c r="K119" s="25"/>
      <c r="L119" s="25"/>
      <c r="M119" s="25"/>
      <c r="N119" s="25"/>
      <c r="O119" s="25"/>
      <c r="P119" s="25"/>
      <c r="Q119" s="25"/>
      <c r="R119" s="25"/>
      <c r="S119" s="25"/>
      <c r="T119" s="25"/>
      <c r="U119" s="25"/>
      <c r="V119" s="25"/>
      <c r="W119" s="25"/>
      <c r="X119" s="25"/>
      <c r="Y119" s="25"/>
      <c r="Z119" s="25"/>
    </row>
    <row r="120" ht="12.75" customHeight="1">
      <c r="I120" s="25"/>
      <c r="J120" s="25"/>
      <c r="K120" s="25"/>
      <c r="L120" s="25"/>
      <c r="M120" s="25"/>
      <c r="N120" s="25"/>
      <c r="O120" s="25"/>
      <c r="P120" s="25"/>
      <c r="Q120" s="25"/>
      <c r="R120" s="25"/>
      <c r="S120" s="25"/>
      <c r="T120" s="25"/>
      <c r="U120" s="25"/>
      <c r="V120" s="25"/>
      <c r="W120" s="25"/>
      <c r="X120" s="25"/>
      <c r="Y120" s="25"/>
      <c r="Z120" s="25"/>
    </row>
    <row r="121" ht="12.75" customHeight="1">
      <c r="B121" s="65"/>
      <c r="I121" s="25"/>
      <c r="J121" s="25"/>
      <c r="K121" s="25"/>
      <c r="L121" s="25"/>
      <c r="M121" s="25"/>
      <c r="N121" s="25"/>
      <c r="O121" s="25"/>
      <c r="P121" s="25"/>
      <c r="Q121" s="25"/>
      <c r="R121" s="25"/>
      <c r="S121" s="25"/>
      <c r="T121" s="25"/>
      <c r="U121" s="25"/>
      <c r="V121" s="25"/>
      <c r="W121" s="25"/>
      <c r="X121" s="25"/>
      <c r="Y121" s="25"/>
      <c r="Z121" s="25"/>
    </row>
    <row r="122" ht="12.75" customHeight="1">
      <c r="B122" s="25"/>
      <c r="C122" s="25"/>
      <c r="D122" s="25"/>
      <c r="E122" s="25"/>
      <c r="F122" s="25"/>
      <c r="G122" s="25"/>
      <c r="I122" s="25"/>
      <c r="J122" s="25"/>
      <c r="K122" s="25"/>
      <c r="L122" s="25"/>
      <c r="M122" s="25"/>
      <c r="N122" s="25"/>
      <c r="O122" s="25"/>
      <c r="P122" s="25"/>
      <c r="Q122" s="25"/>
      <c r="R122" s="25"/>
      <c r="S122" s="25"/>
      <c r="T122" s="25"/>
      <c r="U122" s="25"/>
      <c r="V122" s="25"/>
      <c r="W122" s="25"/>
      <c r="X122" s="25"/>
      <c r="Y122" s="25"/>
      <c r="Z122" s="25"/>
    </row>
    <row r="123" ht="12.75" customHeight="1">
      <c r="A123" s="25"/>
      <c r="H123" s="25"/>
      <c r="I123" s="25"/>
      <c r="J123" s="25"/>
      <c r="K123" s="25"/>
      <c r="L123" s="25"/>
      <c r="M123" s="25"/>
      <c r="N123" s="25"/>
      <c r="O123" s="25"/>
      <c r="P123" s="25"/>
      <c r="Q123" s="25"/>
      <c r="R123" s="25"/>
      <c r="S123" s="25"/>
      <c r="T123" s="25"/>
      <c r="U123" s="25"/>
      <c r="V123" s="25"/>
      <c r="W123" s="25"/>
      <c r="X123" s="25"/>
      <c r="Y123" s="25"/>
      <c r="Z123" s="25"/>
    </row>
    <row r="124" ht="12.75" customHeight="1">
      <c r="I124" s="25"/>
      <c r="J124" s="25"/>
      <c r="K124" s="25"/>
      <c r="L124" s="25"/>
      <c r="M124" s="25"/>
      <c r="N124" s="25"/>
      <c r="O124" s="25"/>
      <c r="P124" s="25"/>
      <c r="Q124" s="25"/>
      <c r="R124" s="25"/>
      <c r="S124" s="25"/>
      <c r="T124" s="25"/>
      <c r="U124" s="25"/>
      <c r="V124" s="25"/>
      <c r="W124" s="25"/>
      <c r="X124" s="25"/>
      <c r="Y124" s="25"/>
      <c r="Z124" s="25"/>
    </row>
    <row r="125" ht="12.75" customHeight="1">
      <c r="I125" s="25"/>
      <c r="J125" s="25"/>
      <c r="K125" s="25"/>
      <c r="L125" s="25"/>
      <c r="M125" s="25"/>
      <c r="N125" s="25"/>
      <c r="O125" s="25"/>
      <c r="P125" s="25"/>
      <c r="Q125" s="25"/>
      <c r="R125" s="25"/>
      <c r="S125" s="25"/>
      <c r="T125" s="25"/>
      <c r="U125" s="25"/>
      <c r="V125" s="25"/>
      <c r="W125" s="25"/>
      <c r="X125" s="25"/>
      <c r="Y125" s="25"/>
      <c r="Z125" s="25"/>
    </row>
    <row r="126" ht="12.75" customHeight="1">
      <c r="I126" s="25"/>
      <c r="J126" s="25"/>
      <c r="K126" s="25"/>
      <c r="L126" s="25"/>
      <c r="M126" s="25"/>
      <c r="N126" s="25"/>
      <c r="O126" s="25"/>
      <c r="P126" s="25"/>
      <c r="Q126" s="25"/>
      <c r="R126" s="25"/>
      <c r="S126" s="25"/>
      <c r="T126" s="25"/>
      <c r="U126" s="25"/>
      <c r="V126" s="25"/>
      <c r="W126" s="25"/>
      <c r="X126" s="25"/>
      <c r="Y126" s="25"/>
      <c r="Z126" s="25"/>
    </row>
    <row r="127" ht="12.75" customHeight="1">
      <c r="I127" s="25"/>
      <c r="J127" s="25"/>
      <c r="K127" s="25"/>
      <c r="L127" s="25"/>
      <c r="M127" s="25"/>
      <c r="N127" s="25"/>
      <c r="O127" s="25"/>
      <c r="P127" s="25"/>
      <c r="Q127" s="25"/>
      <c r="R127" s="25"/>
      <c r="S127" s="25"/>
      <c r="T127" s="25"/>
      <c r="U127" s="25"/>
      <c r="V127" s="25"/>
      <c r="W127" s="25"/>
      <c r="X127" s="25"/>
      <c r="Y127" s="25"/>
      <c r="Z127" s="25"/>
    </row>
    <row r="128" ht="12.75" customHeight="1">
      <c r="A128" s="25"/>
      <c r="I128" s="25"/>
      <c r="J128" s="25"/>
      <c r="K128" s="25"/>
      <c r="L128" s="25"/>
      <c r="M128" s="25"/>
      <c r="N128" s="25"/>
      <c r="O128" s="25"/>
      <c r="P128" s="25"/>
      <c r="Q128" s="25"/>
      <c r="R128" s="25"/>
      <c r="S128" s="25"/>
      <c r="T128" s="25"/>
      <c r="U128" s="25"/>
      <c r="V128" s="25"/>
      <c r="W128" s="25"/>
      <c r="X128" s="25"/>
      <c r="Y128" s="25"/>
      <c r="Z128" s="25"/>
    </row>
    <row r="129" ht="12.75" customHeight="1">
      <c r="A129" s="111"/>
      <c r="I129" s="25"/>
      <c r="J129" s="25"/>
      <c r="K129" s="25"/>
      <c r="L129" s="25"/>
      <c r="M129" s="25"/>
      <c r="N129" s="25"/>
      <c r="O129" s="25"/>
      <c r="P129" s="25"/>
      <c r="Q129" s="25"/>
      <c r="R129" s="25"/>
      <c r="S129" s="25"/>
      <c r="T129" s="25"/>
      <c r="U129" s="25"/>
      <c r="V129" s="25"/>
      <c r="W129" s="25"/>
      <c r="X129" s="25"/>
      <c r="Y129" s="25"/>
      <c r="Z129" s="25"/>
    </row>
    <row r="130" ht="12.75" customHeight="1">
      <c r="A130" s="25"/>
      <c r="I130" s="25"/>
      <c r="J130" s="25"/>
      <c r="K130" s="25"/>
      <c r="L130" s="25"/>
      <c r="M130" s="25"/>
      <c r="N130" s="25"/>
      <c r="O130" s="25"/>
      <c r="P130" s="25"/>
      <c r="Q130" s="25"/>
      <c r="R130" s="25"/>
      <c r="S130" s="25"/>
      <c r="T130" s="25"/>
      <c r="U130" s="25"/>
      <c r="V130" s="25"/>
      <c r="W130" s="25"/>
      <c r="X130" s="25"/>
      <c r="Y130" s="25"/>
      <c r="Z130" s="25"/>
    </row>
    <row r="131" ht="12.75" customHeight="1">
      <c r="A131" s="111"/>
      <c r="C131" s="112"/>
      <c r="D131" s="112"/>
      <c r="E131" s="112"/>
      <c r="F131" s="112"/>
      <c r="G131" s="112"/>
      <c r="I131" s="25"/>
      <c r="J131" s="25"/>
      <c r="K131" s="25"/>
      <c r="L131" s="25"/>
      <c r="M131" s="25"/>
      <c r="N131" s="25"/>
      <c r="O131" s="25"/>
      <c r="P131" s="25"/>
      <c r="Q131" s="25"/>
      <c r="R131" s="25"/>
      <c r="S131" s="25"/>
      <c r="T131" s="25"/>
      <c r="U131" s="25"/>
      <c r="V131" s="25"/>
      <c r="W131" s="25"/>
      <c r="X131" s="25"/>
      <c r="Y131" s="25"/>
      <c r="Z131" s="25"/>
    </row>
    <row r="132" ht="12.75" customHeight="1">
      <c r="A132" s="25"/>
      <c r="B132" s="25"/>
      <c r="C132" s="25"/>
      <c r="D132" s="25"/>
      <c r="E132" s="25"/>
      <c r="F132" s="25"/>
      <c r="G132" s="25"/>
      <c r="I132" s="25"/>
      <c r="J132" s="25"/>
      <c r="K132" s="25"/>
      <c r="L132" s="25"/>
      <c r="M132" s="25"/>
      <c r="N132" s="25"/>
      <c r="O132" s="25"/>
      <c r="P132" s="25"/>
      <c r="Q132" s="25"/>
      <c r="R132" s="25"/>
      <c r="S132" s="25"/>
      <c r="T132" s="25"/>
      <c r="U132" s="25"/>
      <c r="V132" s="25"/>
      <c r="W132" s="25"/>
      <c r="X132" s="25"/>
      <c r="Y132" s="25"/>
      <c r="Z132" s="25"/>
    </row>
    <row r="133" ht="12.75" customHeight="1">
      <c r="A133" s="111"/>
      <c r="I133" s="25"/>
      <c r="J133" s="25"/>
      <c r="K133" s="25"/>
      <c r="L133" s="25"/>
      <c r="M133" s="25"/>
      <c r="N133" s="25"/>
      <c r="O133" s="25"/>
      <c r="P133" s="25"/>
      <c r="Q133" s="25"/>
      <c r="R133" s="25"/>
      <c r="S133" s="25"/>
      <c r="T133" s="25"/>
      <c r="U133" s="25"/>
      <c r="V133" s="25"/>
      <c r="W133" s="25"/>
      <c r="X133" s="25"/>
      <c r="Y133" s="25"/>
      <c r="Z133" s="25"/>
    </row>
    <row r="134" ht="12.75" customHeight="1">
      <c r="I134" s="25"/>
      <c r="J134" s="25"/>
      <c r="K134" s="25"/>
      <c r="L134" s="25"/>
      <c r="M134" s="25"/>
      <c r="N134" s="25"/>
      <c r="O134" s="25"/>
      <c r="P134" s="25"/>
      <c r="Q134" s="25"/>
      <c r="R134" s="25"/>
      <c r="S134" s="25"/>
      <c r="T134" s="25"/>
      <c r="U134" s="25"/>
      <c r="V134" s="25"/>
      <c r="W134" s="25"/>
      <c r="X134" s="25"/>
      <c r="Y134" s="25"/>
      <c r="Z134" s="25"/>
    </row>
    <row r="135" ht="12.75" customHeight="1">
      <c r="A135" s="25"/>
      <c r="I135" s="25"/>
      <c r="J135" s="25"/>
      <c r="K135" s="25"/>
      <c r="L135" s="25"/>
      <c r="M135" s="25"/>
      <c r="N135" s="25"/>
      <c r="O135" s="25"/>
      <c r="P135" s="25"/>
      <c r="Q135" s="25"/>
      <c r="R135" s="25"/>
      <c r="S135" s="25"/>
      <c r="T135" s="25"/>
      <c r="U135" s="25"/>
      <c r="V135" s="25"/>
      <c r="W135" s="25"/>
      <c r="X135" s="25"/>
      <c r="Y135" s="25"/>
      <c r="Z135" s="25"/>
    </row>
    <row r="136" ht="12.75" customHeight="1">
      <c r="A136" s="111"/>
      <c r="I136" s="25"/>
      <c r="J136" s="25"/>
      <c r="K136" s="25"/>
      <c r="L136" s="25"/>
      <c r="M136" s="25"/>
      <c r="N136" s="25"/>
      <c r="O136" s="25"/>
      <c r="P136" s="25"/>
      <c r="Q136" s="25"/>
      <c r="R136" s="25"/>
      <c r="S136" s="25"/>
      <c r="T136" s="25"/>
      <c r="U136" s="25"/>
      <c r="V136" s="25"/>
      <c r="W136" s="25"/>
      <c r="X136" s="25"/>
      <c r="Y136" s="25"/>
      <c r="Z136" s="25"/>
    </row>
    <row r="137" ht="12.75" customHeight="1">
      <c r="A137" s="25"/>
      <c r="I137" s="25"/>
      <c r="J137" s="25"/>
      <c r="K137" s="25"/>
      <c r="L137" s="25"/>
      <c r="M137" s="25"/>
      <c r="N137" s="25"/>
      <c r="O137" s="25"/>
      <c r="P137" s="25"/>
      <c r="Q137" s="25"/>
      <c r="R137" s="25"/>
      <c r="S137" s="25"/>
      <c r="T137" s="25"/>
      <c r="U137" s="25"/>
      <c r="V137" s="25"/>
      <c r="W137" s="25"/>
      <c r="X137" s="25"/>
      <c r="Y137" s="25"/>
      <c r="Z137" s="25"/>
    </row>
    <row r="138" ht="12.75" customHeight="1">
      <c r="A138" s="25"/>
      <c r="I138" s="25"/>
      <c r="J138" s="25"/>
      <c r="K138" s="25"/>
      <c r="L138" s="25"/>
      <c r="M138" s="25"/>
      <c r="N138" s="25"/>
      <c r="O138" s="25"/>
      <c r="P138" s="25"/>
      <c r="Q138" s="25"/>
      <c r="R138" s="25"/>
      <c r="S138" s="25"/>
      <c r="T138" s="25"/>
      <c r="U138" s="25"/>
      <c r="V138" s="25"/>
      <c r="W138" s="25"/>
      <c r="X138" s="25"/>
      <c r="Y138" s="25"/>
      <c r="Z138" s="25"/>
    </row>
    <row r="139" ht="12.75" customHeight="1">
      <c r="A139" s="111"/>
      <c r="I139" s="25"/>
      <c r="J139" s="25"/>
      <c r="K139" s="25"/>
      <c r="L139" s="25"/>
      <c r="M139" s="25"/>
      <c r="N139" s="25"/>
      <c r="O139" s="25"/>
      <c r="P139" s="25"/>
      <c r="Q139" s="25"/>
      <c r="R139" s="25"/>
      <c r="S139" s="25"/>
      <c r="T139" s="25"/>
      <c r="U139" s="25"/>
      <c r="V139" s="25"/>
      <c r="W139" s="25"/>
      <c r="X139" s="25"/>
      <c r="Y139" s="25"/>
      <c r="Z139" s="25"/>
    </row>
    <row r="140" ht="12.75" customHeight="1">
      <c r="I140" s="25"/>
      <c r="J140" s="25"/>
      <c r="K140" s="25"/>
      <c r="L140" s="25"/>
      <c r="M140" s="25"/>
      <c r="N140" s="25"/>
      <c r="O140" s="25"/>
      <c r="P140" s="25"/>
      <c r="Q140" s="25"/>
      <c r="R140" s="25"/>
      <c r="S140" s="25"/>
      <c r="T140" s="25"/>
      <c r="U140" s="25"/>
      <c r="V140" s="25"/>
      <c r="W140" s="25"/>
      <c r="X140" s="25"/>
      <c r="Y140" s="25"/>
      <c r="Z140" s="25"/>
    </row>
    <row r="141" ht="12.75" customHeight="1">
      <c r="A141" s="25"/>
      <c r="I141" s="25"/>
      <c r="J141" s="25"/>
      <c r="K141" s="25"/>
      <c r="L141" s="25"/>
      <c r="M141" s="25"/>
      <c r="N141" s="25"/>
      <c r="O141" s="25"/>
      <c r="P141" s="25"/>
      <c r="Q141" s="25"/>
      <c r="R141" s="25"/>
      <c r="S141" s="25"/>
      <c r="T141" s="25"/>
      <c r="U141" s="25"/>
      <c r="V141" s="25"/>
      <c r="W141" s="25"/>
      <c r="X141" s="25"/>
      <c r="Y141" s="25"/>
      <c r="Z141" s="25"/>
    </row>
    <row r="142" ht="12.75" customHeight="1">
      <c r="A142" s="111"/>
      <c r="I142" s="25"/>
      <c r="J142" s="25"/>
      <c r="K142" s="25"/>
      <c r="L142" s="25"/>
      <c r="M142" s="25"/>
      <c r="N142" s="25"/>
      <c r="O142" s="25"/>
      <c r="P142" s="25"/>
      <c r="Q142" s="25"/>
      <c r="R142" s="25"/>
      <c r="S142" s="25"/>
      <c r="T142" s="25"/>
      <c r="U142" s="25"/>
      <c r="V142" s="25"/>
      <c r="W142" s="25"/>
      <c r="X142" s="25"/>
      <c r="Y142" s="25"/>
      <c r="Z142" s="25"/>
    </row>
    <row r="143" ht="12.75" customHeight="1">
      <c r="A143" s="25"/>
      <c r="I143" s="25"/>
      <c r="J143" s="25"/>
      <c r="K143" s="25"/>
      <c r="L143" s="25"/>
      <c r="M143" s="25"/>
      <c r="N143" s="25"/>
      <c r="O143" s="25"/>
      <c r="P143" s="25"/>
      <c r="Q143" s="25"/>
      <c r="R143" s="25"/>
      <c r="S143" s="25"/>
      <c r="T143" s="25"/>
      <c r="U143" s="25"/>
      <c r="V143" s="25"/>
      <c r="W143" s="25"/>
      <c r="X143" s="25"/>
      <c r="Y143" s="25"/>
      <c r="Z143" s="25"/>
    </row>
    <row r="144" ht="12.75" customHeight="1">
      <c r="A144" s="25"/>
      <c r="I144" s="25"/>
      <c r="J144" s="25"/>
      <c r="K144" s="25"/>
      <c r="L144" s="25"/>
      <c r="M144" s="25"/>
      <c r="N144" s="25"/>
      <c r="O144" s="25"/>
      <c r="P144" s="25"/>
      <c r="Q144" s="25"/>
      <c r="R144" s="25"/>
      <c r="S144" s="25"/>
      <c r="T144" s="25"/>
      <c r="U144" s="25"/>
      <c r="V144" s="25"/>
      <c r="W144" s="25"/>
      <c r="X144" s="25"/>
      <c r="Y144" s="25"/>
      <c r="Z144" s="25"/>
    </row>
    <row r="145" ht="12.75" customHeight="1">
      <c r="A145" s="111"/>
      <c r="I145" s="25"/>
      <c r="J145" s="25"/>
      <c r="K145" s="25"/>
      <c r="L145" s="25"/>
      <c r="M145" s="25"/>
      <c r="N145" s="25"/>
      <c r="O145" s="25"/>
      <c r="P145" s="25"/>
      <c r="Q145" s="25"/>
      <c r="R145" s="25"/>
      <c r="S145" s="25"/>
      <c r="T145" s="25"/>
      <c r="U145" s="25"/>
      <c r="V145" s="25"/>
      <c r="W145" s="25"/>
      <c r="X145" s="25"/>
      <c r="Y145" s="25"/>
      <c r="Z145" s="25"/>
    </row>
    <row r="146" ht="12.75" customHeight="1">
      <c r="I146" s="25"/>
      <c r="J146" s="25"/>
      <c r="K146" s="25"/>
      <c r="L146" s="25"/>
      <c r="M146" s="25"/>
      <c r="N146" s="25"/>
      <c r="O146" s="25"/>
      <c r="P146" s="25"/>
      <c r="Q146" s="25"/>
      <c r="R146" s="25"/>
      <c r="S146" s="25"/>
      <c r="T146" s="25"/>
      <c r="U146" s="25"/>
      <c r="V146" s="25"/>
      <c r="W146" s="25"/>
      <c r="X146" s="25"/>
      <c r="Y146" s="25"/>
      <c r="Z146" s="25"/>
    </row>
    <row r="147" ht="12.75" customHeight="1">
      <c r="A147" s="47"/>
      <c r="I147" s="25"/>
      <c r="J147" s="25"/>
      <c r="K147" s="25"/>
      <c r="L147" s="25"/>
      <c r="M147" s="25"/>
      <c r="N147" s="25"/>
      <c r="O147" s="25"/>
      <c r="P147" s="25"/>
      <c r="Q147" s="25"/>
      <c r="R147" s="25"/>
      <c r="S147" s="25"/>
      <c r="T147" s="25"/>
      <c r="U147" s="25"/>
      <c r="V147" s="25"/>
      <c r="W147" s="25"/>
      <c r="X147" s="25"/>
      <c r="Y147" s="25"/>
      <c r="Z147" s="25"/>
    </row>
    <row r="148" ht="12.75" customHeight="1">
      <c r="I148" s="25"/>
      <c r="J148" s="25"/>
      <c r="K148" s="25"/>
      <c r="L148" s="25"/>
      <c r="M148" s="25"/>
      <c r="N148" s="25"/>
      <c r="O148" s="25"/>
      <c r="P148" s="25"/>
      <c r="Q148" s="25"/>
      <c r="R148" s="25"/>
      <c r="S148" s="25"/>
      <c r="T148" s="25"/>
      <c r="U148" s="25"/>
      <c r="V148" s="25"/>
      <c r="W148" s="25"/>
      <c r="X148" s="25"/>
      <c r="Y148" s="25"/>
      <c r="Z148" s="25"/>
    </row>
    <row r="149" ht="12.75" customHeight="1">
      <c r="I149" s="25"/>
      <c r="J149" s="25"/>
      <c r="K149" s="25"/>
      <c r="L149" s="25"/>
      <c r="M149" s="25"/>
      <c r="N149" s="25"/>
      <c r="O149" s="25"/>
      <c r="P149" s="25"/>
      <c r="Q149" s="25"/>
      <c r="R149" s="25"/>
      <c r="S149" s="25"/>
      <c r="T149" s="25"/>
      <c r="U149" s="25"/>
      <c r="V149" s="25"/>
      <c r="W149" s="25"/>
      <c r="X149" s="25"/>
      <c r="Y149" s="25"/>
      <c r="Z149" s="25"/>
    </row>
    <row r="150" ht="12.75" customHeight="1">
      <c r="I150" s="25"/>
      <c r="J150" s="25"/>
      <c r="K150" s="25"/>
      <c r="L150" s="25"/>
      <c r="M150" s="25"/>
      <c r="N150" s="25"/>
      <c r="O150" s="25"/>
      <c r="P150" s="25"/>
      <c r="Q150" s="25"/>
      <c r="R150" s="25"/>
      <c r="S150" s="25"/>
      <c r="T150" s="25"/>
      <c r="U150" s="25"/>
      <c r="V150" s="25"/>
      <c r="W150" s="25"/>
      <c r="X150" s="25"/>
      <c r="Y150" s="25"/>
      <c r="Z150" s="25"/>
    </row>
    <row r="151" ht="15.75" customHeight="1">
      <c r="A151" s="350" t="s">
        <v>347</v>
      </c>
      <c r="I151" s="25"/>
      <c r="J151" s="25"/>
      <c r="K151" s="25"/>
      <c r="L151" s="25"/>
      <c r="M151" s="25"/>
      <c r="N151" s="25"/>
      <c r="O151" s="25"/>
      <c r="P151" s="25"/>
      <c r="Q151" s="25"/>
      <c r="R151" s="25"/>
      <c r="S151" s="25"/>
      <c r="T151" s="25"/>
      <c r="U151" s="25"/>
      <c r="V151" s="25"/>
      <c r="W151" s="25"/>
      <c r="X151" s="25"/>
      <c r="Y151" s="25"/>
      <c r="Z151" s="25"/>
    </row>
    <row r="152" ht="15.75" customHeight="1">
      <c r="A152" s="148" t="s">
        <v>348</v>
      </c>
      <c r="I152" s="25"/>
      <c r="J152" s="25"/>
      <c r="K152" s="25"/>
      <c r="L152" s="25"/>
      <c r="M152" s="25"/>
      <c r="N152" s="25"/>
      <c r="O152" s="25"/>
      <c r="P152" s="25"/>
      <c r="Q152" s="25"/>
      <c r="R152" s="25"/>
      <c r="S152" s="25"/>
      <c r="T152" s="25"/>
      <c r="U152" s="25"/>
      <c r="V152" s="25"/>
      <c r="W152" s="25"/>
      <c r="X152" s="25"/>
      <c r="Y152" s="25"/>
      <c r="Z152" s="25"/>
    </row>
    <row r="153" ht="15.75" customHeight="1">
      <c r="A153" s="336" t="s">
        <v>1458</v>
      </c>
      <c r="I153" s="25"/>
      <c r="J153" s="25"/>
      <c r="K153" s="25"/>
      <c r="L153" s="25"/>
      <c r="M153" s="25"/>
      <c r="N153" s="25"/>
      <c r="O153" s="25"/>
      <c r="P153" s="25"/>
      <c r="Q153" s="25"/>
      <c r="R153" s="25"/>
      <c r="S153" s="25"/>
      <c r="T153" s="25"/>
      <c r="U153" s="25"/>
      <c r="V153" s="25"/>
      <c r="W153" s="25"/>
      <c r="X153" s="25"/>
      <c r="Y153" s="25"/>
      <c r="Z153" s="25"/>
    </row>
    <row r="154" ht="15.75" customHeight="1">
      <c r="A154" s="49" t="s">
        <v>1459</v>
      </c>
      <c r="I154" s="25"/>
      <c r="J154" s="25"/>
      <c r="K154" s="25"/>
      <c r="L154" s="25"/>
      <c r="M154" s="25"/>
      <c r="N154" s="25"/>
      <c r="O154" s="25"/>
      <c r="P154" s="25"/>
      <c r="Q154" s="25"/>
      <c r="R154" s="25"/>
      <c r="S154" s="25"/>
      <c r="T154" s="25"/>
      <c r="U154" s="25"/>
      <c r="V154" s="25"/>
      <c r="W154" s="25"/>
      <c r="X154" s="25"/>
      <c r="Y154" s="25"/>
      <c r="Z154" s="25"/>
    </row>
    <row r="155" ht="15.75" customHeight="1">
      <c r="A155" s="336" t="s">
        <v>1460</v>
      </c>
      <c r="I155" s="25"/>
      <c r="J155" s="25"/>
      <c r="K155" s="25"/>
      <c r="L155" s="25"/>
      <c r="M155" s="25"/>
      <c r="N155" s="25"/>
      <c r="O155" s="25"/>
      <c r="P155" s="25"/>
      <c r="Q155" s="25"/>
      <c r="R155" s="25"/>
      <c r="S155" s="25"/>
      <c r="T155" s="25"/>
      <c r="U155" s="25"/>
      <c r="V155" s="25"/>
      <c r="W155" s="25"/>
      <c r="X155" s="25"/>
      <c r="Y155" s="25"/>
      <c r="Z155" s="25"/>
    </row>
    <row r="156" ht="15.75" customHeight="1">
      <c r="A156" s="49" t="s">
        <v>1461</v>
      </c>
      <c r="I156" s="25"/>
      <c r="J156" s="25"/>
      <c r="K156" s="25"/>
      <c r="L156" s="25"/>
      <c r="M156" s="25"/>
      <c r="N156" s="25"/>
      <c r="O156" s="25"/>
      <c r="P156" s="25"/>
      <c r="Q156" s="25"/>
      <c r="R156" s="25"/>
      <c r="S156" s="25"/>
      <c r="T156" s="25"/>
      <c r="U156" s="25"/>
      <c r="V156" s="25"/>
      <c r="W156" s="25"/>
      <c r="X156" s="25"/>
      <c r="Y156" s="25"/>
      <c r="Z156" s="25"/>
    </row>
    <row r="157" ht="15.75" customHeight="1">
      <c r="A157" s="49"/>
      <c r="I157" s="25"/>
      <c r="J157" s="25"/>
      <c r="K157" s="25"/>
      <c r="L157" s="25"/>
      <c r="M157" s="25"/>
      <c r="N157" s="25"/>
      <c r="O157" s="25"/>
      <c r="P157" s="25"/>
      <c r="Q157" s="25"/>
      <c r="R157" s="25"/>
      <c r="S157" s="25"/>
      <c r="T157" s="25"/>
      <c r="U157" s="25"/>
      <c r="V157" s="25"/>
      <c r="W157" s="25"/>
      <c r="X157" s="25"/>
      <c r="Y157" s="25"/>
      <c r="Z157" s="25"/>
    </row>
    <row r="158" ht="15.75" customHeight="1">
      <c r="A158" s="148" t="s">
        <v>351</v>
      </c>
      <c r="I158" s="25"/>
      <c r="J158" s="25"/>
      <c r="K158" s="25"/>
      <c r="L158" s="25"/>
      <c r="M158" s="25"/>
      <c r="N158" s="25"/>
      <c r="O158" s="25"/>
      <c r="P158" s="25"/>
      <c r="Q158" s="25"/>
      <c r="R158" s="25"/>
      <c r="S158" s="25"/>
      <c r="T158" s="25"/>
      <c r="U158" s="25"/>
      <c r="V158" s="25"/>
      <c r="W158" s="25"/>
      <c r="X158" s="25"/>
      <c r="Y158" s="25"/>
      <c r="Z158" s="25"/>
    </row>
    <row r="159" ht="15.75" customHeight="1">
      <c r="A159" s="336" t="s">
        <v>1462</v>
      </c>
      <c r="I159" s="25"/>
      <c r="J159" s="25"/>
      <c r="K159" s="25"/>
      <c r="L159" s="25"/>
      <c r="M159" s="25"/>
      <c r="N159" s="25"/>
      <c r="O159" s="25"/>
      <c r="P159" s="25"/>
      <c r="Q159" s="25"/>
      <c r="R159" s="25"/>
      <c r="S159" s="25"/>
      <c r="T159" s="25"/>
      <c r="U159" s="25"/>
      <c r="V159" s="25"/>
      <c r="W159" s="25"/>
      <c r="X159" s="25"/>
      <c r="Y159" s="25"/>
      <c r="Z159" s="25"/>
    </row>
    <row r="160" ht="15.75" customHeight="1">
      <c r="A160" s="49" t="s">
        <v>1508</v>
      </c>
      <c r="I160" s="25"/>
      <c r="J160" s="25"/>
      <c r="K160" s="25"/>
      <c r="L160" s="25"/>
      <c r="M160" s="25"/>
      <c r="N160" s="25"/>
      <c r="O160" s="25"/>
      <c r="P160" s="25"/>
      <c r="Q160" s="25"/>
      <c r="R160" s="25"/>
      <c r="S160" s="25"/>
      <c r="T160" s="25"/>
      <c r="U160" s="25"/>
      <c r="V160" s="25"/>
      <c r="W160" s="25"/>
      <c r="X160" s="25"/>
      <c r="Y160" s="25"/>
      <c r="Z160" s="25"/>
    </row>
    <row r="161" ht="15.75" customHeight="1">
      <c r="A161" s="336" t="s">
        <v>1464</v>
      </c>
      <c r="I161" s="25"/>
      <c r="J161" s="25"/>
      <c r="K161" s="25"/>
      <c r="L161" s="25"/>
      <c r="M161" s="25"/>
      <c r="N161" s="25"/>
      <c r="O161" s="25"/>
      <c r="P161" s="25"/>
      <c r="Q161" s="25"/>
      <c r="R161" s="25"/>
      <c r="S161" s="25"/>
      <c r="T161" s="25"/>
      <c r="U161" s="25"/>
      <c r="V161" s="25"/>
      <c r="W161" s="25"/>
      <c r="X161" s="25"/>
      <c r="Y161" s="25"/>
      <c r="Z161" s="25"/>
    </row>
    <row r="162" ht="12.75" customHeight="1">
      <c r="A162" s="49" t="s">
        <v>1461</v>
      </c>
      <c r="I162" s="25"/>
      <c r="J162" s="25"/>
      <c r="K162" s="25"/>
      <c r="L162" s="25"/>
      <c r="M162" s="25"/>
      <c r="N162" s="25"/>
      <c r="O162" s="25"/>
      <c r="P162" s="25"/>
      <c r="Q162" s="25"/>
      <c r="R162" s="25"/>
      <c r="S162" s="25"/>
      <c r="T162" s="25"/>
      <c r="U162" s="25"/>
      <c r="V162" s="25"/>
      <c r="W162" s="25"/>
      <c r="X162" s="25"/>
      <c r="Y162" s="25"/>
      <c r="Z162" s="25"/>
    </row>
    <row r="163" ht="12.75" customHeight="1">
      <c r="I163" s="25"/>
      <c r="J163" s="25"/>
      <c r="K163" s="25"/>
      <c r="L163" s="25"/>
      <c r="M163" s="25"/>
      <c r="N163" s="25"/>
      <c r="O163" s="25"/>
      <c r="P163" s="25"/>
      <c r="Q163" s="25"/>
      <c r="R163" s="25"/>
      <c r="S163" s="25"/>
      <c r="T163" s="25"/>
      <c r="U163" s="25"/>
      <c r="V163" s="25"/>
      <c r="W163" s="25"/>
      <c r="X163" s="25"/>
      <c r="Y163" s="25"/>
      <c r="Z163" s="25"/>
    </row>
    <row r="164" ht="12.75" customHeight="1">
      <c r="I164" s="25"/>
      <c r="J164" s="25"/>
      <c r="K164" s="25"/>
      <c r="L164" s="25"/>
      <c r="M164" s="25"/>
      <c r="N164" s="25"/>
      <c r="O164" s="25"/>
      <c r="P164" s="25"/>
      <c r="Q164" s="25"/>
      <c r="R164" s="25"/>
      <c r="S164" s="25"/>
      <c r="T164" s="25"/>
      <c r="U164" s="25"/>
      <c r="V164" s="25"/>
      <c r="W164" s="25"/>
      <c r="X164" s="25"/>
      <c r="Y164" s="25"/>
      <c r="Z164" s="25"/>
    </row>
    <row r="165" ht="12.75" customHeight="1">
      <c r="I165" s="25"/>
      <c r="J165" s="25"/>
      <c r="K165" s="25"/>
      <c r="L165" s="25"/>
      <c r="M165" s="25"/>
      <c r="N165" s="25"/>
      <c r="O165" s="25"/>
      <c r="P165" s="25"/>
      <c r="Q165" s="25"/>
      <c r="R165" s="25"/>
      <c r="S165" s="25"/>
      <c r="T165" s="25"/>
      <c r="U165" s="25"/>
      <c r="V165" s="25"/>
      <c r="W165" s="25"/>
      <c r="X165" s="25"/>
      <c r="Y165" s="25"/>
      <c r="Z165" s="25"/>
    </row>
    <row r="166" ht="12.75" customHeight="1">
      <c r="I166" s="25"/>
      <c r="J166" s="25"/>
      <c r="K166" s="25"/>
      <c r="L166" s="25"/>
      <c r="M166" s="25"/>
      <c r="N166" s="25"/>
      <c r="O166" s="25"/>
      <c r="P166" s="25"/>
      <c r="Q166" s="25"/>
      <c r="R166" s="25"/>
      <c r="S166" s="25"/>
      <c r="T166" s="25"/>
      <c r="U166" s="25"/>
      <c r="V166" s="25"/>
      <c r="W166" s="25"/>
      <c r="X166" s="25"/>
      <c r="Y166" s="25"/>
      <c r="Z166" s="25"/>
    </row>
    <row r="167" ht="12.75" customHeight="1">
      <c r="I167" s="25"/>
      <c r="J167" s="25"/>
      <c r="K167" s="25"/>
      <c r="L167" s="25"/>
      <c r="M167" s="25"/>
      <c r="N167" s="25"/>
      <c r="O167" s="25"/>
      <c r="P167" s="25"/>
      <c r="Q167" s="25"/>
      <c r="R167" s="25"/>
      <c r="S167" s="25"/>
      <c r="T167" s="25"/>
      <c r="U167" s="25"/>
      <c r="V167" s="25"/>
      <c r="W167" s="25"/>
      <c r="X167" s="25"/>
      <c r="Y167" s="25"/>
      <c r="Z167" s="25"/>
    </row>
    <row r="168" ht="12.75" customHeight="1">
      <c r="I168" s="25"/>
      <c r="J168" s="25"/>
      <c r="K168" s="25"/>
      <c r="L168" s="25"/>
      <c r="M168" s="25"/>
      <c r="N168" s="25"/>
      <c r="O168" s="25"/>
      <c r="P168" s="25"/>
      <c r="Q168" s="25"/>
      <c r="R168" s="25"/>
      <c r="S168" s="25"/>
      <c r="T168" s="25"/>
      <c r="U168" s="25"/>
      <c r="V168" s="25"/>
      <c r="W168" s="25"/>
      <c r="X168" s="25"/>
      <c r="Y168" s="25"/>
      <c r="Z168" s="25"/>
    </row>
    <row r="169" ht="12.75" customHeight="1">
      <c r="I169" s="25"/>
      <c r="J169" s="25"/>
      <c r="K169" s="25"/>
      <c r="L169" s="25"/>
      <c r="M169" s="25"/>
      <c r="N169" s="25"/>
      <c r="O169" s="25"/>
      <c r="P169" s="25"/>
      <c r="Q169" s="25"/>
      <c r="R169" s="25"/>
      <c r="S169" s="25"/>
      <c r="T169" s="25"/>
      <c r="U169" s="25"/>
      <c r="V169" s="25"/>
      <c r="W169" s="25"/>
      <c r="X169" s="25"/>
      <c r="Y169" s="25"/>
      <c r="Z169" s="25"/>
    </row>
    <row r="170" ht="12.75" customHeight="1">
      <c r="I170" s="25"/>
      <c r="J170" s="25"/>
      <c r="K170" s="25"/>
      <c r="L170" s="25"/>
      <c r="M170" s="25"/>
      <c r="N170" s="25"/>
      <c r="O170" s="25"/>
      <c r="P170" s="25"/>
      <c r="Q170" s="25"/>
      <c r="R170" s="25"/>
      <c r="S170" s="25"/>
      <c r="T170" s="25"/>
      <c r="U170" s="25"/>
      <c r="V170" s="25"/>
      <c r="W170" s="25"/>
      <c r="X170" s="25"/>
      <c r="Y170" s="25"/>
      <c r="Z170" s="25"/>
    </row>
    <row r="171" ht="12.75" customHeight="1"/>
    <row r="172" ht="12.75" customHeight="1"/>
    <row r="173" ht="12.75" customHeight="1"/>
    <row r="174" ht="12.75" customHeight="1"/>
    <row r="175" ht="15.75" customHeight="1">
      <c r="I175" s="25"/>
      <c r="J175" s="25"/>
      <c r="K175" s="25"/>
      <c r="L175" s="25"/>
      <c r="M175" s="25"/>
      <c r="N175" s="25"/>
      <c r="O175" s="25"/>
      <c r="P175" s="25"/>
      <c r="Q175" s="25"/>
      <c r="R175" s="25"/>
      <c r="S175" s="25"/>
      <c r="T175" s="25"/>
      <c r="U175" s="25"/>
      <c r="V175" s="25"/>
      <c r="W175" s="25"/>
      <c r="X175" s="25"/>
      <c r="Y175" s="25"/>
      <c r="Z175" s="25"/>
    </row>
    <row r="176" ht="12.75" customHeight="1">
      <c r="I176" s="25"/>
      <c r="J176" s="25"/>
      <c r="K176" s="25"/>
      <c r="L176" s="25"/>
      <c r="M176" s="25"/>
      <c r="N176" s="25"/>
      <c r="O176" s="25"/>
      <c r="P176" s="25"/>
      <c r="Q176" s="25"/>
      <c r="R176" s="25"/>
      <c r="S176" s="25"/>
      <c r="T176" s="25"/>
      <c r="U176" s="25"/>
      <c r="V176" s="25"/>
      <c r="W176" s="25"/>
      <c r="X176" s="25"/>
      <c r="Y176" s="25"/>
      <c r="Z176" s="25"/>
    </row>
    <row r="177" ht="13.5" customHeight="1">
      <c r="I177" s="25"/>
      <c r="J177" s="25"/>
      <c r="K177" s="25"/>
      <c r="L177" s="25"/>
      <c r="M177" s="25"/>
      <c r="N177" s="25"/>
      <c r="O177" s="25"/>
      <c r="P177" s="25"/>
      <c r="Q177" s="25"/>
      <c r="R177" s="25"/>
      <c r="S177" s="25"/>
      <c r="T177" s="25"/>
      <c r="U177" s="25"/>
      <c r="V177" s="25"/>
      <c r="W177" s="25"/>
      <c r="X177" s="25"/>
      <c r="Y177" s="25"/>
      <c r="Z177" s="25"/>
    </row>
    <row r="178" ht="12.75" customHeight="1">
      <c r="I178" s="25"/>
      <c r="J178" s="25"/>
      <c r="K178" s="25"/>
      <c r="L178" s="25"/>
      <c r="M178" s="25"/>
      <c r="N178" s="25"/>
      <c r="O178" s="25"/>
      <c r="P178" s="25"/>
      <c r="Q178" s="25"/>
      <c r="R178" s="25"/>
      <c r="S178" s="25"/>
      <c r="T178" s="25"/>
      <c r="U178" s="25"/>
      <c r="V178" s="25"/>
      <c r="W178" s="25"/>
      <c r="X178" s="25"/>
      <c r="Y178" s="25"/>
      <c r="Z178" s="25"/>
    </row>
    <row r="179" ht="12.75" customHeight="1">
      <c r="I179" s="25"/>
      <c r="J179" s="25"/>
      <c r="K179" s="25"/>
      <c r="L179" s="25"/>
      <c r="M179" s="25"/>
      <c r="N179" s="25"/>
      <c r="O179" s="25"/>
      <c r="P179" s="25"/>
      <c r="Q179" s="25"/>
      <c r="R179" s="25"/>
      <c r="S179" s="25"/>
      <c r="T179" s="25"/>
      <c r="U179" s="25"/>
      <c r="V179" s="25"/>
      <c r="W179" s="25"/>
      <c r="X179" s="25"/>
      <c r="Y179" s="25"/>
      <c r="Z179" s="25"/>
    </row>
    <row r="180" ht="12.75" customHeight="1">
      <c r="I180" s="25"/>
      <c r="J180" s="25"/>
      <c r="K180" s="25"/>
      <c r="L180" s="25"/>
      <c r="M180" s="25"/>
      <c r="N180" s="25"/>
      <c r="O180" s="25"/>
      <c r="P180" s="25"/>
      <c r="Q180" s="25"/>
      <c r="R180" s="25"/>
      <c r="S180" s="25"/>
      <c r="T180" s="25"/>
      <c r="U180" s="25"/>
      <c r="V180" s="25"/>
      <c r="W180" s="25"/>
      <c r="X180" s="25"/>
      <c r="Y180" s="25"/>
      <c r="Z180" s="25"/>
    </row>
    <row r="181" ht="12.75" customHeight="1">
      <c r="I181" s="25"/>
      <c r="J181" s="25"/>
      <c r="K181" s="25"/>
      <c r="L181" s="25"/>
      <c r="M181" s="25"/>
      <c r="N181" s="25"/>
      <c r="O181" s="25"/>
      <c r="P181" s="25"/>
      <c r="Q181" s="25"/>
      <c r="R181" s="25"/>
      <c r="S181" s="25"/>
      <c r="T181" s="25"/>
      <c r="U181" s="25"/>
      <c r="V181" s="25"/>
      <c r="W181" s="25"/>
      <c r="X181" s="25"/>
      <c r="Y181" s="25"/>
      <c r="Z181" s="25"/>
    </row>
    <row r="182" ht="12.75" customHeight="1">
      <c r="I182" s="25"/>
      <c r="J182" s="25"/>
      <c r="K182" s="25"/>
      <c r="L182" s="25"/>
      <c r="M182" s="25"/>
      <c r="N182" s="25"/>
      <c r="O182" s="25"/>
      <c r="P182" s="25"/>
      <c r="Q182" s="25"/>
      <c r="R182" s="25"/>
      <c r="S182" s="25"/>
      <c r="T182" s="25"/>
      <c r="U182" s="25"/>
      <c r="V182" s="25"/>
      <c r="W182" s="25"/>
      <c r="X182" s="25"/>
      <c r="Y182" s="25"/>
      <c r="Z182" s="25"/>
    </row>
    <row r="183" ht="12.75" customHeight="1">
      <c r="I183" s="25"/>
      <c r="J183" s="25"/>
      <c r="K183" s="25"/>
      <c r="L183" s="25"/>
      <c r="M183" s="25"/>
      <c r="N183" s="25"/>
      <c r="O183" s="25"/>
      <c r="P183" s="25"/>
      <c r="Q183" s="25"/>
      <c r="R183" s="25"/>
      <c r="S183" s="25"/>
      <c r="T183" s="25"/>
      <c r="U183" s="25"/>
      <c r="V183" s="25"/>
      <c r="W183" s="25"/>
      <c r="X183" s="25"/>
      <c r="Y183" s="25"/>
      <c r="Z183" s="25"/>
    </row>
    <row r="184" ht="12.75" customHeight="1">
      <c r="I184" s="25"/>
      <c r="J184" s="25"/>
      <c r="K184" s="25"/>
      <c r="L184" s="25"/>
      <c r="M184" s="25"/>
      <c r="N184" s="25"/>
      <c r="O184" s="25"/>
      <c r="P184" s="25"/>
      <c r="Q184" s="25"/>
      <c r="R184" s="25"/>
      <c r="S184" s="25"/>
      <c r="T184" s="25"/>
      <c r="U184" s="25"/>
      <c r="V184" s="25"/>
      <c r="W184" s="25"/>
      <c r="X184" s="25"/>
      <c r="Y184" s="25"/>
      <c r="Z184" s="25"/>
    </row>
    <row r="185" ht="12.75" customHeight="1">
      <c r="I185" s="25"/>
      <c r="J185" s="25"/>
      <c r="K185" s="25"/>
      <c r="L185" s="25"/>
      <c r="M185" s="25"/>
      <c r="N185" s="25"/>
      <c r="O185" s="25"/>
      <c r="P185" s="25"/>
      <c r="Q185" s="25"/>
      <c r="R185" s="25"/>
      <c r="S185" s="25"/>
      <c r="T185" s="25"/>
      <c r="U185" s="25"/>
      <c r="V185" s="25"/>
      <c r="W185" s="25"/>
      <c r="X185" s="25"/>
      <c r="Y185" s="25"/>
      <c r="Z185" s="25"/>
    </row>
    <row r="186" ht="12.75" customHeight="1">
      <c r="I186" s="25"/>
      <c r="J186" s="25"/>
      <c r="K186" s="25"/>
      <c r="L186" s="25"/>
      <c r="M186" s="25"/>
      <c r="N186" s="25"/>
      <c r="O186" s="25"/>
      <c r="P186" s="25"/>
      <c r="Q186" s="25"/>
      <c r="R186" s="25"/>
      <c r="S186" s="25"/>
      <c r="T186" s="25"/>
      <c r="U186" s="25"/>
      <c r="V186" s="25"/>
      <c r="W186" s="25"/>
      <c r="X186" s="25"/>
      <c r="Y186" s="25"/>
      <c r="Z186" s="25"/>
    </row>
    <row r="187" ht="12.75" customHeight="1">
      <c r="I187" s="25"/>
      <c r="J187" s="25"/>
      <c r="K187" s="25"/>
      <c r="L187" s="25"/>
      <c r="M187" s="25"/>
      <c r="N187" s="25"/>
      <c r="O187" s="25"/>
      <c r="P187" s="25"/>
      <c r="Q187" s="25"/>
      <c r="R187" s="25"/>
      <c r="S187" s="25"/>
      <c r="T187" s="25"/>
      <c r="U187" s="25"/>
      <c r="V187" s="25"/>
      <c r="W187" s="25"/>
      <c r="X187" s="25"/>
      <c r="Y187" s="25"/>
      <c r="Z187" s="25"/>
    </row>
    <row r="188" ht="12.75" customHeight="1">
      <c r="I188" s="25"/>
      <c r="J188" s="25"/>
      <c r="K188" s="25"/>
      <c r="L188" s="25"/>
      <c r="M188" s="25"/>
      <c r="N188" s="25"/>
      <c r="O188" s="25"/>
      <c r="P188" s="25"/>
      <c r="Q188" s="25"/>
      <c r="R188" s="25"/>
      <c r="S188" s="25"/>
      <c r="T188" s="25"/>
      <c r="U188" s="25"/>
      <c r="V188" s="25"/>
      <c r="W188" s="25"/>
      <c r="X188" s="25"/>
      <c r="Y188" s="25"/>
      <c r="Z188" s="25"/>
    </row>
    <row r="189" ht="12.75" customHeight="1">
      <c r="I189" s="25"/>
      <c r="J189" s="25"/>
      <c r="K189" s="25"/>
      <c r="L189" s="25"/>
      <c r="M189" s="25"/>
      <c r="N189" s="25"/>
      <c r="O189" s="25"/>
      <c r="P189" s="25"/>
      <c r="Q189" s="25"/>
      <c r="R189" s="25"/>
      <c r="S189" s="25"/>
      <c r="T189" s="25"/>
      <c r="U189" s="25"/>
      <c r="V189" s="25"/>
      <c r="W189" s="25"/>
      <c r="X189" s="25"/>
      <c r="Y189" s="25"/>
      <c r="Z189" s="25"/>
    </row>
    <row r="190" ht="12.75" customHeight="1">
      <c r="I190" s="25"/>
      <c r="J190" s="25"/>
      <c r="K190" s="25"/>
      <c r="L190" s="25"/>
      <c r="M190" s="25"/>
      <c r="N190" s="25"/>
      <c r="O190" s="25"/>
      <c r="P190" s="25"/>
      <c r="Q190" s="25"/>
      <c r="R190" s="25"/>
      <c r="S190" s="25"/>
      <c r="T190" s="25"/>
      <c r="U190" s="25"/>
      <c r="V190" s="25"/>
      <c r="W190" s="25"/>
      <c r="X190" s="25"/>
      <c r="Y190" s="25"/>
      <c r="Z190" s="25"/>
    </row>
    <row r="191" ht="12.75" customHeight="1">
      <c r="I191" s="25"/>
      <c r="J191" s="25"/>
      <c r="K191" s="25"/>
      <c r="L191" s="25"/>
      <c r="M191" s="25"/>
      <c r="N191" s="25"/>
      <c r="O191" s="25"/>
      <c r="P191" s="25"/>
      <c r="Q191" s="25"/>
      <c r="R191" s="25"/>
      <c r="S191" s="25"/>
      <c r="T191" s="25"/>
      <c r="U191" s="25"/>
      <c r="V191" s="25"/>
      <c r="W191" s="25"/>
      <c r="X191" s="25"/>
      <c r="Y191" s="25"/>
      <c r="Z191" s="25"/>
    </row>
    <row r="192" ht="5.2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c r="I212" s="25"/>
      <c r="J212" s="25"/>
      <c r="K212" s="25"/>
      <c r="L212" s="25"/>
      <c r="M212" s="25"/>
      <c r="N212" s="25"/>
      <c r="O212" s="25"/>
      <c r="P212" s="25"/>
      <c r="Q212" s="25"/>
      <c r="R212" s="25"/>
      <c r="S212" s="25"/>
      <c r="T212" s="25"/>
      <c r="U212" s="25"/>
      <c r="V212" s="25"/>
      <c r="W212" s="25"/>
      <c r="X212" s="25"/>
      <c r="Y212" s="25"/>
      <c r="Z212" s="25"/>
    </row>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6">
    <mergeCell ref="A1:H1"/>
    <mergeCell ref="A2:H4"/>
    <mergeCell ref="A21:H22"/>
    <mergeCell ref="A37:H38"/>
    <mergeCell ref="B41:H43"/>
    <mergeCell ref="B44:H45"/>
    <mergeCell ref="B46:H47"/>
    <mergeCell ref="B78:H80"/>
    <mergeCell ref="A86:H90"/>
    <mergeCell ref="B48:H49"/>
    <mergeCell ref="B51:H54"/>
    <mergeCell ref="B56:H58"/>
    <mergeCell ref="B59:H62"/>
    <mergeCell ref="B63:H64"/>
    <mergeCell ref="B73:H75"/>
    <mergeCell ref="B76:H76"/>
  </mergeCell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9.38"/>
    <col customWidth="1" min="2" max="2" width="16.88"/>
    <col customWidth="1" hidden="1" min="3" max="7" width="12.88"/>
    <col customWidth="1" min="8" max="8" width="11.13"/>
    <col customWidth="1" min="9" max="9" width="12.0"/>
    <col customWidth="1" min="10" max="12" width="9.5"/>
    <col customWidth="1" min="13" max="13" width="10.0"/>
    <col customWidth="1" min="14" max="14" width="9.5"/>
    <col customWidth="1" min="15" max="15" width="11.0"/>
    <col customWidth="1" min="16" max="16" width="10.5"/>
    <col customWidth="1" min="17" max="17" width="15.13"/>
    <col customWidth="1" min="18" max="18" width="11.88"/>
    <col customWidth="1" min="19" max="19" width="16.13"/>
    <col customWidth="1" min="20" max="20" width="14.63"/>
    <col customWidth="1" min="21" max="21" width="12.0"/>
    <col customWidth="1" min="22" max="26" width="10.0"/>
  </cols>
  <sheetData>
    <row r="1" ht="27.75" customHeight="1">
      <c r="A1" s="429" t="s">
        <v>1509</v>
      </c>
      <c r="B1" s="90"/>
      <c r="C1" s="90"/>
      <c r="D1" s="90"/>
      <c r="E1" s="90"/>
      <c r="F1" s="90"/>
      <c r="G1" s="90"/>
      <c r="H1" s="90"/>
      <c r="I1" s="91"/>
      <c r="J1" s="430"/>
      <c r="K1" s="25"/>
      <c r="L1" s="25"/>
      <c r="M1" s="25"/>
      <c r="N1" s="25"/>
      <c r="O1" s="25"/>
      <c r="P1" s="25"/>
      <c r="Q1" s="431"/>
    </row>
    <row r="2" ht="12.75" customHeight="1">
      <c r="A2" s="110" t="s">
        <v>1510</v>
      </c>
      <c r="K2" s="25"/>
      <c r="L2" s="25"/>
      <c r="M2" s="25"/>
      <c r="N2" s="25"/>
      <c r="O2" s="25"/>
      <c r="P2" s="25"/>
      <c r="Q2" s="25"/>
      <c r="R2" s="25"/>
      <c r="S2" s="25"/>
      <c r="T2" s="25"/>
      <c r="U2" s="25"/>
      <c r="V2" s="25"/>
      <c r="W2" s="25"/>
      <c r="X2" s="25"/>
      <c r="Y2" s="25"/>
      <c r="Z2" s="25"/>
    </row>
    <row r="3" ht="12.75" customHeight="1">
      <c r="K3" s="47"/>
      <c r="L3" s="47"/>
      <c r="M3" s="47"/>
      <c r="N3" s="47"/>
      <c r="O3" s="47"/>
      <c r="P3" s="47"/>
    </row>
    <row r="4" ht="12.75" customHeight="1">
      <c r="K4" s="86"/>
      <c r="L4" s="86"/>
      <c r="M4" s="86"/>
      <c r="N4" s="86"/>
      <c r="O4" s="86"/>
      <c r="P4" s="86"/>
      <c r="Q4" s="86"/>
      <c r="R4" s="86"/>
      <c r="S4" s="86"/>
      <c r="T4" s="86"/>
    </row>
    <row r="5" ht="28.5" customHeight="1">
      <c r="A5" s="12"/>
      <c r="B5" s="12"/>
      <c r="C5" s="12"/>
      <c r="D5" s="12"/>
      <c r="E5" s="12"/>
      <c r="F5" s="12"/>
      <c r="G5" s="12"/>
      <c r="H5" s="12"/>
      <c r="I5" s="12"/>
      <c r="J5" s="86"/>
      <c r="K5" s="86"/>
      <c r="L5" s="86"/>
      <c r="M5" s="86"/>
      <c r="N5" s="86"/>
      <c r="O5" s="86"/>
      <c r="P5" s="86"/>
      <c r="Q5" s="86"/>
      <c r="R5" s="86"/>
      <c r="S5" s="86"/>
      <c r="T5" s="86"/>
    </row>
    <row r="6" ht="16.5" customHeight="1">
      <c r="A6" s="373" t="s">
        <v>1511</v>
      </c>
      <c r="B6" s="12"/>
      <c r="C6" s="12"/>
      <c r="D6" s="12"/>
      <c r="E6" s="12"/>
      <c r="F6" s="12"/>
      <c r="G6" s="12"/>
      <c r="H6" s="12" t="s">
        <v>55</v>
      </c>
      <c r="I6" s="12"/>
      <c r="J6" s="86"/>
      <c r="K6" s="86"/>
      <c r="L6" s="86"/>
      <c r="M6" s="86"/>
      <c r="N6" s="86"/>
      <c r="O6" s="86"/>
      <c r="P6" s="86"/>
      <c r="Q6" s="86"/>
      <c r="R6" s="86"/>
      <c r="S6" s="86"/>
      <c r="T6" s="86"/>
    </row>
    <row r="7" ht="15.75" customHeight="1">
      <c r="A7" s="373"/>
      <c r="B7" s="12"/>
      <c r="C7" s="12" t="s">
        <v>1512</v>
      </c>
      <c r="D7" s="12" t="s">
        <v>1513</v>
      </c>
      <c r="E7" s="12" t="s">
        <v>1514</v>
      </c>
      <c r="F7" s="12" t="s">
        <v>1515</v>
      </c>
      <c r="G7" s="12" t="s">
        <v>1516</v>
      </c>
      <c r="H7" s="364" t="s">
        <v>76</v>
      </c>
      <c r="I7" s="364" t="s">
        <v>77</v>
      </c>
      <c r="J7" s="86" t="s">
        <v>78</v>
      </c>
      <c r="K7" s="86" t="s">
        <v>79</v>
      </c>
      <c r="L7" s="86" t="s">
        <v>80</v>
      </c>
      <c r="M7" s="86" t="s">
        <v>81</v>
      </c>
      <c r="N7" s="86" t="s">
        <v>63</v>
      </c>
      <c r="O7" s="86" t="s">
        <v>64</v>
      </c>
      <c r="P7" s="86" t="s">
        <v>84</v>
      </c>
      <c r="Q7" s="86" t="s">
        <v>85</v>
      </c>
      <c r="R7" s="86"/>
      <c r="S7" s="86"/>
      <c r="T7" s="86"/>
    </row>
    <row r="8" ht="12.75" customHeight="1">
      <c r="A8" s="120" t="s">
        <v>1517</v>
      </c>
      <c r="B8" s="60"/>
      <c r="C8" s="432" t="str">
        <f>Summary!#REF!+Summary!#REF!</f>
        <v>#ERROR!</v>
      </c>
      <c r="D8" s="432" t="str">
        <f>Summary!#REF!+Summary!#REF!</f>
        <v>#ERROR!</v>
      </c>
      <c r="E8" s="432" t="str">
        <f>Summary!#REF!+Summary!#REF!</f>
        <v>#ERROR!</v>
      </c>
      <c r="F8" s="432" t="str">
        <f>Summary!#REF!+Summary!#REF!</f>
        <v>#ERROR!</v>
      </c>
      <c r="G8" s="432" t="str">
        <f>Summary!#REF!+Summary!#REF!</f>
        <v>#ERROR!</v>
      </c>
      <c r="H8" s="433">
        <f>Summary!B27+Summary!B29</f>
        <v>27226.46688</v>
      </c>
      <c r="I8" s="433">
        <f>Summary!C27+Summary!C29</f>
        <v>28624.41048</v>
      </c>
      <c r="J8" s="433">
        <f>Summary!D27+Summary!D29</f>
        <v>25768.94891</v>
      </c>
      <c r="K8" s="433">
        <f>Summary!E27+Summary!E29</f>
        <v>16527.98785</v>
      </c>
      <c r="L8" s="433">
        <f>Summary!F27+Summary!F29</f>
        <v>14605.17844</v>
      </c>
      <c r="M8" s="433">
        <f>Summary!G27+Summary!G29</f>
        <v>14332.50041</v>
      </c>
      <c r="N8" s="433">
        <f>Summary!H27+Summary!H29</f>
        <v>10127.63821</v>
      </c>
      <c r="O8" s="433">
        <f>Summary!I27+Summary!I29</f>
        <v>10819.43546</v>
      </c>
      <c r="P8" s="433">
        <f>Summary!J27+Summary!J29</f>
        <v>10984.3901</v>
      </c>
      <c r="Q8" s="433">
        <f>Summary!K27+Summary!K29</f>
        <v>9950.290203</v>
      </c>
      <c r="R8" s="97"/>
      <c r="S8" s="97"/>
      <c r="T8" s="73"/>
    </row>
    <row r="9" ht="12.75" customHeight="1">
      <c r="A9" s="47"/>
      <c r="B9" s="25"/>
      <c r="C9" s="106"/>
      <c r="D9" s="106"/>
      <c r="E9" s="106"/>
      <c r="F9" s="106"/>
      <c r="G9" s="106"/>
      <c r="H9" s="73"/>
      <c r="I9" s="73"/>
      <c r="J9" s="73"/>
      <c r="K9" s="73"/>
      <c r="L9" s="73"/>
      <c r="M9" s="73"/>
      <c r="N9" s="73"/>
      <c r="O9" s="73"/>
      <c r="P9" s="73"/>
      <c r="Q9" s="73"/>
      <c r="R9" s="97"/>
      <c r="S9" s="97"/>
      <c r="T9" s="73"/>
    </row>
    <row r="10" ht="12.75" customHeight="1">
      <c r="A10" s="434" t="s">
        <v>1518</v>
      </c>
      <c r="B10" s="435"/>
      <c r="C10" s="436"/>
      <c r="D10" s="436"/>
      <c r="E10" s="436"/>
      <c r="F10" s="436"/>
      <c r="G10" s="436"/>
      <c r="H10" s="437">
        <f>Summary!B17</f>
        <v>28553.94732</v>
      </c>
      <c r="I10" s="437">
        <f>Summary!C17</f>
        <v>30643.66106</v>
      </c>
      <c r="J10" s="437">
        <f>Summary!D17</f>
        <v>27401.83375</v>
      </c>
      <c r="K10" s="437">
        <f>Summary!E17</f>
        <v>18296.35109</v>
      </c>
      <c r="L10" s="437">
        <f>Summary!F17</f>
        <v>17035.59372</v>
      </c>
      <c r="M10" s="437">
        <f>Summary!G17</f>
        <v>16993.00738</v>
      </c>
      <c r="N10" s="437">
        <f>Summary!H17</f>
        <v>13113.70781</v>
      </c>
      <c r="O10" s="437">
        <f>Summary!I17</f>
        <v>14408.56423</v>
      </c>
      <c r="P10" s="437">
        <f>Summary!J17</f>
        <v>14360.45177</v>
      </c>
      <c r="Q10" s="437">
        <f>Summary!K17</f>
        <v>13087.28089</v>
      </c>
      <c r="R10" s="97"/>
      <c r="S10" s="97"/>
      <c r="T10" s="73"/>
    </row>
    <row r="11" ht="12.75" customHeight="1">
      <c r="A11" s="47"/>
      <c r="B11" s="25"/>
      <c r="C11" s="106"/>
      <c r="D11" s="106"/>
      <c r="E11" s="106"/>
      <c r="F11" s="106"/>
      <c r="G11" s="106"/>
      <c r="H11" s="73"/>
      <c r="I11" s="73"/>
      <c r="J11" s="73"/>
      <c r="K11" s="73"/>
      <c r="L11" s="73"/>
      <c r="M11" s="73"/>
      <c r="N11" s="73"/>
      <c r="O11" s="73"/>
      <c r="P11" s="97"/>
      <c r="Q11" s="97"/>
      <c r="R11" s="97"/>
      <c r="S11" s="97"/>
      <c r="T11" s="73"/>
    </row>
    <row r="12" ht="15.75" customHeight="1">
      <c r="K12" s="106"/>
      <c r="L12" s="106"/>
    </row>
    <row r="13" ht="15.75" customHeight="1">
      <c r="A13" s="92" t="s">
        <v>1519</v>
      </c>
      <c r="B13" s="12"/>
      <c r="C13" s="25" t="s">
        <v>55</v>
      </c>
      <c r="E13" s="12"/>
      <c r="F13" s="12"/>
      <c r="G13" s="12"/>
      <c r="H13" s="56" t="s">
        <v>55</v>
      </c>
    </row>
    <row r="14" ht="15.0" customHeight="1">
      <c r="B14" s="12"/>
      <c r="C14" s="438" t="s">
        <v>1520</v>
      </c>
      <c r="D14" s="12" t="s">
        <v>1521</v>
      </c>
      <c r="E14" s="12" t="s">
        <v>1522</v>
      </c>
      <c r="F14" s="12" t="s">
        <v>1523</v>
      </c>
      <c r="G14" s="438" t="s">
        <v>1524</v>
      </c>
      <c r="H14" s="86" t="s">
        <v>1525</v>
      </c>
      <c r="I14" s="86" t="s">
        <v>77</v>
      </c>
      <c r="J14" s="47" t="s">
        <v>78</v>
      </c>
      <c r="K14" s="47" t="s">
        <v>79</v>
      </c>
      <c r="L14" s="47" t="s">
        <v>80</v>
      </c>
      <c r="M14" s="47" t="s">
        <v>81</v>
      </c>
      <c r="N14" s="47" t="s">
        <v>63</v>
      </c>
      <c r="O14" s="47" t="s">
        <v>64</v>
      </c>
      <c r="P14" s="47" t="s">
        <v>84</v>
      </c>
    </row>
    <row r="15" ht="18.0" hidden="1" customHeight="1">
      <c r="A15" s="12"/>
      <c r="B15" s="12"/>
      <c r="C15" s="12"/>
      <c r="D15" s="12"/>
    </row>
    <row r="16" ht="12.75" customHeight="1">
      <c r="A16" s="25" t="s">
        <v>1526</v>
      </c>
      <c r="B16" s="25"/>
      <c r="C16" s="439"/>
      <c r="D16" s="97"/>
      <c r="E16" s="97">
        <v>2391.0</v>
      </c>
      <c r="F16" s="97">
        <v>2331.0</v>
      </c>
      <c r="G16" s="97">
        <v>2420.0</v>
      </c>
      <c r="H16" s="97">
        <v>2360.0</v>
      </c>
      <c r="I16" s="97">
        <v>2464.0</v>
      </c>
      <c r="J16" s="97">
        <v>2418.0</v>
      </c>
      <c r="K16" s="97">
        <v>2456.0</v>
      </c>
      <c r="L16" s="97">
        <f>AVERAGE(2462,2505)</f>
        <v>2483.5</v>
      </c>
      <c r="M16" s="440">
        <v>2480.0</v>
      </c>
      <c r="N16" s="97">
        <v>2493.0</v>
      </c>
      <c r="O16" s="97">
        <v>2477.0</v>
      </c>
      <c r="P16" s="97">
        <v>2508.0</v>
      </c>
    </row>
    <row r="17" ht="12.75" customHeight="1">
      <c r="A17" s="25" t="s">
        <v>1527</v>
      </c>
      <c r="B17" s="25"/>
      <c r="C17" s="97"/>
      <c r="D17" s="97"/>
      <c r="E17" s="56">
        <v>33.0</v>
      </c>
      <c r="F17" s="56">
        <v>26.0</v>
      </c>
      <c r="G17" s="56">
        <v>35.0</v>
      </c>
      <c r="H17" s="97">
        <v>32.5</v>
      </c>
      <c r="I17" s="97">
        <v>24.5</v>
      </c>
      <c r="J17" s="97">
        <v>20.5</v>
      </c>
      <c r="K17" s="97">
        <v>26.0</v>
      </c>
      <c r="L17" s="97">
        <f>AVERAGE(27,31)</f>
        <v>29</v>
      </c>
      <c r="M17" s="440">
        <v>27.0</v>
      </c>
      <c r="N17" s="97">
        <v>23.0</v>
      </c>
      <c r="O17" s="97">
        <v>18.0</v>
      </c>
      <c r="P17" s="97">
        <v>25.0</v>
      </c>
    </row>
    <row r="18" ht="12.75" customHeight="1">
      <c r="A18" s="25" t="s">
        <v>103</v>
      </c>
      <c r="B18" s="25"/>
      <c r="C18" s="97"/>
      <c r="D18" s="97"/>
      <c r="E18" s="97">
        <f t="shared" ref="E18:J18" si="1">SUM(E16:E17)</f>
        <v>2424</v>
      </c>
      <c r="F18" s="97">
        <f t="shared" si="1"/>
        <v>2357</v>
      </c>
      <c r="G18" s="97">
        <f t="shared" si="1"/>
        <v>2455</v>
      </c>
      <c r="H18" s="268">
        <f t="shared" si="1"/>
        <v>2392.5</v>
      </c>
      <c r="I18" s="268">
        <f t="shared" si="1"/>
        <v>2488.5</v>
      </c>
      <c r="J18" s="268">
        <f t="shared" si="1"/>
        <v>2438.5</v>
      </c>
      <c r="K18" s="268">
        <v>2482.0</v>
      </c>
      <c r="L18" s="268">
        <f t="shared" ref="L18:M18" si="2">SUM(L16:L17)</f>
        <v>2512.5</v>
      </c>
      <c r="M18" s="441">
        <f t="shared" si="2"/>
        <v>2507</v>
      </c>
      <c r="N18" s="268">
        <f t="shared" ref="N18:O18" si="3">N17+N16</f>
        <v>2516</v>
      </c>
      <c r="O18" s="268">
        <f t="shared" si="3"/>
        <v>2495</v>
      </c>
      <c r="P18" s="268">
        <f>P16+P17</f>
        <v>2533</v>
      </c>
      <c r="Q18" s="25"/>
      <c r="R18" s="25"/>
      <c r="S18" s="25"/>
      <c r="T18" s="25"/>
      <c r="U18" s="25"/>
      <c r="V18" s="25"/>
      <c r="W18" s="25"/>
      <c r="X18" s="25"/>
      <c r="Y18" s="25"/>
      <c r="Z18" s="25"/>
    </row>
    <row r="19" ht="12.75" customHeight="1">
      <c r="A19" s="47" t="s">
        <v>1528</v>
      </c>
      <c r="B19" s="47"/>
      <c r="C19" s="235"/>
      <c r="D19" s="235"/>
      <c r="E19" s="235">
        <f t="shared" ref="E19:P19" si="4">E16+E17/3</f>
        <v>2402</v>
      </c>
      <c r="F19" s="235">
        <f t="shared" si="4"/>
        <v>2339.666667</v>
      </c>
      <c r="G19" s="235">
        <f t="shared" si="4"/>
        <v>2431.666667</v>
      </c>
      <c r="H19" s="119">
        <f t="shared" si="4"/>
        <v>2370.833333</v>
      </c>
      <c r="I19" s="119">
        <f t="shared" si="4"/>
        <v>2472.166667</v>
      </c>
      <c r="J19" s="119">
        <f t="shared" si="4"/>
        <v>2424.833333</v>
      </c>
      <c r="K19" s="235">
        <f t="shared" si="4"/>
        <v>2464.666667</v>
      </c>
      <c r="L19" s="235">
        <f t="shared" si="4"/>
        <v>2493.166667</v>
      </c>
      <c r="M19" s="235">
        <f t="shared" si="4"/>
        <v>2489</v>
      </c>
      <c r="N19" s="119">
        <f t="shared" si="4"/>
        <v>2500.666667</v>
      </c>
      <c r="O19" s="119">
        <f t="shared" si="4"/>
        <v>2483</v>
      </c>
      <c r="P19" s="119">
        <f t="shared" si="4"/>
        <v>2516.333333</v>
      </c>
      <c r="Q19" s="25"/>
      <c r="R19" s="25"/>
      <c r="S19" s="25"/>
      <c r="T19" s="25"/>
      <c r="U19" s="25"/>
      <c r="V19" s="25"/>
      <c r="W19" s="25"/>
      <c r="X19" s="25"/>
      <c r="Y19" s="25"/>
      <c r="Z19" s="25"/>
    </row>
    <row r="20" ht="12.75" customHeight="1">
      <c r="A20" s="120" t="s">
        <v>1529</v>
      </c>
      <c r="B20" s="60"/>
      <c r="C20" s="442"/>
      <c r="D20" s="442"/>
      <c r="E20" s="443" t="str">
        <f t="shared" ref="E20:P20" si="5">E8/E19</f>
        <v>#ERROR!</v>
      </c>
      <c r="F20" s="443" t="str">
        <f t="shared" si="5"/>
        <v>#ERROR!</v>
      </c>
      <c r="G20" s="443" t="str">
        <f t="shared" si="5"/>
        <v>#ERROR!</v>
      </c>
      <c r="H20" s="444">
        <f t="shared" si="5"/>
        <v>11.48392276</v>
      </c>
      <c r="I20" s="444">
        <f t="shared" si="5"/>
        <v>11.57867342</v>
      </c>
      <c r="J20" s="444">
        <f t="shared" si="5"/>
        <v>10.62710107</v>
      </c>
      <c r="K20" s="432">
        <f t="shared" si="5"/>
        <v>6.705972891</v>
      </c>
      <c r="L20" s="432">
        <f t="shared" si="5"/>
        <v>5.858083471</v>
      </c>
      <c r="M20" s="432">
        <f t="shared" si="5"/>
        <v>5.758336848</v>
      </c>
      <c r="N20" s="432">
        <f t="shared" si="5"/>
        <v>4.04997529</v>
      </c>
      <c r="O20" s="432">
        <f t="shared" si="5"/>
        <v>4.357404536</v>
      </c>
      <c r="P20" s="432">
        <f t="shared" si="5"/>
        <v>4.365236496</v>
      </c>
    </row>
    <row r="21" ht="12.75" customHeight="1">
      <c r="A21" s="434" t="s">
        <v>1530</v>
      </c>
      <c r="B21" s="435"/>
      <c r="C21" s="445"/>
      <c r="D21" s="445"/>
      <c r="E21" s="446"/>
      <c r="F21" s="446"/>
      <c r="G21" s="446"/>
      <c r="H21" s="436">
        <f t="shared" ref="H21:P21" si="6">H10/H19</f>
        <v>12.04384421</v>
      </c>
      <c r="I21" s="436">
        <f t="shared" si="6"/>
        <v>12.39546729</v>
      </c>
      <c r="J21" s="436">
        <f t="shared" si="6"/>
        <v>11.30050193</v>
      </c>
      <c r="K21" s="436">
        <f t="shared" si="6"/>
        <v>7.42345865</v>
      </c>
      <c r="L21" s="436">
        <f t="shared" si="6"/>
        <v>6.832914122</v>
      </c>
      <c r="M21" s="436">
        <f t="shared" si="6"/>
        <v>6.827242822</v>
      </c>
      <c r="N21" s="436">
        <f t="shared" si="6"/>
        <v>5.2440847</v>
      </c>
      <c r="O21" s="436">
        <f t="shared" si="6"/>
        <v>5.802885312</v>
      </c>
      <c r="P21" s="436">
        <f t="shared" si="6"/>
        <v>5.706895658</v>
      </c>
    </row>
    <row r="22" ht="12.75" customHeight="1"/>
    <row r="23" ht="15.75" customHeight="1">
      <c r="A23" s="92" t="s">
        <v>1531</v>
      </c>
      <c r="H23" s="12" t="s">
        <v>55</v>
      </c>
      <c r="I23" s="12"/>
      <c r="J23" s="86"/>
      <c r="K23" s="86"/>
      <c r="L23" s="86"/>
    </row>
    <row r="24" ht="13.5" customHeight="1">
      <c r="H24" s="364" t="s">
        <v>76</v>
      </c>
      <c r="I24" s="364" t="s">
        <v>77</v>
      </c>
      <c r="J24" s="86" t="s">
        <v>78</v>
      </c>
      <c r="K24" s="86" t="s">
        <v>79</v>
      </c>
      <c r="L24" s="86" t="s">
        <v>80</v>
      </c>
      <c r="M24" s="86" t="s">
        <v>81</v>
      </c>
      <c r="N24" s="47" t="s">
        <v>63</v>
      </c>
      <c r="O24" s="86" t="s">
        <v>64</v>
      </c>
      <c r="P24" s="86" t="s">
        <v>65</v>
      </c>
    </row>
    <row r="25" ht="12.75" customHeight="1">
      <c r="H25" s="12"/>
      <c r="I25" s="12"/>
      <c r="J25" s="85"/>
      <c r="K25" s="85"/>
      <c r="L25" s="85"/>
      <c r="Q25" s="56">
        <f>2516+286</f>
        <v>2802</v>
      </c>
      <c r="S25" s="56">
        <f>R25+R29+R31+R37+R39+R43+R47+R49+R51+R53</f>
        <v>0</v>
      </c>
    </row>
    <row r="26" ht="12.75" customHeight="1">
      <c r="A26" s="56" t="s">
        <v>1532</v>
      </c>
      <c r="H26" s="358">
        <v>0.0</v>
      </c>
      <c r="I26" s="358">
        <v>0.0</v>
      </c>
      <c r="J26" s="358">
        <v>0.0</v>
      </c>
      <c r="K26" s="358">
        <v>0.0</v>
      </c>
      <c r="L26" s="358">
        <v>0.0</v>
      </c>
      <c r="M26" s="358">
        <v>0.0</v>
      </c>
      <c r="N26" s="358">
        <v>0.0</v>
      </c>
      <c r="O26" s="358">
        <v>20.0</v>
      </c>
      <c r="P26" s="358">
        <v>27.0</v>
      </c>
    </row>
    <row r="27" ht="12.75" customHeight="1">
      <c r="A27" s="56" t="s">
        <v>1533</v>
      </c>
      <c r="H27" s="358">
        <f t="shared" ref="H27:P27" si="7">H26*(2/36)</f>
        <v>0</v>
      </c>
      <c r="I27" s="358">
        <f t="shared" si="7"/>
        <v>0</v>
      </c>
      <c r="J27" s="358">
        <f t="shared" si="7"/>
        <v>0</v>
      </c>
      <c r="K27" s="358">
        <f t="shared" si="7"/>
        <v>0</v>
      </c>
      <c r="L27" s="358">
        <f t="shared" si="7"/>
        <v>0</v>
      </c>
      <c r="M27" s="358">
        <f t="shared" si="7"/>
        <v>0</v>
      </c>
      <c r="N27" s="358">
        <f t="shared" si="7"/>
        <v>0</v>
      </c>
      <c r="O27" s="358">
        <f t="shared" si="7"/>
        <v>1.111111111</v>
      </c>
      <c r="P27" s="358">
        <f t="shared" si="7"/>
        <v>1.5</v>
      </c>
    </row>
    <row r="28" ht="12.75" customHeight="1">
      <c r="A28" s="56" t="s">
        <v>1534</v>
      </c>
      <c r="H28" s="225">
        <v>10.0</v>
      </c>
      <c r="I28" s="225">
        <v>4.0</v>
      </c>
      <c r="J28" s="225">
        <v>14.0</v>
      </c>
      <c r="K28" s="225">
        <v>6.0</v>
      </c>
      <c r="L28" s="225">
        <v>5.0</v>
      </c>
      <c r="M28" s="447">
        <v>7.0</v>
      </c>
      <c r="N28" s="225">
        <v>7.0</v>
      </c>
      <c r="O28" s="225">
        <v>4.0</v>
      </c>
      <c r="P28" s="225">
        <v>14.0</v>
      </c>
    </row>
    <row r="29" ht="12.75" customHeight="1">
      <c r="A29" s="56" t="s">
        <v>1535</v>
      </c>
      <c r="H29" s="225">
        <f t="shared" ref="H29:P29" si="8">H28*(3/36)</f>
        <v>0.8333333333</v>
      </c>
      <c r="I29" s="225">
        <f t="shared" si="8"/>
        <v>0.3333333333</v>
      </c>
      <c r="J29" s="225">
        <f t="shared" si="8"/>
        <v>1.166666667</v>
      </c>
      <c r="K29" s="225">
        <f t="shared" si="8"/>
        <v>0.5</v>
      </c>
      <c r="L29" s="225">
        <f t="shared" si="8"/>
        <v>0.4166666667</v>
      </c>
      <c r="M29" s="225">
        <f t="shared" si="8"/>
        <v>0.5833333333</v>
      </c>
      <c r="N29" s="225">
        <f t="shared" si="8"/>
        <v>0.5833333333</v>
      </c>
      <c r="O29" s="225">
        <f t="shared" si="8"/>
        <v>0.3333333333</v>
      </c>
      <c r="P29" s="225">
        <f t="shared" si="8"/>
        <v>1.166666667</v>
      </c>
    </row>
    <row r="30" ht="12.75" customHeight="1">
      <c r="A30" s="56" t="s">
        <v>1536</v>
      </c>
      <c r="H30" s="225">
        <v>0.0</v>
      </c>
      <c r="I30" s="225">
        <v>0.0</v>
      </c>
      <c r="J30" s="225">
        <v>0.0</v>
      </c>
      <c r="K30" s="225">
        <v>0.0</v>
      </c>
      <c r="L30" s="225">
        <v>0.0</v>
      </c>
      <c r="M30" s="448">
        <v>0.0</v>
      </c>
      <c r="N30" s="225">
        <v>19.0</v>
      </c>
      <c r="O30" s="225">
        <v>9.0</v>
      </c>
      <c r="P30" s="225">
        <v>0.0</v>
      </c>
    </row>
    <row r="31" ht="12.75" customHeight="1">
      <c r="A31" s="56" t="s">
        <v>1537</v>
      </c>
      <c r="H31" s="225">
        <f t="shared" ref="H31:P31" si="9">H30*(4/36)</f>
        <v>0</v>
      </c>
      <c r="I31" s="225">
        <f t="shared" si="9"/>
        <v>0</v>
      </c>
      <c r="J31" s="225">
        <f t="shared" si="9"/>
        <v>0</v>
      </c>
      <c r="K31" s="225">
        <f t="shared" si="9"/>
        <v>0</v>
      </c>
      <c r="L31" s="225">
        <f t="shared" si="9"/>
        <v>0</v>
      </c>
      <c r="M31" s="225">
        <f t="shared" si="9"/>
        <v>0</v>
      </c>
      <c r="N31" s="225">
        <f t="shared" si="9"/>
        <v>2.111111111</v>
      </c>
      <c r="O31" s="225">
        <f t="shared" si="9"/>
        <v>1</v>
      </c>
      <c r="P31" s="225">
        <f t="shared" si="9"/>
        <v>0</v>
      </c>
    </row>
    <row r="32" ht="12.75" customHeight="1">
      <c r="A32" s="56" t="s">
        <v>1538</v>
      </c>
      <c r="H32" s="225">
        <v>420.0</v>
      </c>
      <c r="I32" s="225">
        <v>460.0</v>
      </c>
      <c r="J32" s="225">
        <v>419.0</v>
      </c>
      <c r="K32" s="225">
        <v>462.0</v>
      </c>
      <c r="L32" s="225">
        <v>424.0</v>
      </c>
      <c r="M32" s="447">
        <v>441.0</v>
      </c>
      <c r="N32" s="225">
        <v>459.0</v>
      </c>
      <c r="O32" s="225">
        <v>445.0</v>
      </c>
      <c r="P32" s="225">
        <v>431.0</v>
      </c>
    </row>
    <row r="33" ht="12.75" customHeight="1">
      <c r="A33" s="56" t="s">
        <v>1539</v>
      </c>
      <c r="H33" s="225">
        <f t="shared" ref="H33:P33" si="10">H32*(6/36)</f>
        <v>70</v>
      </c>
      <c r="I33" s="225">
        <f t="shared" si="10"/>
        <v>76.66666667</v>
      </c>
      <c r="J33" s="225">
        <f t="shared" si="10"/>
        <v>69.83333333</v>
      </c>
      <c r="K33" s="225">
        <f t="shared" si="10"/>
        <v>77</v>
      </c>
      <c r="L33" s="225">
        <f t="shared" si="10"/>
        <v>70.66666667</v>
      </c>
      <c r="M33" s="225">
        <f t="shared" si="10"/>
        <v>73.5</v>
      </c>
      <c r="N33" s="225">
        <f t="shared" si="10"/>
        <v>76.5</v>
      </c>
      <c r="O33" s="225">
        <f t="shared" si="10"/>
        <v>74.16666667</v>
      </c>
      <c r="P33" s="225">
        <f t="shared" si="10"/>
        <v>71.83333333</v>
      </c>
    </row>
    <row r="34" ht="12.75" customHeight="1">
      <c r="A34" s="56" t="s">
        <v>1540</v>
      </c>
      <c r="H34" s="225">
        <v>461.0</v>
      </c>
      <c r="I34" s="225">
        <v>445.0</v>
      </c>
      <c r="J34" s="225">
        <v>481.0</v>
      </c>
      <c r="K34" s="225">
        <v>499.0</v>
      </c>
      <c r="L34" s="225">
        <v>542.0</v>
      </c>
      <c r="M34" s="447">
        <v>530.0</v>
      </c>
      <c r="N34" s="225">
        <v>495.0</v>
      </c>
      <c r="O34" s="225">
        <v>516.0</v>
      </c>
      <c r="P34" s="225">
        <v>511.0</v>
      </c>
    </row>
    <row r="35" ht="12.75" customHeight="1">
      <c r="A35" s="56" t="s">
        <v>1541</v>
      </c>
      <c r="H35" s="225">
        <f t="shared" ref="H35:P35" si="11">H34*(7/36)</f>
        <v>89.63888889</v>
      </c>
      <c r="I35" s="225">
        <f t="shared" si="11"/>
        <v>86.52777778</v>
      </c>
      <c r="J35" s="225">
        <f t="shared" si="11"/>
        <v>93.52777778</v>
      </c>
      <c r="K35" s="225">
        <f t="shared" si="11"/>
        <v>97.02777778</v>
      </c>
      <c r="L35" s="225">
        <f t="shared" si="11"/>
        <v>105.3888889</v>
      </c>
      <c r="M35" s="225">
        <f t="shared" si="11"/>
        <v>103.0555556</v>
      </c>
      <c r="N35" s="225">
        <f t="shared" si="11"/>
        <v>96.25</v>
      </c>
      <c r="O35" s="225">
        <f t="shared" si="11"/>
        <v>100.3333333</v>
      </c>
      <c r="P35" s="225">
        <f t="shared" si="11"/>
        <v>99.36111111</v>
      </c>
    </row>
    <row r="36" ht="12.75" customHeight="1">
      <c r="A36" s="56" t="s">
        <v>1542</v>
      </c>
      <c r="H36" s="225">
        <v>0.0</v>
      </c>
      <c r="I36" s="225">
        <v>0.0</v>
      </c>
      <c r="J36" s="225">
        <v>0.0</v>
      </c>
      <c r="K36" s="225">
        <v>0.0</v>
      </c>
      <c r="L36" s="225">
        <v>0.0</v>
      </c>
      <c r="M36" s="225">
        <v>536.0</v>
      </c>
      <c r="N36" s="225">
        <v>514.0</v>
      </c>
      <c r="O36" s="225">
        <v>539.0</v>
      </c>
      <c r="P36" s="225">
        <v>505.0</v>
      </c>
    </row>
    <row r="37" ht="12.75" customHeight="1">
      <c r="A37" s="56" t="s">
        <v>1543</v>
      </c>
      <c r="H37" s="225">
        <f t="shared" ref="H37:P37" si="12">H36*(8/36)</f>
        <v>0</v>
      </c>
      <c r="I37" s="225">
        <f t="shared" si="12"/>
        <v>0</v>
      </c>
      <c r="J37" s="225">
        <f t="shared" si="12"/>
        <v>0</v>
      </c>
      <c r="K37" s="225">
        <f t="shared" si="12"/>
        <v>0</v>
      </c>
      <c r="L37" s="225">
        <f t="shared" si="12"/>
        <v>0</v>
      </c>
      <c r="M37" s="225">
        <f t="shared" si="12"/>
        <v>119.1111111</v>
      </c>
      <c r="N37" s="225">
        <f t="shared" si="12"/>
        <v>114.2222222</v>
      </c>
      <c r="O37" s="225">
        <f t="shared" si="12"/>
        <v>119.7777778</v>
      </c>
      <c r="P37" s="225">
        <f t="shared" si="12"/>
        <v>112.2222222</v>
      </c>
    </row>
    <row r="38" ht="12.75" customHeight="1">
      <c r="A38" s="56" t="s">
        <v>1544</v>
      </c>
      <c r="H38" s="225">
        <v>439.0</v>
      </c>
      <c r="I38" s="225">
        <v>435.0</v>
      </c>
      <c r="J38" s="225">
        <v>440.0</v>
      </c>
      <c r="K38" s="225">
        <v>516.0</v>
      </c>
      <c r="L38" s="225">
        <v>536.0</v>
      </c>
      <c r="M38" s="225">
        <v>0.0</v>
      </c>
      <c r="N38" s="225">
        <v>0.0</v>
      </c>
      <c r="O38" s="225">
        <v>0.0</v>
      </c>
      <c r="P38" s="225">
        <v>0.0</v>
      </c>
    </row>
    <row r="39" ht="12.75" customHeight="1">
      <c r="A39" s="56" t="s">
        <v>1545</v>
      </c>
      <c r="H39" s="449">
        <f t="shared" ref="H39:P39" si="13">H38*(9/36)</f>
        <v>109.75</v>
      </c>
      <c r="I39" s="449">
        <f t="shared" si="13"/>
        <v>108.75</v>
      </c>
      <c r="J39" s="449">
        <f t="shared" si="13"/>
        <v>110</v>
      </c>
      <c r="K39" s="449">
        <f t="shared" si="13"/>
        <v>129</v>
      </c>
      <c r="L39" s="449">
        <f t="shared" si="13"/>
        <v>134</v>
      </c>
      <c r="M39" s="449">
        <f t="shared" si="13"/>
        <v>0</v>
      </c>
      <c r="N39" s="449">
        <f t="shared" si="13"/>
        <v>0</v>
      </c>
      <c r="O39" s="449">
        <f t="shared" si="13"/>
        <v>0</v>
      </c>
      <c r="P39" s="449">
        <f t="shared" si="13"/>
        <v>0</v>
      </c>
    </row>
    <row r="40" ht="16.5" customHeight="1">
      <c r="A40" s="47" t="s">
        <v>1546</v>
      </c>
      <c r="B40" s="25"/>
      <c r="C40" s="97"/>
      <c r="D40" s="97"/>
      <c r="E40" s="97"/>
      <c r="F40" s="97"/>
      <c r="G40" s="97"/>
      <c r="H40" s="225">
        <f t="shared" ref="H40:P40" si="14">H39+H37+H35+H33+H31+H29+H27</f>
        <v>270.2222222</v>
      </c>
      <c r="I40" s="225">
        <f t="shared" si="14"/>
        <v>272.2777778</v>
      </c>
      <c r="J40" s="225">
        <f t="shared" si="14"/>
        <v>274.5277778</v>
      </c>
      <c r="K40" s="225">
        <f t="shared" si="14"/>
        <v>303.5277778</v>
      </c>
      <c r="L40" s="225">
        <f t="shared" si="14"/>
        <v>310.4722222</v>
      </c>
      <c r="M40" s="225">
        <f t="shared" si="14"/>
        <v>296.25</v>
      </c>
      <c r="N40" s="225">
        <f t="shared" si="14"/>
        <v>289.6666667</v>
      </c>
      <c r="O40" s="225">
        <f t="shared" si="14"/>
        <v>296.7222222</v>
      </c>
      <c r="P40" s="225">
        <f t="shared" si="14"/>
        <v>286.0833333</v>
      </c>
    </row>
    <row r="41" ht="9.75" customHeight="1">
      <c r="A41" s="47"/>
      <c r="B41" s="25"/>
      <c r="C41" s="97"/>
      <c r="D41" s="97"/>
      <c r="E41" s="97"/>
      <c r="F41" s="97"/>
      <c r="G41" s="97"/>
      <c r="H41" s="225"/>
      <c r="I41" s="225"/>
      <c r="J41" s="225"/>
      <c r="K41" s="225"/>
      <c r="L41" s="225"/>
      <c r="M41" s="225"/>
      <c r="N41" s="225"/>
      <c r="O41" s="225"/>
      <c r="P41" s="225"/>
    </row>
    <row r="42" ht="16.5" customHeight="1">
      <c r="A42" s="47" t="s">
        <v>1547</v>
      </c>
      <c r="B42" s="25"/>
      <c r="C42" s="97"/>
      <c r="D42" s="97"/>
      <c r="E42" s="97"/>
      <c r="F42" s="97"/>
      <c r="G42" s="97"/>
      <c r="H42" s="449">
        <v>229.0</v>
      </c>
      <c r="I42" s="449">
        <v>234.0</v>
      </c>
      <c r="J42" s="449">
        <v>245.0</v>
      </c>
      <c r="K42" s="449">
        <v>276.0</v>
      </c>
      <c r="L42" s="449">
        <v>282.0</v>
      </c>
      <c r="M42" s="449">
        <v>286.0</v>
      </c>
      <c r="N42" s="449">
        <v>292.0</v>
      </c>
      <c r="O42" s="449">
        <v>304.0</v>
      </c>
      <c r="P42" s="449">
        <v>285.0</v>
      </c>
    </row>
    <row r="43" ht="4.5" customHeight="1">
      <c r="A43" s="47"/>
      <c r="B43" s="25"/>
      <c r="C43" s="97"/>
      <c r="D43" s="97"/>
      <c r="E43" s="97"/>
      <c r="F43" s="97"/>
      <c r="G43" s="97"/>
      <c r="H43" s="225"/>
      <c r="I43" s="225"/>
      <c r="J43" s="225"/>
      <c r="K43" s="225"/>
      <c r="L43" s="225"/>
      <c r="M43" s="225"/>
      <c r="N43" s="225"/>
      <c r="O43" s="225"/>
      <c r="P43" s="225"/>
    </row>
    <row r="44" ht="16.5" customHeight="1">
      <c r="A44" s="434" t="s">
        <v>1548</v>
      </c>
      <c r="B44" s="435"/>
      <c r="C44" s="445"/>
      <c r="D44" s="445"/>
      <c r="E44" s="445"/>
      <c r="F44" s="445"/>
      <c r="G44" s="445"/>
      <c r="H44" s="450">
        <f t="shared" ref="H44:P44" si="15">H8/(H19+H40)</f>
        <v>10.3089338</v>
      </c>
      <c r="I44" s="450">
        <f t="shared" si="15"/>
        <v>10.42994714</v>
      </c>
      <c r="J44" s="450">
        <f t="shared" si="15"/>
        <v>9.546314052</v>
      </c>
      <c r="K44" s="450">
        <f t="shared" si="15"/>
        <v>5.970674453</v>
      </c>
      <c r="L44" s="450">
        <f t="shared" si="15"/>
        <v>5.20936505</v>
      </c>
      <c r="M44" s="450">
        <f t="shared" si="15"/>
        <v>5.145857792</v>
      </c>
      <c r="N44" s="450">
        <f t="shared" si="15"/>
        <v>3.629544216</v>
      </c>
      <c r="O44" s="450">
        <f t="shared" si="15"/>
        <v>3.892272176</v>
      </c>
      <c r="P44" s="450">
        <f t="shared" si="15"/>
        <v>3.919613466</v>
      </c>
    </row>
    <row r="45" ht="16.5" customHeight="1">
      <c r="A45" s="434" t="s">
        <v>1549</v>
      </c>
      <c r="B45" s="435"/>
      <c r="C45" s="445"/>
      <c r="D45" s="445"/>
      <c r="E45" s="445"/>
      <c r="F45" s="445"/>
      <c r="G45" s="445"/>
      <c r="H45" s="451">
        <f t="shared" ref="H45:P45" si="16">H10/(H19+H40)</f>
        <v>10.81156633</v>
      </c>
      <c r="I45" s="451">
        <f t="shared" si="16"/>
        <v>11.16570646</v>
      </c>
      <c r="J45" s="451">
        <f t="shared" si="16"/>
        <v>10.15122936</v>
      </c>
      <c r="K45" s="451">
        <f t="shared" si="16"/>
        <v>6.609489129</v>
      </c>
      <c r="L45" s="451">
        <f t="shared" si="16"/>
        <v>6.07624391</v>
      </c>
      <c r="M45" s="451">
        <f t="shared" si="16"/>
        <v>6.101070778</v>
      </c>
      <c r="N45" s="451">
        <f t="shared" si="16"/>
        <v>4.699692202</v>
      </c>
      <c r="O45" s="451">
        <f t="shared" si="16"/>
        <v>5.183454704</v>
      </c>
      <c r="P45" s="451">
        <f t="shared" si="16"/>
        <v>5.124310009</v>
      </c>
    </row>
    <row r="46" ht="16.5" customHeight="1">
      <c r="A46" s="47"/>
      <c r="B46" s="25"/>
      <c r="C46" s="97"/>
      <c r="D46" s="97"/>
      <c r="E46" s="97"/>
      <c r="F46" s="97"/>
      <c r="G46" s="97"/>
      <c r="H46" s="78"/>
      <c r="I46" s="78"/>
      <c r="J46" s="78"/>
      <c r="K46" s="78"/>
      <c r="L46" s="78"/>
      <c r="M46" s="78"/>
    </row>
    <row r="47" ht="15.75" customHeight="1">
      <c r="A47" s="92" t="s">
        <v>1550</v>
      </c>
      <c r="B47" s="25"/>
      <c r="C47" s="97" t="s">
        <v>55</v>
      </c>
      <c r="D47" s="97"/>
      <c r="E47" s="97"/>
      <c r="F47" s="97"/>
      <c r="G47" s="97"/>
      <c r="H47" s="97" t="s">
        <v>55</v>
      </c>
      <c r="I47" s="97"/>
    </row>
    <row r="48" ht="15.75" customHeight="1">
      <c r="A48" s="92"/>
      <c r="B48" s="25"/>
      <c r="C48" s="97" t="s">
        <v>1512</v>
      </c>
      <c r="D48" s="12" t="s">
        <v>1513</v>
      </c>
      <c r="E48" s="12" t="s">
        <v>1514</v>
      </c>
      <c r="F48" s="12" t="s">
        <v>1515</v>
      </c>
      <c r="G48" s="12" t="s">
        <v>1516</v>
      </c>
      <c r="H48" s="364" t="s">
        <v>76</v>
      </c>
      <c r="I48" s="364" t="s">
        <v>77</v>
      </c>
      <c r="J48" s="86" t="s">
        <v>78</v>
      </c>
      <c r="K48" s="86" t="s">
        <v>60</v>
      </c>
      <c r="L48" s="86" t="s">
        <v>61</v>
      </c>
      <c r="M48" s="86" t="s">
        <v>62</v>
      </c>
      <c r="N48" s="47" t="s">
        <v>63</v>
      </c>
      <c r="O48" s="86" t="s">
        <v>64</v>
      </c>
      <c r="P48" s="47" t="s">
        <v>84</v>
      </c>
    </row>
    <row r="49" ht="6.75" customHeight="1">
      <c r="A49" s="25"/>
      <c r="B49" s="25"/>
      <c r="C49" s="97"/>
      <c r="D49" s="97"/>
      <c r="E49" s="97"/>
      <c r="F49" s="97"/>
      <c r="G49" s="97"/>
      <c r="H49" s="97"/>
      <c r="I49" s="97"/>
    </row>
    <row r="50" ht="12.75" customHeight="1">
      <c r="A50" s="25" t="s">
        <v>1551</v>
      </c>
      <c r="B50" s="25"/>
      <c r="C50" s="97"/>
      <c r="D50" s="97"/>
      <c r="E50" s="97">
        <v>282.0</v>
      </c>
      <c r="F50" s="97">
        <v>283.0</v>
      </c>
      <c r="G50" s="97">
        <v>305.0</v>
      </c>
      <c r="H50" s="97">
        <v>286.0</v>
      </c>
      <c r="I50" s="97">
        <v>319.0</v>
      </c>
      <c r="J50" s="97">
        <v>290.0</v>
      </c>
      <c r="K50" s="97">
        <v>320.0</v>
      </c>
      <c r="L50" s="97">
        <v>312.0</v>
      </c>
      <c r="M50" s="440">
        <v>332.0</v>
      </c>
      <c r="N50" s="97">
        <v>310.0</v>
      </c>
      <c r="O50" s="56">
        <v>335.0</v>
      </c>
      <c r="P50" s="97">
        <v>305.0</v>
      </c>
      <c r="Q50" s="97">
        <f>P50+P51+P54</f>
        <v>396.8461538</v>
      </c>
    </row>
    <row r="51" ht="12.75" customHeight="1">
      <c r="A51" s="25" t="s">
        <v>1552</v>
      </c>
      <c r="B51" s="25"/>
      <c r="C51" s="97"/>
      <c r="D51" s="97"/>
      <c r="E51" s="97">
        <v>30.0</v>
      </c>
      <c r="F51" s="97">
        <v>32.0</v>
      </c>
      <c r="G51" s="97">
        <v>15.0</v>
      </c>
      <c r="H51" s="97">
        <v>15.0</v>
      </c>
      <c r="I51" s="97">
        <v>14.0</v>
      </c>
      <c r="J51" s="97">
        <v>19.0</v>
      </c>
      <c r="K51" s="97">
        <v>17.0</v>
      </c>
      <c r="L51" s="97">
        <v>17.0</v>
      </c>
      <c r="M51" s="440">
        <v>17.0</v>
      </c>
      <c r="N51" s="97">
        <v>25.0</v>
      </c>
      <c r="O51" s="56">
        <v>16.0</v>
      </c>
      <c r="P51" s="97">
        <v>48.0</v>
      </c>
    </row>
    <row r="52" ht="12.75" customHeight="1">
      <c r="A52" s="25" t="s">
        <v>1553</v>
      </c>
      <c r="B52" s="25"/>
      <c r="C52" s="97"/>
      <c r="D52" s="97"/>
      <c r="E52" s="97">
        <v>747.0</v>
      </c>
      <c r="F52" s="97">
        <v>755.0</v>
      </c>
      <c r="G52" s="97">
        <v>797.0</v>
      </c>
      <c r="H52" s="97">
        <v>812.0</v>
      </c>
      <c r="I52" s="97">
        <v>795.0</v>
      </c>
      <c r="J52" s="97">
        <v>839.0</v>
      </c>
      <c r="K52" s="97">
        <v>757.0</v>
      </c>
      <c r="L52" s="97">
        <v>719.0</v>
      </c>
      <c r="M52" s="440">
        <v>728.0</v>
      </c>
      <c r="N52" s="97">
        <v>787.0</v>
      </c>
      <c r="O52" s="56">
        <v>790.0</v>
      </c>
      <c r="P52" s="97">
        <v>838.0</v>
      </c>
    </row>
    <row r="53" ht="12.75" customHeight="1">
      <c r="A53" s="25" t="s">
        <v>1554</v>
      </c>
      <c r="B53" s="25"/>
      <c r="C53" s="97"/>
      <c r="D53" s="97"/>
      <c r="E53" s="97">
        <v>414.0</v>
      </c>
      <c r="F53" s="97">
        <v>472.0</v>
      </c>
      <c r="G53" s="97">
        <v>62.0</v>
      </c>
      <c r="H53" s="97">
        <v>73.0</v>
      </c>
      <c r="I53" s="97">
        <v>94.0</v>
      </c>
      <c r="J53" s="97">
        <v>69.0</v>
      </c>
      <c r="K53" s="97">
        <v>108.0</v>
      </c>
      <c r="L53" s="97">
        <v>66.0</v>
      </c>
      <c r="M53" s="440">
        <v>75.0</v>
      </c>
      <c r="N53" s="97">
        <v>66.0</v>
      </c>
      <c r="O53" s="56">
        <v>62.0</v>
      </c>
      <c r="P53" s="97">
        <v>60.0</v>
      </c>
    </row>
    <row r="54" ht="12.75" customHeight="1">
      <c r="A54" s="25" t="s">
        <v>1555</v>
      </c>
      <c r="B54" s="25"/>
      <c r="C54" s="97"/>
      <c r="D54" s="97"/>
      <c r="E54" s="97"/>
      <c r="F54" s="97"/>
      <c r="G54" s="97"/>
      <c r="H54" s="268">
        <f t="shared" ref="H54:P54" si="17">H42*(8/52)</f>
        <v>35.23076923</v>
      </c>
      <c r="I54" s="268">
        <f t="shared" si="17"/>
        <v>36</v>
      </c>
      <c r="J54" s="268">
        <f t="shared" si="17"/>
        <v>37.69230769</v>
      </c>
      <c r="K54" s="268">
        <f t="shared" si="17"/>
        <v>42.46153846</v>
      </c>
      <c r="L54" s="268">
        <f t="shared" si="17"/>
        <v>43.38461538</v>
      </c>
      <c r="M54" s="268">
        <f t="shared" si="17"/>
        <v>44</v>
      </c>
      <c r="N54" s="268">
        <f t="shared" si="17"/>
        <v>44.92307692</v>
      </c>
      <c r="O54" s="268">
        <f t="shared" si="17"/>
        <v>46.76923077</v>
      </c>
      <c r="P54" s="268">
        <f t="shared" si="17"/>
        <v>43.84615385</v>
      </c>
    </row>
    <row r="55" ht="12.75" customHeight="1">
      <c r="A55" s="47" t="s">
        <v>103</v>
      </c>
      <c r="B55" s="25"/>
      <c r="C55" s="97"/>
      <c r="D55" s="97"/>
      <c r="E55" s="97">
        <v>1473.0</v>
      </c>
      <c r="F55" s="97">
        <v>1542.0</v>
      </c>
      <c r="G55" s="97">
        <v>1179.0</v>
      </c>
      <c r="H55" s="235">
        <v>1186.0</v>
      </c>
      <c r="I55" s="235">
        <v>1222.0</v>
      </c>
      <c r="J55" s="235">
        <f t="shared" ref="J55:M55" si="18">SUM(J50:J53)</f>
        <v>1217</v>
      </c>
      <c r="K55" s="235">
        <f t="shared" si="18"/>
        <v>1202</v>
      </c>
      <c r="L55" s="235">
        <f t="shared" si="18"/>
        <v>1114</v>
      </c>
      <c r="M55" s="452">
        <f t="shared" si="18"/>
        <v>1152</v>
      </c>
      <c r="N55" s="235">
        <f t="shared" ref="N55:P55" si="19">SUM(N50:N54)</f>
        <v>1232.923077</v>
      </c>
      <c r="O55" s="235">
        <f t="shared" si="19"/>
        <v>1249.769231</v>
      </c>
      <c r="P55" s="235">
        <f t="shared" si="19"/>
        <v>1294.846154</v>
      </c>
    </row>
    <row r="56" ht="12.75" customHeight="1">
      <c r="A56" s="120" t="s">
        <v>1556</v>
      </c>
      <c r="B56" s="60"/>
      <c r="C56" s="60"/>
      <c r="D56" s="60"/>
      <c r="E56" s="442">
        <f t="shared" ref="E56:P56" si="20">E50+(E51)/3+E52+(E53)/3</f>
        <v>1177</v>
      </c>
      <c r="F56" s="442">
        <f t="shared" si="20"/>
        <v>1206</v>
      </c>
      <c r="G56" s="442">
        <f t="shared" si="20"/>
        <v>1127.666667</v>
      </c>
      <c r="H56" s="121">
        <f t="shared" si="20"/>
        <v>1127.333333</v>
      </c>
      <c r="I56" s="121">
        <f t="shared" si="20"/>
        <v>1150</v>
      </c>
      <c r="J56" s="121">
        <f t="shared" si="20"/>
        <v>1158.333333</v>
      </c>
      <c r="K56" s="121">
        <f t="shared" si="20"/>
        <v>1118.666667</v>
      </c>
      <c r="L56" s="121">
        <f t="shared" si="20"/>
        <v>1058.666667</v>
      </c>
      <c r="M56" s="121">
        <f t="shared" si="20"/>
        <v>1090.666667</v>
      </c>
      <c r="N56" s="121">
        <f t="shared" si="20"/>
        <v>1127.333333</v>
      </c>
      <c r="O56" s="121">
        <f t="shared" si="20"/>
        <v>1151</v>
      </c>
      <c r="P56" s="121">
        <f t="shared" si="20"/>
        <v>1179</v>
      </c>
    </row>
    <row r="57" ht="12.75" customHeight="1">
      <c r="A57" s="120" t="s">
        <v>1557</v>
      </c>
      <c r="B57" s="60"/>
      <c r="C57" s="60"/>
      <c r="D57" s="60"/>
      <c r="E57" s="60"/>
      <c r="F57" s="60"/>
      <c r="G57" s="60"/>
      <c r="H57" s="121">
        <f t="shared" ref="H57:P57" si="21">H8/H56</f>
        <v>24.15121249</v>
      </c>
      <c r="I57" s="121">
        <f t="shared" si="21"/>
        <v>24.89079172</v>
      </c>
      <c r="J57" s="121">
        <f t="shared" si="21"/>
        <v>22.24657459</v>
      </c>
      <c r="K57" s="121">
        <f t="shared" si="21"/>
        <v>14.77472096</v>
      </c>
      <c r="L57" s="121">
        <f t="shared" si="21"/>
        <v>13.79582346</v>
      </c>
      <c r="M57" s="121">
        <f t="shared" si="21"/>
        <v>13.14104561</v>
      </c>
      <c r="N57" s="121">
        <f t="shared" si="21"/>
        <v>8.983712191</v>
      </c>
      <c r="O57" s="121">
        <f t="shared" si="21"/>
        <v>9.400030811</v>
      </c>
      <c r="P57" s="121">
        <f t="shared" si="21"/>
        <v>9.316700682</v>
      </c>
    </row>
    <row r="58" ht="12.75" customHeight="1">
      <c r="A58" s="120" t="s">
        <v>1558</v>
      </c>
      <c r="B58" s="60"/>
      <c r="C58" s="60"/>
      <c r="D58" s="60"/>
      <c r="E58" s="60"/>
      <c r="F58" s="60"/>
      <c r="G58" s="60"/>
      <c r="H58" s="121">
        <f t="shared" ref="H58:P58" si="22">H10/H56</f>
        <v>25.32875279</v>
      </c>
      <c r="I58" s="121">
        <f t="shared" si="22"/>
        <v>26.64666179</v>
      </c>
      <c r="J58" s="121">
        <f t="shared" si="22"/>
        <v>23.65625935</v>
      </c>
      <c r="K58" s="121">
        <f t="shared" si="22"/>
        <v>16.35549859</v>
      </c>
      <c r="L58" s="121">
        <f t="shared" si="22"/>
        <v>16.09155578</v>
      </c>
      <c r="M58" s="121">
        <f t="shared" si="22"/>
        <v>15.58038574</v>
      </c>
      <c r="N58" s="121">
        <f t="shared" si="22"/>
        <v>11.63250249</v>
      </c>
      <c r="O58" s="121">
        <f t="shared" si="22"/>
        <v>12.51830081</v>
      </c>
      <c r="P58" s="121">
        <f t="shared" si="22"/>
        <v>12.18019659</v>
      </c>
    </row>
    <row r="59" ht="21.0" customHeight="1">
      <c r="A59" s="25"/>
      <c r="B59" s="25"/>
      <c r="C59" s="25"/>
      <c r="D59" s="25"/>
      <c r="E59" s="25"/>
      <c r="F59" s="25"/>
      <c r="G59" s="25"/>
      <c r="H59" s="58"/>
      <c r="I59" s="25"/>
      <c r="J59" s="58"/>
      <c r="M59" s="47"/>
      <c r="N59" s="47"/>
      <c r="O59" s="47"/>
    </row>
    <row r="60" ht="15.75" customHeight="1">
      <c r="A60" s="92" t="s">
        <v>1559</v>
      </c>
      <c r="B60" s="25"/>
      <c r="C60" s="25"/>
      <c r="D60" s="25"/>
      <c r="E60" s="25"/>
      <c r="F60" s="25"/>
      <c r="G60" s="25"/>
      <c r="H60" s="97" t="s">
        <v>55</v>
      </c>
      <c r="I60" s="25"/>
      <c r="J60" s="58"/>
      <c r="M60" s="47"/>
      <c r="N60" s="47"/>
      <c r="O60" s="47"/>
    </row>
    <row r="61" ht="15.75" customHeight="1">
      <c r="A61" s="92"/>
      <c r="B61" s="25"/>
      <c r="C61" s="25"/>
      <c r="D61" s="25"/>
      <c r="E61" s="25"/>
      <c r="F61" s="25"/>
      <c r="G61" s="25"/>
      <c r="H61" s="364" t="s">
        <v>76</v>
      </c>
      <c r="I61" s="364" t="s">
        <v>77</v>
      </c>
      <c r="J61" s="86" t="s">
        <v>78</v>
      </c>
      <c r="K61" s="47" t="s">
        <v>79</v>
      </c>
      <c r="L61" s="47" t="s">
        <v>80</v>
      </c>
      <c r="M61" s="47" t="s">
        <v>62</v>
      </c>
      <c r="N61" s="47" t="s">
        <v>63</v>
      </c>
      <c r="O61" s="47" t="s">
        <v>64</v>
      </c>
      <c r="P61" s="47" t="s">
        <v>65</v>
      </c>
    </row>
    <row r="62" ht="7.5" customHeight="1">
      <c r="A62" s="92"/>
      <c r="B62" s="25"/>
      <c r="C62" s="25"/>
      <c r="D62" s="25"/>
      <c r="E62" s="25"/>
      <c r="F62" s="25"/>
      <c r="G62" s="25"/>
      <c r="H62" s="58"/>
      <c r="I62" s="25"/>
      <c r="J62" s="58"/>
      <c r="M62" s="47"/>
      <c r="N62" s="47"/>
      <c r="O62" s="47"/>
      <c r="P62" s="47"/>
    </row>
    <row r="63" ht="12.75" customHeight="1">
      <c r="A63" s="60" t="s">
        <v>1560</v>
      </c>
      <c r="B63" s="60"/>
      <c r="C63" s="60"/>
      <c r="D63" s="60"/>
      <c r="E63" s="442">
        <f t="shared" ref="E63:G63" si="23">E56+E19</f>
        <v>3579</v>
      </c>
      <c r="F63" s="442">
        <f t="shared" si="23"/>
        <v>3545.666667</v>
      </c>
      <c r="G63" s="442">
        <f t="shared" si="23"/>
        <v>3559.333333</v>
      </c>
      <c r="H63" s="387">
        <f t="shared" ref="H63:P63" si="24">H56+H40+H19</f>
        <v>3768.388889</v>
      </c>
      <c r="I63" s="387">
        <f t="shared" si="24"/>
        <v>3894.444444</v>
      </c>
      <c r="J63" s="387">
        <f t="shared" si="24"/>
        <v>3857.694444</v>
      </c>
      <c r="K63" s="387">
        <f t="shared" si="24"/>
        <v>3886.861111</v>
      </c>
      <c r="L63" s="387">
        <f t="shared" si="24"/>
        <v>3862.305556</v>
      </c>
      <c r="M63" s="387">
        <f t="shared" si="24"/>
        <v>3875.916667</v>
      </c>
      <c r="N63" s="451">
        <f t="shared" si="24"/>
        <v>3917.666667</v>
      </c>
      <c r="O63" s="451">
        <f t="shared" si="24"/>
        <v>3930.722222</v>
      </c>
      <c r="P63" s="451">
        <f t="shared" si="24"/>
        <v>3981.416667</v>
      </c>
    </row>
    <row r="64" ht="12.75" customHeight="1">
      <c r="A64" s="120" t="s">
        <v>1561</v>
      </c>
      <c r="B64" s="60"/>
      <c r="C64" s="60"/>
      <c r="D64" s="60"/>
      <c r="E64" s="69" t="str">
        <f t="shared" ref="E64:P64" si="25">E8/E63</f>
        <v>#ERROR!</v>
      </c>
      <c r="F64" s="69" t="str">
        <f t="shared" si="25"/>
        <v>#ERROR!</v>
      </c>
      <c r="G64" s="69" t="str">
        <f t="shared" si="25"/>
        <v>#ERROR!</v>
      </c>
      <c r="H64" s="387">
        <f t="shared" si="25"/>
        <v>7.224962095</v>
      </c>
      <c r="I64" s="387">
        <f t="shared" si="25"/>
        <v>7.350062605</v>
      </c>
      <c r="J64" s="387">
        <f t="shared" si="25"/>
        <v>6.679883354</v>
      </c>
      <c r="K64" s="387">
        <f t="shared" si="25"/>
        <v>4.252271275</v>
      </c>
      <c r="L64" s="387">
        <f t="shared" si="25"/>
        <v>3.781466336</v>
      </c>
      <c r="M64" s="387">
        <f t="shared" si="25"/>
        <v>3.697835028</v>
      </c>
      <c r="N64" s="387">
        <f t="shared" si="25"/>
        <v>2.585119938</v>
      </c>
      <c r="O64" s="387">
        <f t="shared" si="25"/>
        <v>2.752531177</v>
      </c>
      <c r="P64" s="387">
        <f t="shared" si="25"/>
        <v>2.758914985</v>
      </c>
    </row>
    <row r="65" ht="12.75" customHeight="1">
      <c r="A65" s="120" t="s">
        <v>1562</v>
      </c>
      <c r="B65" s="60"/>
      <c r="C65" s="60"/>
      <c r="D65" s="60"/>
      <c r="E65" s="69"/>
      <c r="F65" s="69"/>
      <c r="G65" s="69"/>
      <c r="H65" s="387">
        <f t="shared" ref="H65:P65" si="26">H10/H63</f>
        <v>7.577229463</v>
      </c>
      <c r="I65" s="387">
        <f t="shared" si="26"/>
        <v>7.86855776</v>
      </c>
      <c r="J65" s="387">
        <f t="shared" si="26"/>
        <v>7.103163339</v>
      </c>
      <c r="K65" s="387">
        <f t="shared" si="26"/>
        <v>4.707230478</v>
      </c>
      <c r="L65" s="387">
        <f t="shared" si="26"/>
        <v>4.410731745</v>
      </c>
      <c r="M65" s="387">
        <f t="shared" si="26"/>
        <v>4.384255093</v>
      </c>
      <c r="N65" s="387">
        <f t="shared" si="26"/>
        <v>3.34732608</v>
      </c>
      <c r="O65" s="387">
        <f t="shared" si="26"/>
        <v>3.665627692</v>
      </c>
      <c r="P65" s="387">
        <f t="shared" si="26"/>
        <v>3.60686986</v>
      </c>
    </row>
    <row r="66" ht="15.75" customHeight="1">
      <c r="A66" s="336"/>
    </row>
    <row r="67" ht="15.75" customHeight="1">
      <c r="A67" s="92" t="s">
        <v>1563</v>
      </c>
      <c r="C67" s="56" t="s">
        <v>55</v>
      </c>
      <c r="H67" s="56" t="s">
        <v>55</v>
      </c>
      <c r="J67" s="85"/>
    </row>
    <row r="68" ht="15.75" customHeight="1">
      <c r="A68" s="92"/>
      <c r="C68" s="12" t="s">
        <v>1513</v>
      </c>
      <c r="D68" s="12" t="s">
        <v>1514</v>
      </c>
      <c r="E68" s="12" t="s">
        <v>1515</v>
      </c>
      <c r="F68" s="12" t="s">
        <v>1516</v>
      </c>
      <c r="G68" s="12" t="s">
        <v>76</v>
      </c>
      <c r="H68" s="364" t="s">
        <v>76</v>
      </c>
      <c r="I68" s="86" t="s">
        <v>77</v>
      </c>
      <c r="J68" s="86" t="s">
        <v>78</v>
      </c>
      <c r="K68" s="364" t="s">
        <v>79</v>
      </c>
      <c r="L68" s="364" t="s">
        <v>80</v>
      </c>
      <c r="M68" s="364" t="s">
        <v>81</v>
      </c>
      <c r="N68" s="364" t="s">
        <v>63</v>
      </c>
      <c r="O68" s="364" t="s">
        <v>64</v>
      </c>
      <c r="P68" s="364" t="s">
        <v>84</v>
      </c>
      <c r="Q68" s="47" t="s">
        <v>85</v>
      </c>
    </row>
    <row r="69" ht="7.5" customHeight="1">
      <c r="A69" s="365"/>
      <c r="F69" s="25"/>
      <c r="J69" s="25"/>
    </row>
    <row r="70" ht="12.75" customHeight="1">
      <c r="A70" s="25" t="s">
        <v>1564</v>
      </c>
      <c r="I70" s="56">
        <v>6050.0</v>
      </c>
      <c r="J70" s="25">
        <v>6395.0</v>
      </c>
      <c r="K70" s="25">
        <v>5706.0</v>
      </c>
      <c r="L70" s="25">
        <v>6542.0</v>
      </c>
      <c r="M70" s="25">
        <v>7030.0</v>
      </c>
      <c r="N70" s="56">
        <f>72+352+571+1053+1261+1548+1331+1242+854+432+240</f>
        <v>8956</v>
      </c>
      <c r="O70" s="56">
        <v>7695.0</v>
      </c>
      <c r="P70" s="56">
        <v>7626.0</v>
      </c>
      <c r="Q70" s="56">
        <v>6351.0</v>
      </c>
    </row>
    <row r="71" ht="12.75" customHeight="1">
      <c r="A71" s="25" t="s">
        <v>1565</v>
      </c>
      <c r="I71" s="56">
        <v>729.0</v>
      </c>
      <c r="J71" s="25">
        <v>576.0</v>
      </c>
      <c r="K71" s="25">
        <v>746.0</v>
      </c>
      <c r="L71" s="25">
        <v>866.0</v>
      </c>
      <c r="M71" s="25">
        <v>573.0</v>
      </c>
      <c r="N71" s="56">
        <f>334+154+3+16</f>
        <v>507</v>
      </c>
      <c r="O71" s="56">
        <v>763.0</v>
      </c>
      <c r="P71" s="56">
        <v>742.0</v>
      </c>
      <c r="Q71" s="56">
        <v>919.0</v>
      </c>
      <c r="R71" s="453"/>
    </row>
    <row r="72" ht="15.75" customHeight="1">
      <c r="A72" s="120" t="s">
        <v>1566</v>
      </c>
      <c r="B72" s="60"/>
      <c r="C72" s="60"/>
      <c r="D72" s="60"/>
      <c r="E72" s="60"/>
      <c r="F72" s="454"/>
      <c r="G72" s="60"/>
      <c r="H72" s="102">
        <f t="shared" ref="H72:Q72" si="27">SUM(H70:H71)</f>
        <v>0</v>
      </c>
      <c r="I72" s="102">
        <f t="shared" si="27"/>
        <v>6779</v>
      </c>
      <c r="J72" s="102">
        <f t="shared" si="27"/>
        <v>6971</v>
      </c>
      <c r="K72" s="102">
        <f t="shared" si="27"/>
        <v>6452</v>
      </c>
      <c r="L72" s="102">
        <f t="shared" si="27"/>
        <v>7408</v>
      </c>
      <c r="M72" s="102">
        <f t="shared" si="27"/>
        <v>7603</v>
      </c>
      <c r="N72" s="102">
        <f t="shared" si="27"/>
        <v>9463</v>
      </c>
      <c r="O72" s="102">
        <f t="shared" si="27"/>
        <v>8458</v>
      </c>
      <c r="P72" s="102">
        <f t="shared" si="27"/>
        <v>8368</v>
      </c>
      <c r="Q72" s="102">
        <f t="shared" si="27"/>
        <v>7270</v>
      </c>
    </row>
    <row r="73" ht="6.75" customHeight="1">
      <c r="Q73" s="453"/>
    </row>
    <row r="74" ht="12.75" customHeight="1">
      <c r="A74" s="120" t="s">
        <v>1567</v>
      </c>
      <c r="B74" s="60"/>
      <c r="C74" s="60"/>
      <c r="D74" s="60"/>
      <c r="E74" s="60"/>
      <c r="F74" s="60"/>
      <c r="G74" s="60"/>
      <c r="H74" s="455"/>
      <c r="I74" s="389">
        <f t="shared" ref="I74:P74" si="28">I8/I72</f>
        <v>4.222512241</v>
      </c>
      <c r="J74" s="389">
        <f t="shared" si="28"/>
        <v>3.696592871</v>
      </c>
      <c r="K74" s="389">
        <f t="shared" si="28"/>
        <v>2.561684416</v>
      </c>
      <c r="L74" s="389">
        <f t="shared" si="28"/>
        <v>1.971541366</v>
      </c>
      <c r="M74" s="389">
        <f t="shared" si="28"/>
        <v>1.885111195</v>
      </c>
      <c r="N74" s="389">
        <f t="shared" si="28"/>
        <v>1.070235465</v>
      </c>
      <c r="O74" s="389">
        <f t="shared" si="28"/>
        <v>1.279195491</v>
      </c>
      <c r="P74" s="389">
        <f t="shared" si="28"/>
        <v>1.312666121</v>
      </c>
      <c r="Q74" s="456"/>
    </row>
    <row r="75" ht="12.75" customHeight="1">
      <c r="A75" s="120" t="s">
        <v>1568</v>
      </c>
      <c r="B75" s="60"/>
      <c r="C75" s="60"/>
      <c r="D75" s="60"/>
      <c r="E75" s="60"/>
      <c r="F75" s="60"/>
      <c r="G75" s="60"/>
      <c r="H75" s="457"/>
      <c r="I75" s="458">
        <f t="shared" ref="I75:P75" si="29">I74/I19</f>
        <v>0.001708020862</v>
      </c>
      <c r="J75" s="458">
        <f t="shared" si="29"/>
        <v>0.001524472969</v>
      </c>
      <c r="K75" s="458">
        <f t="shared" si="29"/>
        <v>0.001039363436</v>
      </c>
      <c r="L75" s="458">
        <f t="shared" si="29"/>
        <v>0.0007907780063</v>
      </c>
      <c r="M75" s="458">
        <f t="shared" si="29"/>
        <v>0.0007573769365</v>
      </c>
      <c r="N75" s="458">
        <f t="shared" si="29"/>
        <v>0.0004279800582</v>
      </c>
      <c r="O75" s="458">
        <f t="shared" si="29"/>
        <v>0.0005151814301</v>
      </c>
      <c r="P75" s="458">
        <f t="shared" si="29"/>
        <v>0.0005216582811</v>
      </c>
      <c r="Q75" s="453"/>
    </row>
    <row r="76" ht="12.75" customHeight="1">
      <c r="A76" s="120" t="s">
        <v>1569</v>
      </c>
      <c r="B76" s="60"/>
      <c r="C76" s="60"/>
      <c r="D76" s="60"/>
      <c r="E76" s="60"/>
      <c r="F76" s="60"/>
      <c r="G76" s="60"/>
      <c r="H76" s="457"/>
      <c r="I76" s="458">
        <f t="shared" ref="I76:P76" si="30">I74/I63</f>
        <v>0.001084239948</v>
      </c>
      <c r="J76" s="458">
        <f t="shared" si="30"/>
        <v>0.0009582388975</v>
      </c>
      <c r="K76" s="458">
        <f t="shared" si="30"/>
        <v>0.0006590625038</v>
      </c>
      <c r="L76" s="458">
        <f t="shared" si="30"/>
        <v>0.0005104571188</v>
      </c>
      <c r="M76" s="458">
        <f t="shared" si="30"/>
        <v>0.0004863652542</v>
      </c>
      <c r="N76" s="458">
        <f t="shared" si="30"/>
        <v>0.0002731818596</v>
      </c>
      <c r="O76" s="458">
        <f t="shared" si="30"/>
        <v>0.0003254352302</v>
      </c>
      <c r="P76" s="458">
        <f t="shared" si="30"/>
        <v>0.0003296982535</v>
      </c>
      <c r="Q76" s="453"/>
    </row>
    <row r="77" ht="12.75" customHeight="1">
      <c r="A77" s="120" t="s">
        <v>1570</v>
      </c>
      <c r="B77" s="434"/>
      <c r="C77" s="434"/>
      <c r="D77" s="434"/>
      <c r="E77" s="434"/>
      <c r="F77" s="434"/>
      <c r="G77" s="434"/>
      <c r="H77" s="434"/>
      <c r="I77" s="459">
        <f t="shared" ref="I77:P77" si="31">I10/I72</f>
        <v>4.520380743</v>
      </c>
      <c r="J77" s="459">
        <f t="shared" si="31"/>
        <v>3.930832557</v>
      </c>
      <c r="K77" s="459">
        <f t="shared" si="31"/>
        <v>2.835764273</v>
      </c>
      <c r="L77" s="459">
        <f t="shared" si="31"/>
        <v>2.299621183</v>
      </c>
      <c r="M77" s="459">
        <f t="shared" si="31"/>
        <v>2.235039772</v>
      </c>
      <c r="N77" s="459">
        <f t="shared" si="31"/>
        <v>1.385787573</v>
      </c>
      <c r="O77" s="459">
        <f t="shared" si="31"/>
        <v>1.703542709</v>
      </c>
      <c r="P77" s="459">
        <f t="shared" si="31"/>
        <v>1.716115174</v>
      </c>
      <c r="Q77" s="453"/>
    </row>
    <row r="78" ht="12.75" customHeight="1">
      <c r="A78" s="120" t="s">
        <v>1571</v>
      </c>
      <c r="B78" s="434"/>
      <c r="C78" s="434"/>
      <c r="D78" s="434"/>
      <c r="E78" s="434"/>
      <c r="F78" s="434"/>
      <c r="G78" s="434"/>
      <c r="H78" s="434"/>
      <c r="I78" s="459">
        <f t="shared" ref="I78:P78" si="32">I77/I19</f>
        <v>0.001828509705</v>
      </c>
      <c r="J78" s="459">
        <f t="shared" si="32"/>
        <v>0.001621073293</v>
      </c>
      <c r="K78" s="459">
        <f t="shared" si="32"/>
        <v>0.001150567057</v>
      </c>
      <c r="L78" s="459">
        <f t="shared" si="32"/>
        <v>0.0009223696168</v>
      </c>
      <c r="M78" s="459">
        <f t="shared" si="32"/>
        <v>0.0008979669633</v>
      </c>
      <c r="N78" s="459">
        <f t="shared" si="32"/>
        <v>0.0005541672514</v>
      </c>
      <c r="O78" s="459">
        <f t="shared" si="32"/>
        <v>0.000686082444</v>
      </c>
      <c r="P78" s="459">
        <f t="shared" si="32"/>
        <v>0.0006819903989</v>
      </c>
      <c r="Q78" s="453"/>
    </row>
    <row r="79" ht="12.75" customHeight="1">
      <c r="A79" s="120" t="s">
        <v>1572</v>
      </c>
      <c r="B79" s="434"/>
      <c r="C79" s="434"/>
      <c r="D79" s="434"/>
      <c r="E79" s="434"/>
      <c r="F79" s="434"/>
      <c r="G79" s="434"/>
      <c r="H79" s="434"/>
      <c r="I79" s="459">
        <f t="shared" ref="I79:P79" si="33">I77/I63</f>
        <v>0.00116072544</v>
      </c>
      <c r="J79" s="459">
        <f t="shared" si="33"/>
        <v>0.001018959022</v>
      </c>
      <c r="K79" s="459">
        <f t="shared" si="33"/>
        <v>0.0007295769495</v>
      </c>
      <c r="L79" s="459">
        <f t="shared" si="33"/>
        <v>0.0005954011535</v>
      </c>
      <c r="M79" s="459">
        <f t="shared" si="33"/>
        <v>0.0005766480459</v>
      </c>
      <c r="N79" s="459">
        <f t="shared" si="33"/>
        <v>0.0003537277904</v>
      </c>
      <c r="O79" s="459">
        <f t="shared" si="33"/>
        <v>0.000433391782</v>
      </c>
      <c r="P79" s="459">
        <f t="shared" si="33"/>
        <v>0.000431031293</v>
      </c>
      <c r="Q79" s="453"/>
    </row>
    <row r="80" ht="12.75" customHeight="1"/>
    <row r="81" ht="15.75" customHeight="1">
      <c r="A81" s="92" t="s">
        <v>1573</v>
      </c>
      <c r="C81" s="92"/>
      <c r="H81" s="56" t="s">
        <v>55</v>
      </c>
    </row>
    <row r="82" ht="12.75" customHeight="1">
      <c r="H82" s="47" t="s">
        <v>76</v>
      </c>
      <c r="I82" s="47" t="s">
        <v>77</v>
      </c>
      <c r="J82" s="47" t="s">
        <v>78</v>
      </c>
      <c r="K82" s="47" t="s">
        <v>79</v>
      </c>
      <c r="L82" s="47" t="s">
        <v>80</v>
      </c>
      <c r="M82" s="47" t="s">
        <v>81</v>
      </c>
      <c r="N82" s="47" t="s">
        <v>82</v>
      </c>
      <c r="O82" s="47" t="s">
        <v>83</v>
      </c>
      <c r="P82" s="47" t="s">
        <v>65</v>
      </c>
    </row>
    <row r="83" ht="12.75" customHeight="1">
      <c r="K83" s="97"/>
      <c r="L83" s="97"/>
      <c r="M83" s="97"/>
      <c r="N83" s="97"/>
      <c r="O83" s="97"/>
    </row>
    <row r="84" ht="12.75" customHeight="1">
      <c r="A84" s="56" t="s">
        <v>1574</v>
      </c>
      <c r="E84" s="97"/>
      <c r="F84" s="97"/>
      <c r="G84" s="97"/>
      <c r="H84" s="97"/>
      <c r="I84" s="97"/>
      <c r="J84" s="97"/>
      <c r="M84" s="97">
        <v>2279858.0</v>
      </c>
      <c r="N84" s="97">
        <v>2279858.0</v>
      </c>
      <c r="O84" s="97">
        <v>2279858.0</v>
      </c>
    </row>
    <row r="85" ht="12.75" customHeight="1">
      <c r="A85" s="56" t="s">
        <v>1575</v>
      </c>
      <c r="M85" s="97"/>
      <c r="N85" s="97"/>
      <c r="O85" s="97"/>
    </row>
    <row r="86" ht="12.75" customHeight="1">
      <c r="A86" s="56" t="s">
        <v>1576</v>
      </c>
      <c r="C86" s="47"/>
      <c r="D86" s="25"/>
      <c r="E86" s="97"/>
      <c r="F86" s="97"/>
      <c r="G86" s="97"/>
      <c r="H86" s="97"/>
      <c r="I86" s="97"/>
      <c r="J86" s="97"/>
      <c r="M86" s="97">
        <v>112650.0</v>
      </c>
      <c r="N86" s="97">
        <v>112650.0</v>
      </c>
      <c r="O86" s="97">
        <v>112650.0</v>
      </c>
    </row>
    <row r="87" ht="12.75" customHeight="1">
      <c r="A87" s="56" t="s">
        <v>1577</v>
      </c>
      <c r="C87" s="47"/>
      <c r="D87" s="25"/>
      <c r="E87" s="25"/>
      <c r="F87" s="25"/>
      <c r="G87" s="25"/>
      <c r="H87" s="25"/>
      <c r="I87" s="25"/>
      <c r="J87" s="25"/>
      <c r="M87" s="25">
        <v>7100.0</v>
      </c>
      <c r="N87" s="25">
        <v>7100.0</v>
      </c>
      <c r="O87" s="25">
        <v>7100.0</v>
      </c>
    </row>
    <row r="88" ht="12.75" customHeight="1">
      <c r="A88" s="56" t="s">
        <v>1578</v>
      </c>
      <c r="C88" s="25"/>
      <c r="D88" s="25"/>
      <c r="E88" s="25"/>
      <c r="F88" s="25"/>
      <c r="G88" s="25"/>
      <c r="H88" s="25"/>
      <c r="I88" s="25"/>
      <c r="J88" s="25"/>
      <c r="M88" s="25"/>
      <c r="N88" s="25"/>
      <c r="O88" s="25"/>
    </row>
    <row r="89" ht="12.75" customHeight="1">
      <c r="A89" s="460" t="s">
        <v>1579</v>
      </c>
      <c r="B89" s="461"/>
      <c r="C89" s="461"/>
      <c r="D89" s="461"/>
      <c r="E89" s="461"/>
      <c r="F89" s="461"/>
      <c r="G89" s="461"/>
      <c r="H89" s="462">
        <v>2363057.0</v>
      </c>
      <c r="I89" s="462">
        <v>2375121.0</v>
      </c>
      <c r="J89" s="462">
        <v>2387758.0</v>
      </c>
      <c r="K89" s="462">
        <v>2398006.0</v>
      </c>
      <c r="L89" s="462">
        <v>2401752.0</v>
      </c>
      <c r="M89" s="462">
        <v>2399184.0</v>
      </c>
      <c r="N89" s="462">
        <v>2409126.0</v>
      </c>
      <c r="O89" s="462">
        <v>2383250.0</v>
      </c>
      <c r="P89" s="462">
        <v>2506262.0</v>
      </c>
    </row>
    <row r="90" ht="12.75" customHeight="1">
      <c r="A90" s="460" t="s">
        <v>1580</v>
      </c>
      <c r="B90" s="460"/>
      <c r="C90" s="460"/>
      <c r="D90" s="460"/>
      <c r="E90" s="460"/>
      <c r="F90" s="460"/>
      <c r="G90" s="460"/>
      <c r="H90" s="463">
        <v>2514867.0</v>
      </c>
      <c r="I90" s="463">
        <v>2481021.0</v>
      </c>
      <c r="J90" s="463">
        <v>2564867.0</v>
      </c>
      <c r="K90" s="463">
        <v>2564867.0</v>
      </c>
      <c r="L90" s="463">
        <v>2564867.0</v>
      </c>
      <c r="M90" s="463">
        <v>2553553.0</v>
      </c>
      <c r="N90" s="463">
        <v>2553553.0</v>
      </c>
      <c r="O90" s="463">
        <f>2553553+19000</f>
        <v>2572553</v>
      </c>
      <c r="P90" s="463">
        <f>O90+79600</f>
        <v>2652153</v>
      </c>
      <c r="Q90" s="47"/>
      <c r="R90" s="25"/>
      <c r="S90" s="25"/>
      <c r="T90" s="25"/>
      <c r="U90" s="25"/>
    </row>
    <row r="91" ht="12.75" customHeight="1">
      <c r="A91" s="460" t="s">
        <v>1581</v>
      </c>
      <c r="B91" s="460"/>
      <c r="C91" s="460"/>
      <c r="D91" s="460"/>
      <c r="E91" s="463"/>
      <c r="F91" s="463"/>
      <c r="G91" s="463"/>
      <c r="H91" s="464">
        <f t="shared" ref="H91:P91" si="34">H8/H90</f>
        <v>0.01082620547</v>
      </c>
      <c r="I91" s="464">
        <f t="shared" si="34"/>
        <v>0.01153735115</v>
      </c>
      <c r="J91" s="464">
        <f t="shared" si="34"/>
        <v>0.01004689479</v>
      </c>
      <c r="K91" s="464">
        <f t="shared" si="34"/>
        <v>0.006443994114</v>
      </c>
      <c r="L91" s="464">
        <f t="shared" si="34"/>
        <v>0.005694321943</v>
      </c>
      <c r="M91" s="464">
        <f t="shared" si="34"/>
        <v>0.005612767941</v>
      </c>
      <c r="N91" s="464">
        <f t="shared" si="34"/>
        <v>0.003966096732</v>
      </c>
      <c r="O91" s="464">
        <f t="shared" si="34"/>
        <v>0.004205719168</v>
      </c>
      <c r="P91" s="464">
        <f t="shared" si="34"/>
        <v>0.004141687943</v>
      </c>
      <c r="Q91" s="47"/>
      <c r="R91" s="25"/>
      <c r="S91" s="25"/>
      <c r="T91" s="25"/>
      <c r="U91" s="25"/>
    </row>
    <row r="92" ht="12.75" customHeight="1">
      <c r="A92" s="460" t="s">
        <v>1582</v>
      </c>
      <c r="B92" s="460"/>
      <c r="C92" s="460"/>
      <c r="D92" s="460"/>
      <c r="E92" s="460"/>
      <c r="F92" s="460"/>
      <c r="G92" s="460"/>
      <c r="H92" s="464">
        <f t="shared" ref="H92:P92" si="35">H10/H90</f>
        <v>0.01135405861</v>
      </c>
      <c r="I92" s="464">
        <f t="shared" si="35"/>
        <v>0.01235123002</v>
      </c>
      <c r="J92" s="464">
        <f t="shared" si="35"/>
        <v>0.01068353008</v>
      </c>
      <c r="K92" s="464">
        <f t="shared" si="35"/>
        <v>0.007133450228</v>
      </c>
      <c r="L92" s="464">
        <f t="shared" si="35"/>
        <v>0.006641901402</v>
      </c>
      <c r="M92" s="464">
        <f t="shared" si="35"/>
        <v>0.006654652316</v>
      </c>
      <c r="N92" s="464">
        <f t="shared" si="35"/>
        <v>0.005135475084</v>
      </c>
      <c r="O92" s="464">
        <f t="shared" si="35"/>
        <v>0.005600881393</v>
      </c>
      <c r="P92" s="464">
        <f t="shared" si="35"/>
        <v>0.005414639266</v>
      </c>
      <c r="Q92" s="47"/>
      <c r="R92" s="47"/>
      <c r="S92" s="47"/>
      <c r="T92" s="47"/>
      <c r="U92" s="25"/>
    </row>
    <row r="93" ht="12.75" customHeight="1">
      <c r="A93" s="460" t="s">
        <v>1583</v>
      </c>
      <c r="B93" s="461"/>
      <c r="C93" s="461"/>
      <c r="D93" s="461"/>
      <c r="E93" s="461"/>
      <c r="F93" s="461"/>
      <c r="G93" s="461"/>
      <c r="H93" s="465">
        <f t="shared" ref="H93:P93" si="36">H8/H89</f>
        <v>0.01152171398</v>
      </c>
      <c r="I93" s="465">
        <f t="shared" si="36"/>
        <v>0.01205176935</v>
      </c>
      <c r="J93" s="465">
        <f t="shared" si="36"/>
        <v>0.0107921108</v>
      </c>
      <c r="K93" s="465">
        <f t="shared" si="36"/>
        <v>0.006892388031</v>
      </c>
      <c r="L93" s="465">
        <f t="shared" si="36"/>
        <v>0.006081051849</v>
      </c>
      <c r="M93" s="465">
        <f t="shared" si="36"/>
        <v>0.005973906301</v>
      </c>
      <c r="N93" s="465">
        <f t="shared" si="36"/>
        <v>0.004203864061</v>
      </c>
      <c r="O93" s="465">
        <f t="shared" si="36"/>
        <v>0.004539782005</v>
      </c>
      <c r="P93" s="465">
        <f t="shared" si="36"/>
        <v>0.004382778059</v>
      </c>
      <c r="Q93" s="47"/>
      <c r="R93" s="97"/>
      <c r="S93" s="97"/>
      <c r="T93" s="97"/>
    </row>
    <row r="94" ht="12.75" customHeight="1">
      <c r="K94" s="47"/>
      <c r="Q94" s="47"/>
      <c r="R94" s="97"/>
      <c r="S94" s="25"/>
      <c r="T94" s="97"/>
    </row>
    <row r="95" ht="12.75" customHeight="1">
      <c r="O95" s="56" t="s">
        <v>1584</v>
      </c>
      <c r="P95" s="56" t="s">
        <v>1585</v>
      </c>
      <c r="Q95" s="47"/>
      <c r="U95" s="106"/>
    </row>
    <row r="96" ht="12.75" customHeight="1">
      <c r="O96" s="56" t="s">
        <v>1586</v>
      </c>
      <c r="P96" s="56" t="s">
        <v>1587</v>
      </c>
      <c r="Q96" s="47"/>
    </row>
    <row r="97" ht="12.75" customHeight="1">
      <c r="O97" s="56" t="s">
        <v>1588</v>
      </c>
      <c r="P97" s="56" t="s">
        <v>1589</v>
      </c>
      <c r="Q97" s="47"/>
    </row>
    <row r="98" ht="12.75" customHeight="1">
      <c r="Q98" s="47"/>
      <c r="R98" s="47"/>
      <c r="S98" s="86"/>
      <c r="T98" s="47"/>
    </row>
    <row r="99" ht="12.75" customHeight="1">
      <c r="I99" s="97"/>
      <c r="Q99" s="47"/>
      <c r="R99" s="97"/>
      <c r="S99" s="97"/>
      <c r="T99" s="97"/>
    </row>
    <row r="100" ht="12.75" customHeight="1">
      <c r="J100" s="97"/>
      <c r="Q100" s="47"/>
      <c r="R100" s="97"/>
      <c r="S100" s="97"/>
      <c r="T100" s="97"/>
    </row>
    <row r="101" ht="12.75" customHeight="1"/>
    <row r="102" ht="12.75" customHeight="1">
      <c r="J102" s="97"/>
      <c r="K102" s="85"/>
      <c r="Q102" s="97"/>
      <c r="R102" s="97"/>
      <c r="S102" s="97"/>
      <c r="T102" s="97"/>
      <c r="U102" s="106"/>
    </row>
    <row r="103" ht="12.75" customHeight="1">
      <c r="G103" s="12"/>
      <c r="H103" s="12"/>
      <c r="I103" s="438"/>
      <c r="J103" s="85"/>
      <c r="K103" s="25"/>
    </row>
    <row r="104" ht="12.75" customHeight="1">
      <c r="G104" s="12"/>
      <c r="H104" s="12"/>
      <c r="I104" s="12"/>
      <c r="J104" s="25"/>
      <c r="K104" s="97"/>
    </row>
    <row r="105" ht="12.75" customHeight="1">
      <c r="G105" s="97"/>
      <c r="H105" s="97"/>
      <c r="I105" s="97"/>
      <c r="J105" s="97"/>
      <c r="K105" s="97"/>
      <c r="L105" s="97"/>
    </row>
    <row r="106" ht="12.75" customHeight="1">
      <c r="G106" s="97"/>
      <c r="H106" s="97"/>
      <c r="I106" s="97"/>
      <c r="J106" s="97"/>
      <c r="K106" s="97"/>
      <c r="L106" s="97"/>
    </row>
    <row r="107" ht="12.75" customHeight="1">
      <c r="G107" s="97"/>
      <c r="H107" s="97"/>
      <c r="I107" s="97"/>
      <c r="J107" s="97"/>
      <c r="K107" s="97"/>
      <c r="L107" s="97"/>
    </row>
    <row r="108" ht="12.75" customHeight="1">
      <c r="G108" s="97"/>
      <c r="H108" s="97"/>
      <c r="I108" s="97"/>
      <c r="J108" s="97"/>
      <c r="L108" s="97"/>
    </row>
    <row r="109" ht="12.75" customHeight="1">
      <c r="H109" s="97"/>
      <c r="I109" s="106"/>
    </row>
    <row r="110" ht="12.75" customHeight="1">
      <c r="H110" s="97"/>
      <c r="I110" s="106"/>
    </row>
    <row r="111" ht="12.75" customHeight="1">
      <c r="H111" s="97"/>
      <c r="I111" s="97"/>
    </row>
    <row r="112" ht="12.75" customHeight="1">
      <c r="H112" s="97"/>
      <c r="I112" s="97"/>
    </row>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I1"/>
    <mergeCell ref="A2:J4"/>
  </mergeCell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8080"/>
    <pageSetUpPr/>
  </sheetPr>
  <sheetViews>
    <sheetView workbookViewId="0"/>
  </sheetViews>
  <sheetFormatPr customHeight="1" defaultColWidth="12.63" defaultRowHeight="15.0"/>
  <cols>
    <col customWidth="1" min="1" max="1" width="39.0"/>
    <col customWidth="1" min="2" max="6" width="9.38"/>
    <col customWidth="1" min="7" max="7" width="11.5"/>
    <col customWidth="1" min="8" max="9" width="9.38"/>
    <col customWidth="1" min="10" max="10" width="11.0"/>
    <col customWidth="1" min="11" max="12" width="13.63"/>
    <col customWidth="1" min="13" max="13" width="1.13"/>
    <col customWidth="1" min="14" max="14" width="11.0"/>
    <col customWidth="1" min="15" max="15" width="14.0"/>
    <col customWidth="1" min="16" max="16" width="15.13"/>
    <col customWidth="1" min="17" max="17" width="11.88"/>
    <col customWidth="1" min="18" max="18" width="16.13"/>
    <col customWidth="1" min="19" max="19" width="14.63"/>
    <col customWidth="1" min="20" max="20" width="12.0"/>
    <col customWidth="1" min="21" max="26" width="10.0"/>
  </cols>
  <sheetData>
    <row r="1" ht="27.75" customHeight="1">
      <c r="A1" s="466" t="s">
        <v>1509</v>
      </c>
      <c r="B1" s="466"/>
      <c r="C1" s="466"/>
      <c r="D1" s="466"/>
      <c r="E1" s="466"/>
      <c r="F1" s="466"/>
      <c r="G1" s="466"/>
      <c r="H1" s="467"/>
      <c r="I1" s="25"/>
      <c r="J1" s="25"/>
      <c r="K1" s="25"/>
      <c r="L1" s="25"/>
      <c r="M1" s="25"/>
      <c r="N1" s="25"/>
      <c r="O1" s="25"/>
      <c r="P1" s="431"/>
    </row>
    <row r="2" ht="12.0" customHeight="1">
      <c r="A2" s="468" t="s">
        <v>1510</v>
      </c>
      <c r="F2" s="110"/>
      <c r="G2" s="110"/>
      <c r="H2" s="110"/>
      <c r="I2" s="25"/>
      <c r="J2" s="25"/>
      <c r="K2" s="25"/>
      <c r="L2" s="25"/>
      <c r="M2" s="25"/>
      <c r="N2" s="25"/>
      <c r="O2" s="25"/>
      <c r="P2" s="25"/>
      <c r="Q2" s="25"/>
      <c r="R2" s="25"/>
      <c r="S2" s="25"/>
      <c r="T2" s="25"/>
      <c r="U2" s="25"/>
      <c r="V2" s="25"/>
      <c r="W2" s="25"/>
      <c r="X2" s="25"/>
      <c r="Y2" s="25"/>
      <c r="Z2" s="25"/>
    </row>
    <row r="3" ht="12.0" customHeight="1">
      <c r="F3" s="110"/>
      <c r="G3" s="110"/>
      <c r="H3" s="110"/>
      <c r="I3" s="47"/>
      <c r="J3" s="47"/>
      <c r="K3" s="47"/>
      <c r="L3" s="47"/>
      <c r="M3" s="47"/>
      <c r="N3" s="47"/>
      <c r="O3" s="47"/>
    </row>
    <row r="4" ht="12.0" customHeight="1">
      <c r="F4" s="110"/>
      <c r="G4" s="110"/>
      <c r="H4" s="110"/>
      <c r="I4" s="86"/>
      <c r="J4" s="86"/>
      <c r="K4" s="86"/>
      <c r="L4" s="86"/>
      <c r="M4" s="86"/>
      <c r="N4" s="86"/>
      <c r="O4" s="86"/>
      <c r="P4" s="86"/>
      <c r="Q4" s="86"/>
      <c r="R4" s="86"/>
      <c r="S4" s="86"/>
    </row>
    <row r="5" ht="21.0" customHeight="1">
      <c r="A5" s="92" t="s">
        <v>1590</v>
      </c>
      <c r="G5" s="97"/>
      <c r="H5" s="97"/>
      <c r="I5" s="86"/>
      <c r="J5" s="86"/>
      <c r="K5" s="86"/>
      <c r="L5" s="86"/>
      <c r="M5" s="86"/>
      <c r="N5" s="86"/>
      <c r="O5" s="86"/>
      <c r="P5" s="86"/>
      <c r="Q5" s="86"/>
      <c r="R5" s="86"/>
      <c r="S5" s="86"/>
    </row>
    <row r="6" ht="12.0" customHeight="1">
      <c r="A6" s="56" t="s">
        <v>1591</v>
      </c>
      <c r="B6" s="469" t="s">
        <v>1592</v>
      </c>
      <c r="J6" s="470"/>
      <c r="K6" s="97"/>
      <c r="L6" s="97"/>
      <c r="M6" s="97"/>
      <c r="N6" s="97"/>
      <c r="O6" s="97"/>
      <c r="P6" s="97"/>
      <c r="Q6" s="97"/>
      <c r="R6" s="97"/>
      <c r="S6" s="73"/>
    </row>
    <row r="7" ht="12.0" customHeight="1">
      <c r="A7" s="373"/>
      <c r="B7" s="362" t="s">
        <v>1593</v>
      </c>
      <c r="C7" s="362"/>
      <c r="D7" s="362"/>
      <c r="E7" s="362"/>
      <c r="F7" s="362"/>
      <c r="G7" s="362"/>
      <c r="H7" s="362"/>
      <c r="I7" s="362"/>
      <c r="J7" s="470"/>
    </row>
    <row r="8" ht="13.5" customHeight="1">
      <c r="A8" s="92"/>
      <c r="B8" s="263" t="s">
        <v>1594</v>
      </c>
      <c r="D8" s="12"/>
      <c r="E8" s="12"/>
      <c r="F8" s="12"/>
    </row>
    <row r="9" ht="12.0" customHeight="1">
      <c r="B9" s="471" t="s">
        <v>1595</v>
      </c>
      <c r="H9" s="472"/>
      <c r="I9" s="472"/>
      <c r="J9" s="472"/>
    </row>
    <row r="10" ht="12.0" customHeight="1">
      <c r="B10" s="471" t="s">
        <v>1596</v>
      </c>
      <c r="H10" s="472"/>
      <c r="I10" s="472"/>
      <c r="J10" s="472"/>
    </row>
    <row r="11" ht="12.0" customHeight="1">
      <c r="A11" s="25" t="s">
        <v>1597</v>
      </c>
      <c r="B11" s="97" t="s">
        <v>1446</v>
      </c>
      <c r="C11" s="97"/>
      <c r="D11" s="97"/>
      <c r="E11" s="97"/>
      <c r="F11" s="97"/>
      <c r="G11" s="97"/>
      <c r="H11" s="97"/>
      <c r="I11" s="25"/>
      <c r="J11" s="25"/>
      <c r="K11" s="25"/>
      <c r="L11" s="25"/>
      <c r="M11" s="25"/>
      <c r="N11" s="25"/>
      <c r="O11" s="25"/>
      <c r="P11" s="25"/>
      <c r="Q11" s="25"/>
      <c r="R11" s="25"/>
      <c r="S11" s="25"/>
      <c r="T11" s="25"/>
      <c r="U11" s="25"/>
      <c r="V11" s="25"/>
      <c r="W11" s="25"/>
      <c r="X11" s="25"/>
      <c r="Y11" s="25"/>
      <c r="Z11" s="25"/>
    </row>
    <row r="12" ht="10.5" customHeight="1">
      <c r="A12" s="25" t="s">
        <v>1531</v>
      </c>
      <c r="B12" s="25" t="s">
        <v>1598</v>
      </c>
      <c r="C12" s="25"/>
      <c r="D12" s="25"/>
      <c r="E12" s="25"/>
      <c r="F12" s="25"/>
      <c r="G12" s="25"/>
      <c r="H12" s="25"/>
      <c r="I12" s="25"/>
      <c r="J12" s="25"/>
      <c r="K12" s="25"/>
      <c r="L12" s="25"/>
      <c r="M12" s="25"/>
      <c r="N12" s="25"/>
      <c r="O12" s="25"/>
      <c r="P12" s="25"/>
      <c r="Q12" s="25"/>
      <c r="R12" s="25"/>
      <c r="S12" s="25"/>
      <c r="T12" s="25"/>
      <c r="U12" s="25"/>
      <c r="V12" s="25"/>
      <c r="W12" s="25"/>
      <c r="X12" s="25"/>
      <c r="Y12" s="25"/>
      <c r="Z12" s="25"/>
    </row>
    <row r="13" ht="13.5" customHeight="1">
      <c r="A13" s="92" t="s">
        <v>1599</v>
      </c>
      <c r="C13" s="97"/>
      <c r="D13" s="97"/>
      <c r="E13" s="97"/>
      <c r="F13" s="97"/>
      <c r="G13" s="97"/>
      <c r="H13" s="97"/>
    </row>
    <row r="14" ht="12.0" customHeight="1">
      <c r="A14" s="25" t="s">
        <v>1600</v>
      </c>
      <c r="B14" s="469" t="s">
        <v>1601</v>
      </c>
    </row>
    <row r="15" ht="12.0" customHeight="1">
      <c r="A15" s="47"/>
      <c r="B15" s="362" t="s">
        <v>1602</v>
      </c>
      <c r="C15" s="97"/>
      <c r="D15" s="97"/>
      <c r="E15" s="97"/>
      <c r="F15" s="97"/>
      <c r="G15" s="97"/>
      <c r="H15" s="97"/>
    </row>
    <row r="16" ht="12.0" customHeight="1">
      <c r="A16" s="25" t="s">
        <v>1603</v>
      </c>
      <c r="B16" s="56" t="s">
        <v>724</v>
      </c>
    </row>
    <row r="17" ht="10.5" customHeight="1">
      <c r="A17" s="25"/>
      <c r="B17" s="97"/>
      <c r="C17" s="97"/>
      <c r="D17" s="97"/>
      <c r="E17" s="97"/>
      <c r="F17" s="97"/>
      <c r="G17" s="97"/>
      <c r="H17" s="97"/>
    </row>
    <row r="18" ht="19.5" customHeight="1">
      <c r="A18" s="92" t="s">
        <v>1604</v>
      </c>
      <c r="L18" s="47"/>
    </row>
    <row r="19" ht="12.0" customHeight="1">
      <c r="A19" s="25" t="s">
        <v>1564</v>
      </c>
      <c r="B19" s="97" t="s">
        <v>1605</v>
      </c>
      <c r="L19" s="47"/>
    </row>
    <row r="20" ht="12.0" customHeight="1">
      <c r="A20" s="25"/>
      <c r="B20" s="97" t="s">
        <v>1606</v>
      </c>
      <c r="L20" s="47"/>
    </row>
    <row r="21" ht="12.0" customHeight="1">
      <c r="A21" s="25" t="s">
        <v>1565</v>
      </c>
      <c r="B21" s="97" t="s">
        <v>1607</v>
      </c>
      <c r="C21" s="97"/>
      <c r="D21" s="97"/>
      <c r="E21" s="97"/>
      <c r="F21" s="97"/>
      <c r="G21" s="97"/>
      <c r="H21" s="97"/>
      <c r="L21" s="47"/>
    </row>
    <row r="22" ht="21.75" customHeight="1">
      <c r="A22" s="25"/>
      <c r="B22" s="97"/>
      <c r="C22" s="97"/>
      <c r="D22" s="97"/>
      <c r="E22" s="97"/>
      <c r="F22" s="97"/>
      <c r="G22" s="97"/>
      <c r="H22" s="97"/>
      <c r="I22" s="97"/>
      <c r="J22" s="97"/>
    </row>
    <row r="23" ht="12.0" customHeight="1">
      <c r="A23" s="72" t="s">
        <v>1573</v>
      </c>
      <c r="B23" s="97" t="s">
        <v>1608</v>
      </c>
      <c r="C23" s="97"/>
      <c r="D23" s="97"/>
      <c r="E23" s="97"/>
      <c r="F23" s="97"/>
      <c r="G23" s="97"/>
      <c r="H23" s="97"/>
      <c r="I23" s="97"/>
      <c r="J23" s="97"/>
      <c r="K23" s="97"/>
      <c r="L23" s="97"/>
      <c r="M23" s="97"/>
      <c r="N23" s="97"/>
      <c r="O23" s="97"/>
    </row>
    <row r="24" ht="12.0" customHeight="1">
      <c r="A24" s="25"/>
      <c r="B24" s="97"/>
      <c r="C24" s="97"/>
      <c r="D24" s="97"/>
      <c r="E24" s="97"/>
      <c r="F24" s="97"/>
      <c r="G24" s="97"/>
      <c r="H24" s="97"/>
      <c r="I24" s="97"/>
      <c r="J24" s="97"/>
      <c r="K24" s="97"/>
      <c r="L24" s="97"/>
      <c r="M24" s="97"/>
      <c r="N24" s="97"/>
      <c r="O24" s="97"/>
    </row>
    <row r="25" ht="12.0" customHeight="1">
      <c r="A25" s="47"/>
      <c r="B25" s="97"/>
      <c r="C25" s="97"/>
      <c r="D25" s="97"/>
      <c r="E25" s="97"/>
      <c r="F25" s="97"/>
      <c r="G25" s="97"/>
      <c r="H25" s="97"/>
      <c r="I25" s="97"/>
      <c r="J25" s="235"/>
      <c r="K25" s="235"/>
      <c r="L25" s="235"/>
      <c r="M25" s="235"/>
      <c r="N25" s="235"/>
      <c r="O25" s="235"/>
    </row>
    <row r="26" ht="12.0" customHeight="1">
      <c r="A26" s="47"/>
      <c r="D26" s="25"/>
      <c r="E26" s="25"/>
      <c r="F26" s="25"/>
      <c r="G26" s="25"/>
      <c r="H26" s="25"/>
      <c r="I26" s="25"/>
      <c r="J26" s="47"/>
      <c r="L26" s="47"/>
      <c r="M26" s="47"/>
      <c r="N26" s="47"/>
      <c r="O26" s="47"/>
    </row>
    <row r="27" ht="12.0" customHeight="1">
      <c r="A27" s="47"/>
      <c r="D27" s="25"/>
      <c r="E27" s="25"/>
      <c r="F27" s="25"/>
      <c r="G27" s="25"/>
      <c r="H27" s="25"/>
      <c r="I27" s="25"/>
      <c r="J27" s="47"/>
      <c r="L27" s="47"/>
      <c r="M27" s="47"/>
      <c r="N27" s="47"/>
      <c r="O27" s="47"/>
    </row>
    <row r="28" ht="12.0" customHeight="1">
      <c r="A28" s="336"/>
      <c r="D28" s="25"/>
      <c r="E28" s="25"/>
      <c r="F28" s="25"/>
      <c r="G28" s="106"/>
      <c r="H28" s="106"/>
      <c r="I28" s="106"/>
      <c r="J28" s="47"/>
      <c r="L28" s="47"/>
      <c r="M28" s="47"/>
      <c r="N28" s="47"/>
      <c r="O28" s="47"/>
    </row>
    <row r="29" ht="12.0" customHeight="1">
      <c r="A29" s="92"/>
      <c r="D29" s="25"/>
      <c r="E29" s="25"/>
      <c r="F29" s="25"/>
      <c r="G29" s="25"/>
      <c r="H29" s="25"/>
      <c r="I29" s="25"/>
      <c r="J29" s="47"/>
      <c r="L29" s="47"/>
      <c r="M29" s="47"/>
      <c r="N29" s="47"/>
      <c r="O29" s="47"/>
    </row>
    <row r="30" ht="12.0" customHeight="1">
      <c r="A30" s="92"/>
      <c r="D30" s="25"/>
      <c r="E30" s="25"/>
      <c r="F30" s="25"/>
      <c r="G30" s="25"/>
      <c r="H30" s="25"/>
      <c r="I30" s="25"/>
      <c r="J30" s="47"/>
      <c r="L30" s="47"/>
      <c r="M30" s="47"/>
      <c r="N30" s="47"/>
      <c r="O30" s="47"/>
    </row>
    <row r="31" ht="12.0" customHeight="1">
      <c r="A31" s="365"/>
      <c r="D31" s="25"/>
      <c r="E31" s="25"/>
      <c r="F31" s="25"/>
      <c r="G31" s="25"/>
      <c r="H31" s="25"/>
      <c r="I31" s="25"/>
      <c r="J31" s="47"/>
      <c r="L31" s="47"/>
      <c r="M31" s="47"/>
      <c r="N31" s="47"/>
      <c r="O31" s="47"/>
    </row>
    <row r="32" ht="12.0" customHeight="1">
      <c r="A32" s="25"/>
    </row>
    <row r="33" ht="12.0" customHeight="1">
      <c r="A33" s="25"/>
      <c r="D33" s="47"/>
      <c r="E33" s="25"/>
      <c r="I33" s="85"/>
    </row>
    <row r="34" ht="12.0" customHeight="1">
      <c r="A34" s="25"/>
      <c r="I34" s="85"/>
    </row>
    <row r="35" ht="12.0" customHeight="1">
      <c r="E35" s="25"/>
      <c r="I35" s="25"/>
    </row>
    <row r="36" ht="12.0" customHeight="1">
      <c r="A36" s="47"/>
      <c r="I36" s="25"/>
    </row>
    <row r="37" ht="12.0" customHeight="1">
      <c r="A37" s="47"/>
      <c r="I37" s="25"/>
    </row>
    <row r="38" ht="12.0" customHeight="1">
      <c r="A38" s="47"/>
      <c r="E38" s="365"/>
      <c r="I38" s="25"/>
    </row>
    <row r="39" ht="12.0" customHeight="1"/>
    <row r="40" ht="12.0" customHeight="1">
      <c r="A40" s="47"/>
      <c r="B40" s="25"/>
      <c r="C40" s="25"/>
      <c r="D40" s="25"/>
      <c r="E40" s="25"/>
      <c r="F40" s="25"/>
      <c r="G40" s="25"/>
      <c r="H40" s="25"/>
    </row>
    <row r="41" ht="12.0" customHeight="1">
      <c r="A41" s="47"/>
      <c r="B41" s="25"/>
      <c r="C41" s="25"/>
      <c r="D41" s="25"/>
      <c r="E41" s="25"/>
      <c r="F41" s="25"/>
      <c r="G41" s="25"/>
      <c r="H41" s="25"/>
    </row>
    <row r="42" ht="12.0" customHeight="1">
      <c r="A42" s="47"/>
      <c r="B42" s="25"/>
      <c r="C42" s="25"/>
      <c r="D42" s="25"/>
      <c r="E42" s="25"/>
      <c r="F42" s="25"/>
      <c r="G42" s="25"/>
      <c r="H42" s="25"/>
    </row>
    <row r="43" ht="12.0" customHeight="1"/>
    <row r="44" ht="12.0" customHeight="1"/>
    <row r="45" ht="12.0" customHeight="1">
      <c r="A45" s="47"/>
    </row>
    <row r="46" ht="12.0" customHeight="1"/>
    <row r="47" ht="12.0" customHeight="1"/>
    <row r="48" ht="12.0" customHeight="1"/>
    <row r="49" ht="12.0" customHeight="1">
      <c r="B49" s="92"/>
    </row>
    <row r="50" ht="12.0" customHeight="1"/>
    <row r="51" ht="12.0" customHeight="1"/>
    <row r="52" ht="12.0" customHeight="1">
      <c r="D52" s="97"/>
      <c r="E52" s="97"/>
      <c r="F52" s="97"/>
      <c r="G52" s="97"/>
      <c r="H52" s="97"/>
      <c r="I52" s="97"/>
      <c r="J52" s="97"/>
      <c r="K52" s="97"/>
      <c r="L52" s="97"/>
    </row>
    <row r="53" ht="12.0" customHeight="1"/>
    <row r="54" ht="12.0" customHeight="1">
      <c r="B54" s="47"/>
      <c r="C54" s="25"/>
      <c r="D54" s="97"/>
      <c r="E54" s="97"/>
      <c r="F54" s="97"/>
      <c r="G54" s="97"/>
      <c r="H54" s="97"/>
      <c r="I54" s="97"/>
      <c r="J54" s="97"/>
      <c r="K54" s="97"/>
      <c r="L54" s="97"/>
    </row>
    <row r="55" ht="12.0" customHeight="1">
      <c r="B55" s="47"/>
      <c r="C55" s="25"/>
      <c r="D55" s="25"/>
      <c r="E55" s="25"/>
      <c r="F55" s="25"/>
      <c r="G55" s="25"/>
      <c r="H55" s="25"/>
      <c r="I55" s="25"/>
      <c r="J55" s="25"/>
      <c r="K55" s="25"/>
      <c r="L55" s="25"/>
    </row>
    <row r="56" ht="12.0" customHeight="1">
      <c r="B56" s="25"/>
      <c r="C56" s="25"/>
      <c r="D56" s="25"/>
      <c r="E56" s="25"/>
      <c r="F56" s="25"/>
      <c r="G56" s="25"/>
      <c r="H56" s="25"/>
      <c r="I56" s="25"/>
      <c r="J56" s="25"/>
      <c r="K56" s="25"/>
      <c r="L56" s="25"/>
    </row>
    <row r="57" ht="12.0" customHeight="1">
      <c r="B57" s="47"/>
      <c r="C57" s="25"/>
      <c r="D57" s="25"/>
      <c r="E57" s="25"/>
      <c r="F57" s="25"/>
      <c r="G57" s="25"/>
      <c r="H57" s="25"/>
      <c r="I57" s="25"/>
      <c r="J57" s="25"/>
      <c r="K57" s="25"/>
      <c r="L57" s="25"/>
    </row>
    <row r="58" ht="12.0" customHeight="1"/>
    <row r="59" ht="12.0" customHeight="1">
      <c r="D59" s="97"/>
      <c r="E59" s="97"/>
      <c r="F59" s="97"/>
      <c r="P59" s="47"/>
      <c r="Q59" s="25"/>
      <c r="R59" s="25"/>
      <c r="S59" s="25"/>
      <c r="T59" s="25"/>
    </row>
    <row r="60" ht="12.0" customHeight="1">
      <c r="P60" s="47"/>
      <c r="Q60" s="25"/>
      <c r="R60" s="25"/>
      <c r="S60" s="25"/>
      <c r="T60" s="25"/>
    </row>
    <row r="61" ht="12.0" customHeight="1">
      <c r="B61" s="47"/>
      <c r="D61" s="97"/>
      <c r="E61" s="97"/>
      <c r="F61" s="97"/>
      <c r="P61" s="47"/>
      <c r="Q61" s="47"/>
      <c r="R61" s="47"/>
      <c r="S61" s="47"/>
      <c r="T61" s="25"/>
    </row>
    <row r="62" ht="12.0" customHeight="1">
      <c r="P62" s="47"/>
      <c r="Q62" s="97"/>
      <c r="R62" s="97"/>
      <c r="S62" s="97"/>
    </row>
    <row r="63" ht="12.0" customHeight="1">
      <c r="P63" s="47"/>
      <c r="Q63" s="97"/>
      <c r="R63" s="25"/>
      <c r="S63" s="97"/>
    </row>
    <row r="64" ht="12.0" customHeight="1">
      <c r="J64" s="47"/>
      <c r="P64" s="47"/>
      <c r="T64" s="106"/>
    </row>
    <row r="65" ht="12.0" customHeight="1">
      <c r="P65" s="47"/>
    </row>
    <row r="66" ht="12.0" customHeight="1">
      <c r="P66" s="47"/>
    </row>
    <row r="67" ht="12.0" customHeight="1">
      <c r="P67" s="47"/>
      <c r="Q67" s="47"/>
      <c r="R67" s="86"/>
      <c r="S67" s="47"/>
    </row>
    <row r="68" ht="12.0" customHeight="1">
      <c r="P68" s="47"/>
      <c r="Q68" s="97"/>
      <c r="R68" s="97"/>
      <c r="S68" s="97"/>
    </row>
    <row r="69" ht="12.0" customHeight="1">
      <c r="P69" s="47"/>
      <c r="Q69" s="97"/>
      <c r="R69" s="97"/>
      <c r="S69" s="97"/>
    </row>
    <row r="70" ht="12.0" customHeight="1"/>
    <row r="71" ht="12.0" customHeight="1">
      <c r="I71" s="97"/>
      <c r="P71" s="97"/>
      <c r="Q71" s="97"/>
      <c r="R71" s="97"/>
      <c r="S71" s="97"/>
      <c r="T71" s="106"/>
    </row>
    <row r="72" ht="12.0" customHeight="1">
      <c r="F72" s="12"/>
      <c r="G72" s="12"/>
      <c r="H72" s="438"/>
      <c r="I72" s="85"/>
      <c r="J72" s="85"/>
    </row>
    <row r="73" ht="12.0" customHeight="1">
      <c r="F73" s="12"/>
      <c r="G73" s="12"/>
      <c r="H73" s="12"/>
      <c r="I73" s="25"/>
      <c r="J73" s="25"/>
    </row>
    <row r="74" ht="12.0" customHeight="1">
      <c r="F74" s="97"/>
      <c r="G74" s="97"/>
      <c r="H74" s="97"/>
      <c r="I74" s="97"/>
      <c r="J74" s="97"/>
      <c r="K74" s="97"/>
    </row>
    <row r="75" ht="12.0" customHeight="1">
      <c r="F75" s="97"/>
      <c r="G75" s="97"/>
      <c r="H75" s="97"/>
      <c r="I75" s="97"/>
      <c r="J75" s="97"/>
      <c r="K75" s="97"/>
    </row>
    <row r="76" ht="12.0" customHeight="1">
      <c r="F76" s="97"/>
      <c r="G76" s="97"/>
      <c r="H76" s="97"/>
      <c r="I76" s="97"/>
      <c r="J76" s="97"/>
      <c r="K76" s="97"/>
    </row>
    <row r="77" ht="12.0" customHeight="1">
      <c r="F77" s="97"/>
      <c r="G77" s="97"/>
      <c r="H77" s="97"/>
      <c r="I77" s="97"/>
      <c r="J77" s="97"/>
      <c r="K77" s="97"/>
    </row>
    <row r="78" ht="12.0" customHeight="1">
      <c r="G78" s="97"/>
      <c r="H78" s="106"/>
    </row>
    <row r="79" ht="12.0" customHeight="1">
      <c r="G79" s="97"/>
      <c r="H79" s="106"/>
    </row>
    <row r="80" ht="12.0" customHeight="1">
      <c r="G80" s="97"/>
      <c r="H80" s="97"/>
    </row>
    <row r="81" ht="12.0" customHeight="1">
      <c r="G81" s="97"/>
      <c r="H81" s="97"/>
    </row>
    <row r="82" ht="12.0" customHeight="1"/>
    <row r="83" ht="12.0" customHeight="1"/>
    <row r="84" ht="12.0"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A2:E4"/>
    <mergeCell ref="B6:I6"/>
    <mergeCell ref="B9:G9"/>
    <mergeCell ref="B10:G10"/>
    <mergeCell ref="B14:I1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90"/>
    <pageSetUpPr/>
  </sheetPr>
  <sheetViews>
    <sheetView workbookViewId="0"/>
  </sheetViews>
  <sheetFormatPr customHeight="1" defaultColWidth="12.63" defaultRowHeight="15.0"/>
  <cols>
    <col customWidth="1" min="1" max="1" width="22.63"/>
    <col customWidth="1" min="2" max="3" width="10.5"/>
    <col customWidth="1" min="4" max="4" width="10.38"/>
    <col customWidth="1" min="5" max="5" width="10.5"/>
    <col customWidth="1" min="6" max="6" width="10.63"/>
    <col customWidth="1" min="7" max="7" width="10.5"/>
    <col customWidth="1" min="8" max="8" width="9.88"/>
    <col customWidth="1" min="9" max="9" width="10.0"/>
    <col customWidth="1" min="10" max="14" width="8.88"/>
    <col customWidth="1" min="15" max="15" width="8.5"/>
    <col customWidth="1" min="16" max="18" width="10.63"/>
    <col customWidth="1" min="19" max="19" width="9.63"/>
    <col customWidth="1" min="20" max="20" width="15.38"/>
    <col customWidth="1" min="21" max="21" width="14.5"/>
    <col customWidth="1" min="22" max="26" width="10.0"/>
  </cols>
  <sheetData>
    <row r="1" ht="24.0" customHeight="1">
      <c r="A1" s="63" t="s">
        <v>53</v>
      </c>
      <c r="B1" s="63"/>
      <c r="C1" s="63"/>
      <c r="D1" s="63"/>
      <c r="E1" s="63"/>
      <c r="F1" s="63"/>
      <c r="G1" s="63"/>
      <c r="H1" s="63"/>
    </row>
    <row r="2" ht="12.0" customHeight="1">
      <c r="A2" s="53"/>
      <c r="B2" s="53"/>
      <c r="C2" s="53"/>
      <c r="D2" s="54"/>
      <c r="E2" s="25"/>
      <c r="F2" s="25"/>
      <c r="G2" s="25"/>
      <c r="H2" s="25"/>
    </row>
    <row r="3" ht="19.5" customHeight="1">
      <c r="A3" s="64" t="s">
        <v>54</v>
      </c>
      <c r="D3" s="54"/>
      <c r="E3" s="25"/>
      <c r="F3" s="25"/>
      <c r="G3" s="25"/>
      <c r="H3" s="25"/>
    </row>
    <row r="4" ht="19.5" customHeight="1">
      <c r="A4" s="64"/>
      <c r="B4" s="65" t="s">
        <v>55</v>
      </c>
      <c r="C4" s="64"/>
      <c r="D4" s="54"/>
      <c r="E4" s="25"/>
      <c r="F4" s="25"/>
      <c r="G4" s="25"/>
      <c r="H4" s="25"/>
    </row>
    <row r="5" ht="30.75" customHeight="1">
      <c r="A5" s="66" t="s">
        <v>56</v>
      </c>
      <c r="B5" s="67" t="s">
        <v>57</v>
      </c>
      <c r="C5" s="67" t="s">
        <v>58</v>
      </c>
      <c r="D5" s="67" t="s">
        <v>59</v>
      </c>
      <c r="E5" s="67" t="s">
        <v>60</v>
      </c>
      <c r="F5" s="67" t="s">
        <v>61</v>
      </c>
      <c r="G5" s="67" t="s">
        <v>62</v>
      </c>
      <c r="H5" s="67" t="s">
        <v>63</v>
      </c>
      <c r="I5" s="67" t="s">
        <v>64</v>
      </c>
      <c r="J5" s="67" t="s">
        <v>65</v>
      </c>
      <c r="K5" s="67" t="s">
        <v>66</v>
      </c>
      <c r="L5" s="67" t="s">
        <v>67</v>
      </c>
      <c r="M5" s="67" t="s">
        <v>68</v>
      </c>
      <c r="N5" s="67" t="s">
        <v>69</v>
      </c>
      <c r="O5" s="67" t="s">
        <v>70</v>
      </c>
      <c r="P5" s="67" t="s">
        <v>71</v>
      </c>
      <c r="Q5" s="67" t="s">
        <v>72</v>
      </c>
      <c r="R5" s="67" t="s">
        <v>73</v>
      </c>
    </row>
    <row r="6" ht="27.75" customHeight="1">
      <c r="A6" s="68" t="s">
        <v>74</v>
      </c>
      <c r="B6" s="69">
        <f>'Normalization Factors'!H64</f>
        <v>7.224962095</v>
      </c>
      <c r="C6" s="69">
        <f>'Normalization Factors'!I64</f>
        <v>7.350062605</v>
      </c>
      <c r="D6" s="69">
        <f>'Normalization Factors'!J64</f>
        <v>6.679883354</v>
      </c>
      <c r="E6" s="69">
        <f>'Normalization Factors'!K64</f>
        <v>4.252271275</v>
      </c>
      <c r="F6" s="69">
        <f>'Normalization Factors'!L64</f>
        <v>3.781466336</v>
      </c>
      <c r="G6" s="69">
        <f>'Normalization Factors'!M64</f>
        <v>3.697835028</v>
      </c>
      <c r="H6" s="69">
        <f>'Normalization Factors'!N64</f>
        <v>2.585119938</v>
      </c>
      <c r="I6" s="69">
        <f>'Normalization Factors'!O64</f>
        <v>2.752531177</v>
      </c>
      <c r="J6" s="69">
        <f>'Normalization Factors'!P64</f>
        <v>2.758914985</v>
      </c>
      <c r="K6" s="69" t="str">
        <f>'Normalization Factors'!Q64</f>
        <v/>
      </c>
      <c r="L6" s="69" t="str">
        <f>'Normalization Factors'!R64</f>
        <v/>
      </c>
      <c r="M6" s="69" t="str">
        <f>'Normalization Factors'!S64</f>
        <v/>
      </c>
      <c r="N6" s="69" t="str">
        <f>'Normalization Factors'!T64</f>
        <v/>
      </c>
      <c r="O6" s="69" t="str">
        <f>'Normalization Factors'!U64</f>
        <v/>
      </c>
      <c r="P6" s="69" t="str">
        <f>'Normalization Factors'!V64</f>
        <v/>
      </c>
      <c r="Q6" s="69" t="str">
        <f>'Normalization Factors'!W64</f>
        <v/>
      </c>
      <c r="R6" s="69" t="str">
        <f>'Normalization Factors'!X64</f>
        <v/>
      </c>
    </row>
    <row r="7" ht="27.75" customHeight="1">
      <c r="A7" s="68" t="s">
        <v>75</v>
      </c>
      <c r="B7" s="70">
        <f>'Normalization Factors'!H91</f>
        <v>0.01082620547</v>
      </c>
      <c r="C7" s="70">
        <f>'Normalization Factors'!I91</f>
        <v>0.01153735115</v>
      </c>
      <c r="D7" s="70">
        <f>'Normalization Factors'!J91</f>
        <v>0.01004689479</v>
      </c>
      <c r="E7" s="70">
        <f>'Normalization Factors'!K91</f>
        <v>0.006443994114</v>
      </c>
      <c r="F7" s="70">
        <f>'Normalization Factors'!L91</f>
        <v>0.005694321943</v>
      </c>
      <c r="G7" s="70">
        <f>'Normalization Factors'!M91</f>
        <v>0.005612767941</v>
      </c>
      <c r="H7" s="70">
        <f>'Normalization Factors'!N91</f>
        <v>0.003966096732</v>
      </c>
      <c r="I7" s="70">
        <f>'Normalization Factors'!O91</f>
        <v>0.004205719168</v>
      </c>
      <c r="J7" s="70">
        <f>'Normalization Factors'!P91</f>
        <v>0.004141687943</v>
      </c>
      <c r="K7" s="70" t="str">
        <f>'Normalization Factors'!Q91</f>
        <v/>
      </c>
      <c r="L7" s="70" t="str">
        <f>'Normalization Factors'!R91</f>
        <v/>
      </c>
      <c r="M7" s="70" t="str">
        <f>'Normalization Factors'!S91</f>
        <v/>
      </c>
      <c r="N7" s="70" t="str">
        <f>'Normalization Factors'!T91</f>
        <v/>
      </c>
      <c r="O7" s="70" t="str">
        <f>'Normalization Factors'!U91</f>
        <v/>
      </c>
      <c r="P7" s="70" t="str">
        <f>'Normalization Factors'!V91</f>
        <v/>
      </c>
      <c r="Q7" s="70" t="str">
        <f>'Normalization Factors'!W91</f>
        <v/>
      </c>
      <c r="R7" s="70" t="str">
        <f>'Normalization Factors'!X91</f>
        <v/>
      </c>
    </row>
    <row r="8" ht="12.75" customHeight="1">
      <c r="A8" s="64"/>
      <c r="B8" s="64"/>
      <c r="C8" s="64"/>
      <c r="D8" s="54"/>
      <c r="E8" s="25"/>
      <c r="F8" s="25"/>
      <c r="G8" s="25"/>
      <c r="H8" s="25"/>
      <c r="I8" s="25"/>
      <c r="J8" s="25"/>
      <c r="K8" s="25"/>
      <c r="L8" s="25"/>
      <c r="M8" s="25"/>
      <c r="N8" s="25"/>
      <c r="O8" s="25"/>
      <c r="P8" s="25"/>
      <c r="Q8" s="25"/>
      <c r="R8" s="25"/>
    </row>
    <row r="9" ht="12.75" customHeight="1">
      <c r="B9" s="71" t="s">
        <v>76</v>
      </c>
      <c r="C9" s="71" t="s">
        <v>77</v>
      </c>
      <c r="D9" s="71" t="s">
        <v>78</v>
      </c>
      <c r="E9" s="71" t="s">
        <v>79</v>
      </c>
      <c r="F9" s="71" t="s">
        <v>80</v>
      </c>
      <c r="G9" s="71" t="s">
        <v>81</v>
      </c>
      <c r="H9" s="71" t="s">
        <v>82</v>
      </c>
      <c r="I9" s="71" t="s">
        <v>83</v>
      </c>
      <c r="J9" s="71" t="s">
        <v>84</v>
      </c>
      <c r="K9" s="71" t="s">
        <v>85</v>
      </c>
      <c r="L9" s="71" t="s">
        <v>67</v>
      </c>
      <c r="M9" s="71" t="s">
        <v>68</v>
      </c>
      <c r="N9" s="67" t="s">
        <v>69</v>
      </c>
      <c r="O9" s="67" t="s">
        <v>70</v>
      </c>
      <c r="P9" s="67" t="s">
        <v>71</v>
      </c>
      <c r="Q9" s="67" t="s">
        <v>72</v>
      </c>
      <c r="R9" s="67" t="s">
        <v>73</v>
      </c>
    </row>
    <row r="10" ht="12.75" customHeight="1">
      <c r="A10" s="72" t="s">
        <v>86</v>
      </c>
      <c r="C10" s="25"/>
    </row>
    <row r="11" ht="12.75" customHeight="1">
      <c r="A11" s="65" t="s">
        <v>87</v>
      </c>
      <c r="C11" s="25"/>
    </row>
    <row r="12" ht="12.75" customHeight="1">
      <c r="A12" s="25" t="s">
        <v>88</v>
      </c>
      <c r="B12" s="73">
        <f t="shared" ref="B12:R12" si="1">SUM(B45:B51)</f>
        <v>26957.76688</v>
      </c>
      <c r="C12" s="73">
        <f t="shared" si="1"/>
        <v>28036.61048</v>
      </c>
      <c r="D12" s="73">
        <f t="shared" si="1"/>
        <v>25290.94891</v>
      </c>
      <c r="E12" s="73">
        <f t="shared" si="1"/>
        <v>16689.18785</v>
      </c>
      <c r="F12" s="73">
        <f t="shared" si="1"/>
        <v>14505.27844</v>
      </c>
      <c r="G12" s="73">
        <f t="shared" si="1"/>
        <v>14253.40041</v>
      </c>
      <c r="H12" s="73">
        <f t="shared" si="1"/>
        <v>9638.838209</v>
      </c>
      <c r="I12" s="73">
        <f t="shared" si="1"/>
        <v>10326.03546</v>
      </c>
      <c r="J12" s="73">
        <f t="shared" si="1"/>
        <v>10122.7901</v>
      </c>
      <c r="K12" s="73">
        <f t="shared" si="1"/>
        <v>8935.490203</v>
      </c>
      <c r="L12" s="73">
        <f t="shared" si="1"/>
        <v>8023.939153</v>
      </c>
      <c r="M12" s="73">
        <f t="shared" si="1"/>
        <v>7855.264635</v>
      </c>
      <c r="N12" s="73">
        <f t="shared" si="1"/>
        <v>7874.422548</v>
      </c>
      <c r="O12" s="73">
        <f t="shared" si="1"/>
        <v>6903.460714</v>
      </c>
      <c r="P12" s="73">
        <f t="shared" si="1"/>
        <v>8547.24293</v>
      </c>
      <c r="Q12" s="73">
        <f t="shared" si="1"/>
        <v>7956.470922</v>
      </c>
      <c r="R12" s="73">
        <f t="shared" si="1"/>
        <v>6180.855532</v>
      </c>
    </row>
    <row r="13" ht="12.75" customHeight="1">
      <c r="A13" s="25" t="s">
        <v>89</v>
      </c>
      <c r="B13" s="73">
        <f t="shared" ref="B13:R13" si="2">SUM(B52)</f>
        <v>634.8</v>
      </c>
      <c r="C13" s="73">
        <f t="shared" si="2"/>
        <v>980.3</v>
      </c>
      <c r="D13" s="73">
        <f t="shared" si="2"/>
        <v>904.6</v>
      </c>
      <c r="E13" s="73">
        <f t="shared" si="2"/>
        <v>177.2</v>
      </c>
      <c r="F13" s="73">
        <f t="shared" si="2"/>
        <v>510.6</v>
      </c>
      <c r="G13" s="73">
        <f t="shared" si="2"/>
        <v>436.2</v>
      </c>
      <c r="H13" s="73">
        <f t="shared" si="2"/>
        <v>858.9</v>
      </c>
      <c r="I13" s="73">
        <f t="shared" si="2"/>
        <v>891.6</v>
      </c>
      <c r="J13" s="73">
        <f t="shared" si="2"/>
        <v>1261.4</v>
      </c>
      <c r="K13" s="73">
        <f t="shared" si="2"/>
        <v>1356.7</v>
      </c>
      <c r="L13" s="73">
        <f t="shared" si="2"/>
        <v>1619.2</v>
      </c>
      <c r="M13" s="73">
        <f t="shared" si="2"/>
        <v>1090.5</v>
      </c>
      <c r="N13" s="73">
        <f t="shared" si="2"/>
        <v>469.3</v>
      </c>
      <c r="O13" s="73">
        <f t="shared" si="2"/>
        <v>174.1</v>
      </c>
      <c r="P13" s="73">
        <f t="shared" si="2"/>
        <v>0</v>
      </c>
      <c r="Q13" s="73">
        <f t="shared" si="2"/>
        <v>0</v>
      </c>
      <c r="R13" s="73">
        <f t="shared" si="2"/>
        <v>0</v>
      </c>
    </row>
    <row r="14" ht="12.75" customHeight="1">
      <c r="A14" s="25" t="s">
        <v>90</v>
      </c>
      <c r="B14" s="73">
        <f t="shared" ref="B14:R14" si="3">SUM(B53:B54)</f>
        <v>1825.970435</v>
      </c>
      <c r="C14" s="73">
        <f t="shared" si="3"/>
        <v>2221.870575</v>
      </c>
      <c r="D14" s="73">
        <f t="shared" si="3"/>
        <v>1866.374846</v>
      </c>
      <c r="E14" s="73">
        <f t="shared" si="3"/>
        <v>1969.563235</v>
      </c>
      <c r="F14" s="73">
        <f t="shared" si="3"/>
        <v>2571.195285</v>
      </c>
      <c r="G14" s="73">
        <f t="shared" si="3"/>
        <v>2854.77697</v>
      </c>
      <c r="H14" s="73">
        <f t="shared" si="3"/>
        <v>3167.169598</v>
      </c>
      <c r="I14" s="73">
        <f t="shared" si="3"/>
        <v>3835.498766</v>
      </c>
      <c r="J14" s="73">
        <f t="shared" si="3"/>
        <v>3622.14167</v>
      </c>
      <c r="K14" s="73">
        <f t="shared" si="3"/>
        <v>3429.090687</v>
      </c>
      <c r="L14" s="73">
        <f t="shared" si="3"/>
        <v>4010.002288</v>
      </c>
      <c r="M14" s="73">
        <f t="shared" si="3"/>
        <v>4028.108085</v>
      </c>
      <c r="N14" s="73">
        <f t="shared" si="3"/>
        <v>4193.880358</v>
      </c>
      <c r="O14" s="73">
        <f t="shared" si="3"/>
        <v>2633.648966</v>
      </c>
      <c r="P14" s="73">
        <f t="shared" si="3"/>
        <v>2633.648966</v>
      </c>
      <c r="Q14" s="73">
        <f t="shared" si="3"/>
        <v>3131.248966</v>
      </c>
      <c r="R14" s="73">
        <f t="shared" si="3"/>
        <v>3832.412518</v>
      </c>
    </row>
    <row r="15" ht="12.75" customHeight="1">
      <c r="A15" s="25" t="s">
        <v>91</v>
      </c>
      <c r="B15" s="73"/>
      <c r="C15" s="73"/>
      <c r="D15" s="73"/>
      <c r="E15" s="73"/>
      <c r="F15" s="73"/>
      <c r="G15" s="73"/>
      <c r="H15" s="73"/>
      <c r="I15" s="73"/>
      <c r="J15" s="73"/>
      <c r="K15" s="74">
        <v>0.0</v>
      </c>
      <c r="L15" s="74">
        <v>13020.1</v>
      </c>
      <c r="M15" s="74">
        <v>12340.9</v>
      </c>
      <c r="N15" s="74">
        <v>11904.6</v>
      </c>
      <c r="O15" s="74">
        <v>9078.2</v>
      </c>
      <c r="P15" s="74"/>
      <c r="Q15" s="74" t="str">
        <f>Offsets!Q9</f>
        <v/>
      </c>
      <c r="R15" s="74" t="str">
        <f>Offsets!R9</f>
        <v/>
      </c>
    </row>
    <row r="16" ht="12.75" customHeight="1">
      <c r="A16" s="25" t="s">
        <v>92</v>
      </c>
      <c r="B16" s="75">
        <f>Offsets!B11</f>
        <v>864.59</v>
      </c>
      <c r="C16" s="75">
        <f>Offsets!C11</f>
        <v>595.12</v>
      </c>
      <c r="D16" s="75">
        <f>Offsets!D11</f>
        <v>660.09</v>
      </c>
      <c r="E16" s="75">
        <f>Offsets!E11</f>
        <v>539.6</v>
      </c>
      <c r="F16" s="75">
        <f>Offsets!F11</f>
        <v>551.48</v>
      </c>
      <c r="G16" s="75">
        <f>Offsets!G11</f>
        <v>551.37</v>
      </c>
      <c r="H16" s="75">
        <f>Offsets!H11</f>
        <v>551.2</v>
      </c>
      <c r="I16" s="75">
        <f>Offsets!I11</f>
        <v>644.57</v>
      </c>
      <c r="J16" s="75">
        <f>Offsets!J11</f>
        <v>645.88</v>
      </c>
      <c r="K16" s="75">
        <f>Offsets!K10</f>
        <v>634</v>
      </c>
      <c r="L16" s="75">
        <f>Offsets!L10</f>
        <v>633</v>
      </c>
      <c r="M16" s="75">
        <v>633.0</v>
      </c>
      <c r="N16" s="75">
        <v>633.0</v>
      </c>
      <c r="O16" s="75">
        <v>633.0</v>
      </c>
      <c r="P16" s="75">
        <v>0.0</v>
      </c>
      <c r="Q16" s="75">
        <v>0.0</v>
      </c>
      <c r="R16" s="75">
        <v>0.0</v>
      </c>
    </row>
    <row r="17" ht="12.75" customHeight="1">
      <c r="A17" s="76" t="s">
        <v>93</v>
      </c>
      <c r="B17" s="77">
        <f t="shared" ref="B17:E17" si="4">(SUM(B12:B14))-B56</f>
        <v>28553.94732</v>
      </c>
      <c r="C17" s="77">
        <f t="shared" si="4"/>
        <v>30643.66106</v>
      </c>
      <c r="D17" s="77">
        <f t="shared" si="4"/>
        <v>27401.83375</v>
      </c>
      <c r="E17" s="77">
        <f t="shared" si="4"/>
        <v>18296.35109</v>
      </c>
      <c r="F17" s="77">
        <f t="shared" ref="F17:J17" si="5">(SUM(F12:F14))-F16</f>
        <v>17035.59372</v>
      </c>
      <c r="G17" s="77">
        <f t="shared" si="5"/>
        <v>16993.00738</v>
      </c>
      <c r="H17" s="77">
        <f t="shared" si="5"/>
        <v>13113.70781</v>
      </c>
      <c r="I17" s="77">
        <f t="shared" si="5"/>
        <v>14408.56423</v>
      </c>
      <c r="J17" s="77">
        <f t="shared" si="5"/>
        <v>14360.45177</v>
      </c>
      <c r="K17" s="77">
        <f t="shared" ref="K17:R17" si="6">(SUM(K12:K14))-K16-K15</f>
        <v>13087.28089</v>
      </c>
      <c r="L17" s="77">
        <f t="shared" si="6"/>
        <v>0.04144094192</v>
      </c>
      <c r="M17" s="77">
        <f t="shared" si="6"/>
        <v>-0.02728024417</v>
      </c>
      <c r="N17" s="77">
        <f t="shared" si="6"/>
        <v>0.002905852934</v>
      </c>
      <c r="O17" s="77">
        <f t="shared" si="6"/>
        <v>0.00967939269</v>
      </c>
      <c r="P17" s="77">
        <f t="shared" si="6"/>
        <v>11180.8919</v>
      </c>
      <c r="Q17" s="77">
        <f t="shared" si="6"/>
        <v>11087.71989</v>
      </c>
      <c r="R17" s="77">
        <f t="shared" si="6"/>
        <v>10013.26805</v>
      </c>
    </row>
    <row r="18" ht="12.75" customHeight="1">
      <c r="A18" s="47"/>
      <c r="B18" s="78"/>
      <c r="C18" s="78"/>
      <c r="D18" s="78"/>
      <c r="E18" s="78"/>
      <c r="F18" s="78"/>
      <c r="G18" s="78"/>
      <c r="H18" s="78"/>
      <c r="I18" s="78"/>
      <c r="J18" s="78"/>
      <c r="K18" s="78"/>
      <c r="L18" s="78"/>
      <c r="M18" s="78"/>
      <c r="N18" s="78"/>
      <c r="O18" s="78"/>
      <c r="P18" s="78"/>
      <c r="Q18" s="78"/>
      <c r="R18" s="78"/>
    </row>
    <row r="19" ht="12.75" customHeight="1">
      <c r="A19" s="65" t="s">
        <v>94</v>
      </c>
      <c r="C19" s="25"/>
    </row>
    <row r="20" ht="12.75" customHeight="1">
      <c r="A20" s="25" t="s">
        <v>88</v>
      </c>
      <c r="B20" s="79">
        <f t="shared" ref="B20:R20" si="7">B12/(SUM(B12:B14))</f>
        <v>0.9163530665</v>
      </c>
      <c r="C20" s="79">
        <f t="shared" si="7"/>
        <v>0.8974937412</v>
      </c>
      <c r="D20" s="79">
        <f t="shared" si="7"/>
        <v>0.9012549934</v>
      </c>
      <c r="E20" s="79">
        <f t="shared" si="7"/>
        <v>0.8860284131</v>
      </c>
      <c r="F20" s="79">
        <f t="shared" si="7"/>
        <v>0.8247692974</v>
      </c>
      <c r="G20" s="79">
        <f t="shared" si="7"/>
        <v>0.8124198484</v>
      </c>
      <c r="H20" s="79">
        <f t="shared" si="7"/>
        <v>0.7053716238</v>
      </c>
      <c r="I20" s="79">
        <f t="shared" si="7"/>
        <v>0.6859724564</v>
      </c>
      <c r="J20" s="79">
        <f t="shared" si="7"/>
        <v>0.6745679262</v>
      </c>
      <c r="K20" s="79">
        <f t="shared" si="7"/>
        <v>0.6512139992</v>
      </c>
      <c r="L20" s="79">
        <f t="shared" si="7"/>
        <v>0.5876991158</v>
      </c>
      <c r="M20" s="79">
        <f t="shared" si="7"/>
        <v>0.6054679898</v>
      </c>
      <c r="N20" s="79">
        <f t="shared" si="7"/>
        <v>0.62806444</v>
      </c>
      <c r="O20" s="79">
        <f t="shared" si="7"/>
        <v>0.7108754668</v>
      </c>
      <c r="P20" s="79">
        <f t="shared" si="7"/>
        <v>0.7644509051</v>
      </c>
      <c r="Q20" s="79">
        <f t="shared" si="7"/>
        <v>0.7175930671</v>
      </c>
      <c r="R20" s="79">
        <f t="shared" si="7"/>
        <v>0.6172665609</v>
      </c>
    </row>
    <row r="21" ht="12.75" customHeight="1">
      <c r="A21" s="25" t="s">
        <v>89</v>
      </c>
      <c r="B21" s="79">
        <f t="shared" ref="B21:R21" si="8">B13/(SUM(B12:B14))</f>
        <v>0.02157823121</v>
      </c>
      <c r="C21" s="79">
        <f t="shared" si="8"/>
        <v>0.03138086593</v>
      </c>
      <c r="D21" s="79">
        <f t="shared" si="8"/>
        <v>0.03223585126</v>
      </c>
      <c r="E21" s="79">
        <f t="shared" si="8"/>
        <v>0.009407541949</v>
      </c>
      <c r="F21" s="79">
        <f t="shared" si="8"/>
        <v>0.02903268662</v>
      </c>
      <c r="G21" s="79">
        <f t="shared" si="8"/>
        <v>0.02486266628</v>
      </c>
      <c r="H21" s="79">
        <f t="shared" si="8"/>
        <v>0.06285443064</v>
      </c>
      <c r="I21" s="79">
        <f t="shared" si="8"/>
        <v>0.05923018997</v>
      </c>
      <c r="J21" s="79">
        <f t="shared" si="8"/>
        <v>0.08405785098</v>
      </c>
      <c r="K21" s="79">
        <f t="shared" si="8"/>
        <v>0.09887560869</v>
      </c>
      <c r="L21" s="79">
        <f t="shared" si="8"/>
        <v>0.1185954168</v>
      </c>
      <c r="M21" s="79">
        <f t="shared" si="8"/>
        <v>0.08405354543</v>
      </c>
      <c r="N21" s="79">
        <f t="shared" si="8"/>
        <v>0.03743139765</v>
      </c>
      <c r="O21" s="79">
        <f t="shared" si="8"/>
        <v>0.01792773565</v>
      </c>
      <c r="P21" s="79">
        <f t="shared" si="8"/>
        <v>0</v>
      </c>
      <c r="Q21" s="79">
        <f t="shared" si="8"/>
        <v>0</v>
      </c>
      <c r="R21" s="79">
        <f t="shared" si="8"/>
        <v>0</v>
      </c>
    </row>
    <row r="22" ht="12.75" customHeight="1">
      <c r="A22" s="25" t="s">
        <v>90</v>
      </c>
      <c r="B22" s="79">
        <f t="shared" ref="B22:R22" si="9">B14/(SUM(B12:B14))</f>
        <v>0.06206870233</v>
      </c>
      <c r="C22" s="79">
        <f t="shared" si="9"/>
        <v>0.07112539287</v>
      </c>
      <c r="D22" s="79">
        <f t="shared" si="9"/>
        <v>0.06650915536</v>
      </c>
      <c r="E22" s="79">
        <f t="shared" si="9"/>
        <v>0.1045640449</v>
      </c>
      <c r="F22" s="79">
        <f t="shared" si="9"/>
        <v>0.146198016</v>
      </c>
      <c r="G22" s="79">
        <f t="shared" si="9"/>
        <v>0.1627174853</v>
      </c>
      <c r="H22" s="79">
        <f t="shared" si="9"/>
        <v>0.2317739455</v>
      </c>
      <c r="I22" s="79">
        <f t="shared" si="9"/>
        <v>0.2547973537</v>
      </c>
      <c r="J22" s="79">
        <f t="shared" si="9"/>
        <v>0.2413742229</v>
      </c>
      <c r="K22" s="79">
        <f t="shared" si="9"/>
        <v>0.2499103921</v>
      </c>
      <c r="L22" s="79">
        <f t="shared" si="9"/>
        <v>0.2937054674</v>
      </c>
      <c r="M22" s="79">
        <f t="shared" si="9"/>
        <v>0.3104784648</v>
      </c>
      <c r="N22" s="79">
        <f t="shared" si="9"/>
        <v>0.3345041624</v>
      </c>
      <c r="O22" s="79">
        <f t="shared" si="9"/>
        <v>0.2711967976</v>
      </c>
      <c r="P22" s="79">
        <f t="shared" si="9"/>
        <v>0.2355490949</v>
      </c>
      <c r="Q22" s="79">
        <f t="shared" si="9"/>
        <v>0.2824069329</v>
      </c>
      <c r="R22" s="79">
        <f t="shared" si="9"/>
        <v>0.3827334391</v>
      </c>
    </row>
    <row r="23" ht="12.75" customHeight="1">
      <c r="A23" s="76" t="s">
        <v>93</v>
      </c>
      <c r="B23" s="80">
        <f t="shared" ref="B23:R23" si="10">SUM(B20:B22)</f>
        <v>1</v>
      </c>
      <c r="C23" s="80">
        <f t="shared" si="10"/>
        <v>1</v>
      </c>
      <c r="D23" s="80">
        <f t="shared" si="10"/>
        <v>1</v>
      </c>
      <c r="E23" s="80">
        <f t="shared" si="10"/>
        <v>1</v>
      </c>
      <c r="F23" s="80">
        <f t="shared" si="10"/>
        <v>1</v>
      </c>
      <c r="G23" s="80">
        <f t="shared" si="10"/>
        <v>1</v>
      </c>
      <c r="H23" s="80">
        <f t="shared" si="10"/>
        <v>1</v>
      </c>
      <c r="I23" s="80">
        <f t="shared" si="10"/>
        <v>1</v>
      </c>
      <c r="J23" s="80">
        <f t="shared" si="10"/>
        <v>1</v>
      </c>
      <c r="K23" s="80">
        <f t="shared" si="10"/>
        <v>1</v>
      </c>
      <c r="L23" s="80">
        <f t="shared" si="10"/>
        <v>1</v>
      </c>
      <c r="M23" s="80">
        <f t="shared" si="10"/>
        <v>1</v>
      </c>
      <c r="N23" s="80">
        <f t="shared" si="10"/>
        <v>1</v>
      </c>
      <c r="O23" s="80">
        <f t="shared" si="10"/>
        <v>1</v>
      </c>
      <c r="P23" s="80">
        <f t="shared" si="10"/>
        <v>1</v>
      </c>
      <c r="Q23" s="80">
        <f t="shared" si="10"/>
        <v>1</v>
      </c>
      <c r="R23" s="80">
        <f t="shared" si="10"/>
        <v>1</v>
      </c>
    </row>
    <row r="24" ht="12.75" customHeight="1">
      <c r="A24" s="47"/>
      <c r="B24" s="81"/>
      <c r="C24" s="81"/>
      <c r="D24" s="81"/>
      <c r="E24" s="81"/>
      <c r="F24" s="81"/>
    </row>
    <row r="25" ht="12.75" customHeight="1">
      <c r="A25" s="72" t="s">
        <v>95</v>
      </c>
      <c r="B25" s="67" t="s">
        <v>57</v>
      </c>
      <c r="C25" s="67" t="s">
        <v>58</v>
      </c>
      <c r="D25" s="67" t="s">
        <v>59</v>
      </c>
      <c r="E25" s="67" t="s">
        <v>60</v>
      </c>
      <c r="F25" s="67" t="s">
        <v>61</v>
      </c>
      <c r="G25" s="67" t="s">
        <v>62</v>
      </c>
      <c r="H25" s="67" t="s">
        <v>63</v>
      </c>
      <c r="I25" s="67" t="s">
        <v>64</v>
      </c>
      <c r="J25" s="67" t="s">
        <v>65</v>
      </c>
      <c r="K25" s="67" t="s">
        <v>66</v>
      </c>
      <c r="L25" s="67" t="s">
        <v>67</v>
      </c>
      <c r="M25" s="67" t="s">
        <v>68</v>
      </c>
      <c r="N25" s="67" t="s">
        <v>69</v>
      </c>
      <c r="O25" s="67" t="s">
        <v>70</v>
      </c>
      <c r="P25" s="67" t="s">
        <v>71</v>
      </c>
      <c r="Q25" s="67" t="s">
        <v>72</v>
      </c>
      <c r="R25" s="67" t="s">
        <v>73</v>
      </c>
    </row>
    <row r="26" ht="12.75" customHeight="1">
      <c r="A26" s="65" t="s">
        <v>87</v>
      </c>
      <c r="B26" s="25"/>
      <c r="C26" s="25"/>
    </row>
    <row r="27" ht="12.75" customHeight="1">
      <c r="A27" s="25" t="s">
        <v>96</v>
      </c>
      <c r="B27" s="73">
        <f t="shared" ref="B27:R27" si="11">SUM(B45:B49)</f>
        <v>26591.66688</v>
      </c>
      <c r="C27" s="73">
        <f t="shared" si="11"/>
        <v>27644.11048</v>
      </c>
      <c r="D27" s="73">
        <f t="shared" si="11"/>
        <v>24864.34891</v>
      </c>
      <c r="E27" s="73">
        <f t="shared" si="11"/>
        <v>16350.78785</v>
      </c>
      <c r="F27" s="73">
        <f t="shared" si="11"/>
        <v>14094.57844</v>
      </c>
      <c r="G27" s="73">
        <f t="shared" si="11"/>
        <v>13896.30041</v>
      </c>
      <c r="H27" s="73">
        <f t="shared" si="11"/>
        <v>9268.738209</v>
      </c>
      <c r="I27" s="73">
        <f t="shared" si="11"/>
        <v>9927.835463</v>
      </c>
      <c r="J27" s="73">
        <f t="shared" si="11"/>
        <v>9722.990104</v>
      </c>
      <c r="K27" s="73">
        <f t="shared" si="11"/>
        <v>8593.590203</v>
      </c>
      <c r="L27" s="73">
        <f t="shared" si="11"/>
        <v>7679.539153</v>
      </c>
      <c r="M27" s="73">
        <f t="shared" si="11"/>
        <v>7518.764635</v>
      </c>
      <c r="N27" s="73">
        <f t="shared" si="11"/>
        <v>7565.022548</v>
      </c>
      <c r="O27" s="73">
        <f t="shared" si="11"/>
        <v>6672.960714</v>
      </c>
      <c r="P27" s="73">
        <f t="shared" si="11"/>
        <v>8312.14293</v>
      </c>
      <c r="Q27" s="73">
        <f t="shared" si="11"/>
        <v>7696.570922</v>
      </c>
      <c r="R27" s="73">
        <f t="shared" si="11"/>
        <v>5944.855532</v>
      </c>
    </row>
    <row r="28" ht="12.75" customHeight="1">
      <c r="A28" s="25" t="s">
        <v>97</v>
      </c>
      <c r="B28" s="73">
        <f t="shared" ref="B28:R28" si="12">SUM(B50:B51)</f>
        <v>366.1</v>
      </c>
      <c r="C28" s="73">
        <f t="shared" si="12"/>
        <v>392.5</v>
      </c>
      <c r="D28" s="73">
        <f t="shared" si="12"/>
        <v>426.6</v>
      </c>
      <c r="E28" s="73">
        <f t="shared" si="12"/>
        <v>338.4</v>
      </c>
      <c r="F28" s="73">
        <f t="shared" si="12"/>
        <v>410.7</v>
      </c>
      <c r="G28" s="73">
        <f t="shared" si="12"/>
        <v>357.1</v>
      </c>
      <c r="H28" s="73">
        <f t="shared" si="12"/>
        <v>370.1</v>
      </c>
      <c r="I28" s="73">
        <f t="shared" si="12"/>
        <v>398.2</v>
      </c>
      <c r="J28" s="73">
        <f t="shared" si="12"/>
        <v>399.8</v>
      </c>
      <c r="K28" s="73">
        <f t="shared" si="12"/>
        <v>341.9</v>
      </c>
      <c r="L28" s="73">
        <f t="shared" si="12"/>
        <v>344.4</v>
      </c>
      <c r="M28" s="73">
        <f t="shared" si="12"/>
        <v>336.5</v>
      </c>
      <c r="N28" s="73">
        <f t="shared" si="12"/>
        <v>309.4</v>
      </c>
      <c r="O28" s="73">
        <f t="shared" si="12"/>
        <v>230.5</v>
      </c>
      <c r="P28" s="73">
        <f t="shared" si="12"/>
        <v>235.1</v>
      </c>
      <c r="Q28" s="73">
        <f t="shared" si="12"/>
        <v>259.9</v>
      </c>
      <c r="R28" s="73">
        <f t="shared" si="12"/>
        <v>236</v>
      </c>
    </row>
    <row r="29" ht="12.75" customHeight="1">
      <c r="A29" s="25" t="s">
        <v>98</v>
      </c>
      <c r="B29" s="73">
        <f t="shared" ref="B29:R29" si="13">B52</f>
        <v>634.8</v>
      </c>
      <c r="C29" s="73">
        <f t="shared" si="13"/>
        <v>980.3</v>
      </c>
      <c r="D29" s="73">
        <f t="shared" si="13"/>
        <v>904.6</v>
      </c>
      <c r="E29" s="73">
        <f t="shared" si="13"/>
        <v>177.2</v>
      </c>
      <c r="F29" s="73">
        <f t="shared" si="13"/>
        <v>510.6</v>
      </c>
      <c r="G29" s="73">
        <f t="shared" si="13"/>
        <v>436.2</v>
      </c>
      <c r="H29" s="73">
        <f t="shared" si="13"/>
        <v>858.9</v>
      </c>
      <c r="I29" s="73">
        <f t="shared" si="13"/>
        <v>891.6</v>
      </c>
      <c r="J29" s="73">
        <f t="shared" si="13"/>
        <v>1261.4</v>
      </c>
      <c r="K29" s="73">
        <f t="shared" si="13"/>
        <v>1356.7</v>
      </c>
      <c r="L29" s="73">
        <f t="shared" si="13"/>
        <v>1619.2</v>
      </c>
      <c r="M29" s="73">
        <f t="shared" si="13"/>
        <v>1090.5</v>
      </c>
      <c r="N29" s="73">
        <f t="shared" si="13"/>
        <v>469.3</v>
      </c>
      <c r="O29" s="73">
        <f t="shared" si="13"/>
        <v>174.1</v>
      </c>
      <c r="P29" s="73">
        <f t="shared" si="13"/>
        <v>0</v>
      </c>
      <c r="Q29" s="73">
        <f t="shared" si="13"/>
        <v>0</v>
      </c>
      <c r="R29" s="73" t="str">
        <f t="shared" si="13"/>
        <v/>
      </c>
    </row>
    <row r="30" ht="12.75" customHeight="1">
      <c r="A30" s="25" t="s">
        <v>99</v>
      </c>
      <c r="B30" s="73">
        <f t="shared" ref="B30:R30" si="14">B53</f>
        <v>1688.7</v>
      </c>
      <c r="C30" s="73">
        <f t="shared" si="14"/>
        <v>1937.2</v>
      </c>
      <c r="D30" s="73">
        <f t="shared" si="14"/>
        <v>1667.2</v>
      </c>
      <c r="E30" s="73">
        <f t="shared" si="14"/>
        <v>1820.3</v>
      </c>
      <c r="F30" s="73">
        <f t="shared" si="14"/>
        <v>2366.7</v>
      </c>
      <c r="G30" s="73">
        <f t="shared" si="14"/>
        <v>2671.6</v>
      </c>
      <c r="H30" s="73">
        <f t="shared" si="14"/>
        <v>3014.3</v>
      </c>
      <c r="I30" s="73">
        <f t="shared" si="14"/>
        <v>3693.9</v>
      </c>
      <c r="J30" s="73">
        <f t="shared" si="14"/>
        <v>3466.9</v>
      </c>
      <c r="K30" s="73">
        <f t="shared" si="14"/>
        <v>3294.5</v>
      </c>
      <c r="L30" s="73">
        <f t="shared" si="14"/>
        <v>3872.3</v>
      </c>
      <c r="M30" s="73">
        <f t="shared" si="14"/>
        <v>3888.4</v>
      </c>
      <c r="N30" s="73">
        <f t="shared" si="14"/>
        <v>4074.9</v>
      </c>
      <c r="O30" s="73">
        <f t="shared" si="14"/>
        <v>2515</v>
      </c>
      <c r="P30" s="73">
        <f t="shared" si="14"/>
        <v>2515</v>
      </c>
      <c r="Q30" s="73">
        <f t="shared" si="14"/>
        <v>3012.6</v>
      </c>
      <c r="R30" s="73">
        <f t="shared" si="14"/>
        <v>3667.7</v>
      </c>
    </row>
    <row r="31" ht="12.75" customHeight="1">
      <c r="A31" s="25" t="s">
        <v>100</v>
      </c>
      <c r="B31" s="73">
        <f t="shared" ref="B31:R31" si="15">B54</f>
        <v>137.2704355</v>
      </c>
      <c r="C31" s="73">
        <f t="shared" si="15"/>
        <v>284.6705753</v>
      </c>
      <c r="D31" s="73">
        <f t="shared" si="15"/>
        <v>199.1748464</v>
      </c>
      <c r="E31" s="73">
        <f t="shared" si="15"/>
        <v>149.2632355</v>
      </c>
      <c r="F31" s="73">
        <f t="shared" si="15"/>
        <v>204.4952849</v>
      </c>
      <c r="G31" s="73">
        <f t="shared" si="15"/>
        <v>183.1769699</v>
      </c>
      <c r="H31" s="73">
        <f t="shared" si="15"/>
        <v>152.8695977</v>
      </c>
      <c r="I31" s="73">
        <f t="shared" si="15"/>
        <v>141.5987658</v>
      </c>
      <c r="J31" s="73">
        <f t="shared" si="15"/>
        <v>155.2416701</v>
      </c>
      <c r="K31" s="73">
        <f t="shared" si="15"/>
        <v>134.5906873</v>
      </c>
      <c r="L31" s="73">
        <f t="shared" si="15"/>
        <v>137.7022881</v>
      </c>
      <c r="M31" s="73">
        <f t="shared" si="15"/>
        <v>139.7080846</v>
      </c>
      <c r="N31" s="73">
        <f t="shared" si="15"/>
        <v>118.9803583</v>
      </c>
      <c r="O31" s="73">
        <f t="shared" si="15"/>
        <v>118.6489658</v>
      </c>
      <c r="P31" s="73">
        <f t="shared" si="15"/>
        <v>118.6489658</v>
      </c>
      <c r="Q31" s="73">
        <f t="shared" si="15"/>
        <v>118.6489658</v>
      </c>
      <c r="R31" s="73">
        <f t="shared" si="15"/>
        <v>164.7125178</v>
      </c>
    </row>
    <row r="32" ht="12.75" customHeight="1">
      <c r="A32" s="25" t="s">
        <v>101</v>
      </c>
      <c r="B32" s="73"/>
      <c r="C32" s="73"/>
      <c r="D32" s="73"/>
      <c r="E32" s="73"/>
      <c r="F32" s="73"/>
      <c r="G32" s="73"/>
      <c r="H32" s="73"/>
      <c r="I32" s="73"/>
      <c r="J32" s="73"/>
      <c r="K32" s="74">
        <f>Offsets!K9</f>
        <v>13011.88</v>
      </c>
      <c r="L32" s="74" t="str">
        <f>Offsets!L9</f>
        <v/>
      </c>
      <c r="M32" s="74" t="str">
        <f>Offsets!M9</f>
        <v/>
      </c>
      <c r="N32" s="74" t="str">
        <f>Offsets!N9</f>
        <v/>
      </c>
      <c r="O32" s="74" t="str">
        <f>Offsets!O9</f>
        <v/>
      </c>
      <c r="P32" s="74" t="str">
        <f>Offsets!P9</f>
        <v/>
      </c>
      <c r="Q32" s="74" t="str">
        <f>Offsets!Q9</f>
        <v/>
      </c>
      <c r="R32" s="74" t="str">
        <f>Offsets!R9</f>
        <v/>
      </c>
    </row>
    <row r="33" ht="12.75" customHeight="1">
      <c r="A33" s="25" t="s">
        <v>102</v>
      </c>
      <c r="B33" s="75">
        <f>Offsets!B11</f>
        <v>864.59</v>
      </c>
      <c r="C33" s="75">
        <f>Offsets!C11</f>
        <v>595.12</v>
      </c>
      <c r="D33" s="75">
        <f>Offsets!D11</f>
        <v>660.09</v>
      </c>
      <c r="E33" s="75">
        <f>Offsets!E11</f>
        <v>539.6</v>
      </c>
      <c r="F33" s="75">
        <f>Offsets!F11</f>
        <v>551.48</v>
      </c>
      <c r="G33" s="75">
        <f>Offsets!G11</f>
        <v>551.37</v>
      </c>
      <c r="H33" s="75">
        <f>Offsets!H11</f>
        <v>551.2</v>
      </c>
      <c r="I33" s="75">
        <f>Offsets!I11</f>
        <v>644.57</v>
      </c>
      <c r="J33" s="75">
        <f>Offsets!J11</f>
        <v>645.88</v>
      </c>
      <c r="K33" s="75">
        <f>Offsets!K10</f>
        <v>634</v>
      </c>
      <c r="L33" s="75">
        <f>Offsets!L10</f>
        <v>633</v>
      </c>
      <c r="M33" s="75">
        <v>633.0</v>
      </c>
      <c r="N33" s="75">
        <v>633.0</v>
      </c>
      <c r="O33" s="75">
        <v>633.0</v>
      </c>
      <c r="P33" s="75">
        <v>0.0</v>
      </c>
      <c r="Q33" s="75">
        <v>0.0</v>
      </c>
      <c r="R33" s="75">
        <v>0.0</v>
      </c>
    </row>
    <row r="34" ht="12.75" customHeight="1">
      <c r="A34" s="76" t="s">
        <v>103</v>
      </c>
      <c r="B34" s="77">
        <f t="shared" ref="B34:J34" si="16">SUM(B27:B31)-B33</f>
        <v>28553.94732</v>
      </c>
      <c r="C34" s="77">
        <f t="shared" si="16"/>
        <v>30643.66106</v>
      </c>
      <c r="D34" s="77">
        <f t="shared" si="16"/>
        <v>27401.83375</v>
      </c>
      <c r="E34" s="77">
        <f t="shared" si="16"/>
        <v>18296.35109</v>
      </c>
      <c r="F34" s="77">
        <f t="shared" si="16"/>
        <v>17035.59372</v>
      </c>
      <c r="G34" s="77">
        <f t="shared" si="16"/>
        <v>16993.00738</v>
      </c>
      <c r="H34" s="77">
        <f t="shared" si="16"/>
        <v>13113.70781</v>
      </c>
      <c r="I34" s="77">
        <f t="shared" si="16"/>
        <v>14408.56423</v>
      </c>
      <c r="J34" s="77">
        <f t="shared" si="16"/>
        <v>14360.45177</v>
      </c>
      <c r="K34" s="77">
        <f t="shared" ref="K34:R34" si="17">SUM(K27:K31)-K33-K32</f>
        <v>75.4008901</v>
      </c>
      <c r="L34" s="77">
        <f t="shared" si="17"/>
        <v>13020.14144</v>
      </c>
      <c r="M34" s="77">
        <f t="shared" si="17"/>
        <v>12340.87272</v>
      </c>
      <c r="N34" s="77">
        <f t="shared" si="17"/>
        <v>11904.60291</v>
      </c>
      <c r="O34" s="77">
        <f t="shared" si="17"/>
        <v>9078.209679</v>
      </c>
      <c r="P34" s="77">
        <f t="shared" si="17"/>
        <v>11180.8919</v>
      </c>
      <c r="Q34" s="77">
        <f t="shared" si="17"/>
        <v>11087.71989</v>
      </c>
      <c r="R34" s="77">
        <f t="shared" si="17"/>
        <v>10013.26805</v>
      </c>
    </row>
    <row r="35" ht="12.75" customHeight="1">
      <c r="A35" s="65" t="s">
        <v>94</v>
      </c>
      <c r="C35" s="25"/>
    </row>
    <row r="36" ht="12.75" customHeight="1">
      <c r="A36" s="25" t="s">
        <v>96</v>
      </c>
      <c r="B36" s="79">
        <f t="shared" ref="B36:R36" si="18">B27/(SUM(B27:B31))</f>
        <v>0.9039085321</v>
      </c>
      <c r="C36" s="79">
        <f t="shared" si="18"/>
        <v>0.8849292305</v>
      </c>
      <c r="D36" s="79">
        <f t="shared" si="18"/>
        <v>0.8860528995</v>
      </c>
      <c r="E36" s="79">
        <f t="shared" si="18"/>
        <v>0.8680627687</v>
      </c>
      <c r="F36" s="79">
        <f t="shared" si="18"/>
        <v>0.8014169191</v>
      </c>
      <c r="G36" s="79">
        <f t="shared" si="18"/>
        <v>0.792065749</v>
      </c>
      <c r="H36" s="79">
        <f t="shared" si="18"/>
        <v>0.6782876504</v>
      </c>
      <c r="I36" s="79">
        <f t="shared" si="18"/>
        <v>0.6595194936</v>
      </c>
      <c r="J36" s="79">
        <f t="shared" si="18"/>
        <v>0.6479258389</v>
      </c>
      <c r="K36" s="79">
        <f t="shared" si="18"/>
        <v>0.6262965004</v>
      </c>
      <c r="L36" s="79">
        <f t="shared" si="18"/>
        <v>0.5624741519</v>
      </c>
      <c r="M36" s="79">
        <f t="shared" si="18"/>
        <v>0.579531247</v>
      </c>
      <c r="N36" s="79">
        <f t="shared" si="18"/>
        <v>0.6033866764</v>
      </c>
      <c r="O36" s="79">
        <f t="shared" si="18"/>
        <v>0.6871400097</v>
      </c>
      <c r="P36" s="79">
        <f t="shared" si="18"/>
        <v>0.7434239601</v>
      </c>
      <c r="Q36" s="79">
        <f t="shared" si="18"/>
        <v>0.6941527203</v>
      </c>
      <c r="R36" s="79">
        <f t="shared" si="18"/>
        <v>0.593697832</v>
      </c>
    </row>
    <row r="37" ht="12.75" customHeight="1">
      <c r="A37" s="25" t="s">
        <v>97</v>
      </c>
      <c r="B37" s="79">
        <f t="shared" ref="B37:R37" si="19">B28/(SUM(B27:B31))</f>
        <v>0.01244453441</v>
      </c>
      <c r="C37" s="79">
        <f t="shared" si="19"/>
        <v>0.01256451074</v>
      </c>
      <c r="D37" s="79">
        <f t="shared" si="19"/>
        <v>0.0152020939</v>
      </c>
      <c r="E37" s="79">
        <f t="shared" si="19"/>
        <v>0.01796564444</v>
      </c>
      <c r="F37" s="79">
        <f t="shared" si="19"/>
        <v>0.02335237837</v>
      </c>
      <c r="G37" s="79">
        <f t="shared" si="19"/>
        <v>0.02035409933</v>
      </c>
      <c r="H37" s="79">
        <f t="shared" si="19"/>
        <v>0.02708397343</v>
      </c>
      <c r="I37" s="79">
        <f t="shared" si="19"/>
        <v>0.02645296281</v>
      </c>
      <c r="J37" s="79">
        <f t="shared" si="19"/>
        <v>0.02664208722</v>
      </c>
      <c r="K37" s="79">
        <f t="shared" si="19"/>
        <v>0.02491749879</v>
      </c>
      <c r="L37" s="79">
        <f t="shared" si="19"/>
        <v>0.0252249639</v>
      </c>
      <c r="M37" s="79">
        <f t="shared" si="19"/>
        <v>0.02593674281</v>
      </c>
      <c r="N37" s="79">
        <f t="shared" si="19"/>
        <v>0.02467776355</v>
      </c>
      <c r="O37" s="79">
        <f t="shared" si="19"/>
        <v>0.02373545702</v>
      </c>
      <c r="P37" s="79">
        <f t="shared" si="19"/>
        <v>0.02102694509</v>
      </c>
      <c r="Q37" s="79">
        <f t="shared" si="19"/>
        <v>0.02344034686</v>
      </c>
      <c r="R37" s="79">
        <f t="shared" si="19"/>
        <v>0.02356872889</v>
      </c>
    </row>
    <row r="38" ht="12.75" customHeight="1">
      <c r="A38" s="25" t="s">
        <v>98</v>
      </c>
      <c r="B38" s="79">
        <f t="shared" ref="B38:R38" si="20">B29/(SUM(B27:B31))</f>
        <v>0.02157823121</v>
      </c>
      <c r="C38" s="79">
        <f t="shared" si="20"/>
        <v>0.03138086593</v>
      </c>
      <c r="D38" s="79">
        <f t="shared" si="20"/>
        <v>0.03223585126</v>
      </c>
      <c r="E38" s="79">
        <f t="shared" si="20"/>
        <v>0.009407541949</v>
      </c>
      <c r="F38" s="79">
        <f t="shared" si="20"/>
        <v>0.02903268662</v>
      </c>
      <c r="G38" s="79">
        <f t="shared" si="20"/>
        <v>0.02486266628</v>
      </c>
      <c r="H38" s="79">
        <f t="shared" si="20"/>
        <v>0.06285443064</v>
      </c>
      <c r="I38" s="79">
        <f t="shared" si="20"/>
        <v>0.05923018997</v>
      </c>
      <c r="J38" s="79">
        <f t="shared" si="20"/>
        <v>0.08405785098</v>
      </c>
      <c r="K38" s="79">
        <f t="shared" si="20"/>
        <v>0.09887560869</v>
      </c>
      <c r="L38" s="79">
        <f t="shared" si="20"/>
        <v>0.1185954168</v>
      </c>
      <c r="M38" s="79">
        <f t="shared" si="20"/>
        <v>0.08405354543</v>
      </c>
      <c r="N38" s="79">
        <f t="shared" si="20"/>
        <v>0.03743139765</v>
      </c>
      <c r="O38" s="79">
        <f t="shared" si="20"/>
        <v>0.01792773565</v>
      </c>
      <c r="P38" s="79">
        <f t="shared" si="20"/>
        <v>0</v>
      </c>
      <c r="Q38" s="79">
        <f t="shared" si="20"/>
        <v>0</v>
      </c>
      <c r="R38" s="79">
        <f t="shared" si="20"/>
        <v>0</v>
      </c>
    </row>
    <row r="39" ht="12.75" customHeight="1">
      <c r="A39" s="25" t="s">
        <v>99</v>
      </c>
      <c r="B39" s="79">
        <f t="shared" ref="B39:R39" si="21">B30/(SUM(B27:B31))</f>
        <v>0.05740258198</v>
      </c>
      <c r="C39" s="79">
        <f t="shared" si="21"/>
        <v>0.06201266293</v>
      </c>
      <c r="D39" s="79">
        <f t="shared" si="21"/>
        <v>0.05941146497</v>
      </c>
      <c r="E39" s="79">
        <f t="shared" si="21"/>
        <v>0.09663966484</v>
      </c>
      <c r="F39" s="79">
        <f t="shared" si="21"/>
        <v>0.1345704258</v>
      </c>
      <c r="G39" s="79">
        <f t="shared" si="21"/>
        <v>0.1522767062</v>
      </c>
      <c r="H39" s="79">
        <f t="shared" si="21"/>
        <v>0.2205869255</v>
      </c>
      <c r="I39" s="79">
        <f t="shared" si="21"/>
        <v>0.2453907568</v>
      </c>
      <c r="J39" s="79">
        <f t="shared" si="21"/>
        <v>0.231029145</v>
      </c>
      <c r="K39" s="79">
        <f t="shared" si="21"/>
        <v>0.240101491</v>
      </c>
      <c r="L39" s="79">
        <f t="shared" si="21"/>
        <v>0.2836197088</v>
      </c>
      <c r="M39" s="79">
        <f t="shared" si="21"/>
        <v>0.2997100468</v>
      </c>
      <c r="N39" s="79">
        <f t="shared" si="21"/>
        <v>0.3250142815</v>
      </c>
      <c r="O39" s="79">
        <f t="shared" si="21"/>
        <v>0.2589790647</v>
      </c>
      <c r="P39" s="79">
        <f t="shared" si="21"/>
        <v>0.2249373327</v>
      </c>
      <c r="Q39" s="79">
        <f t="shared" si="21"/>
        <v>0.2717059982</v>
      </c>
      <c r="R39" s="79">
        <f t="shared" si="21"/>
        <v>0.3662840125</v>
      </c>
    </row>
    <row r="40" ht="12.75" customHeight="1">
      <c r="A40" s="25" t="s">
        <v>104</v>
      </c>
      <c r="B40" s="79">
        <f t="shared" ref="B40:R40" si="22">B31/(SUM(B27:B31))</f>
        <v>0.004666120345</v>
      </c>
      <c r="C40" s="79">
        <f t="shared" si="22"/>
        <v>0.009112729938</v>
      </c>
      <c r="D40" s="79">
        <f t="shared" si="22"/>
        <v>0.007097690385</v>
      </c>
      <c r="E40" s="79">
        <f t="shared" si="22"/>
        <v>0.007924380075</v>
      </c>
      <c r="F40" s="79">
        <f t="shared" si="22"/>
        <v>0.01162759013</v>
      </c>
      <c r="G40" s="79">
        <f t="shared" si="22"/>
        <v>0.01044077917</v>
      </c>
      <c r="H40" s="79">
        <f t="shared" si="22"/>
        <v>0.01118702006</v>
      </c>
      <c r="I40" s="79">
        <f t="shared" si="22"/>
        <v>0.009406596898</v>
      </c>
      <c r="J40" s="79">
        <f t="shared" si="22"/>
        <v>0.01034507783</v>
      </c>
      <c r="K40" s="79">
        <f t="shared" si="22"/>
        <v>0.009808901106</v>
      </c>
      <c r="L40" s="79">
        <f t="shared" si="22"/>
        <v>0.01008575855</v>
      </c>
      <c r="M40" s="79">
        <f t="shared" si="22"/>
        <v>0.010768418</v>
      </c>
      <c r="N40" s="79">
        <f t="shared" si="22"/>
        <v>0.009489880892</v>
      </c>
      <c r="O40" s="79">
        <f t="shared" si="22"/>
        <v>0.01221773288</v>
      </c>
      <c r="P40" s="79">
        <f t="shared" si="22"/>
        <v>0.01061176218</v>
      </c>
      <c r="Q40" s="79">
        <f t="shared" si="22"/>
        <v>0.01070093464</v>
      </c>
      <c r="R40" s="79">
        <f t="shared" si="22"/>
        <v>0.01644942659</v>
      </c>
    </row>
    <row r="41" ht="12.75" customHeight="1">
      <c r="A41" s="76" t="s">
        <v>103</v>
      </c>
      <c r="B41" s="80">
        <f t="shared" ref="B41:R41" si="23">SUM(B36:B40)</f>
        <v>1</v>
      </c>
      <c r="C41" s="80">
        <f t="shared" si="23"/>
        <v>1</v>
      </c>
      <c r="D41" s="80">
        <f t="shared" si="23"/>
        <v>1</v>
      </c>
      <c r="E41" s="80">
        <f t="shared" si="23"/>
        <v>1</v>
      </c>
      <c r="F41" s="80">
        <f t="shared" si="23"/>
        <v>1</v>
      </c>
      <c r="G41" s="80">
        <f t="shared" si="23"/>
        <v>1</v>
      </c>
      <c r="H41" s="80">
        <f t="shared" si="23"/>
        <v>1</v>
      </c>
      <c r="I41" s="80">
        <f t="shared" si="23"/>
        <v>1</v>
      </c>
      <c r="J41" s="80">
        <f t="shared" si="23"/>
        <v>1</v>
      </c>
      <c r="K41" s="80">
        <f t="shared" si="23"/>
        <v>1</v>
      </c>
      <c r="L41" s="80">
        <f t="shared" si="23"/>
        <v>1</v>
      </c>
      <c r="M41" s="80">
        <f t="shared" si="23"/>
        <v>1</v>
      </c>
      <c r="N41" s="80">
        <f t="shared" si="23"/>
        <v>1</v>
      </c>
      <c r="O41" s="80">
        <f t="shared" si="23"/>
        <v>1</v>
      </c>
      <c r="P41" s="80">
        <f t="shared" si="23"/>
        <v>1</v>
      </c>
      <c r="Q41" s="80">
        <f t="shared" si="23"/>
        <v>1</v>
      </c>
      <c r="R41" s="80">
        <f t="shared" si="23"/>
        <v>1</v>
      </c>
    </row>
    <row r="42" ht="12.75" customHeight="1">
      <c r="A42" s="47"/>
      <c r="B42" s="81"/>
      <c r="C42" s="81"/>
      <c r="D42" s="81"/>
      <c r="E42" s="81"/>
      <c r="F42" s="81"/>
    </row>
    <row r="43" ht="12.75" customHeight="1">
      <c r="A43" s="72" t="s">
        <v>105</v>
      </c>
      <c r="B43" s="25"/>
      <c r="C43" s="25"/>
    </row>
    <row r="44" ht="12.75" customHeight="1">
      <c r="A44" s="65" t="s">
        <v>87</v>
      </c>
      <c r="B44" s="67" t="s">
        <v>57</v>
      </c>
      <c r="C44" s="67" t="s">
        <v>58</v>
      </c>
      <c r="D44" s="67" t="s">
        <v>59</v>
      </c>
      <c r="E44" s="67" t="s">
        <v>60</v>
      </c>
      <c r="F44" s="67" t="s">
        <v>61</v>
      </c>
      <c r="G44" s="67" t="s">
        <v>62</v>
      </c>
      <c r="H44" s="67" t="s">
        <v>63</v>
      </c>
      <c r="I44" s="67" t="s">
        <v>64</v>
      </c>
      <c r="J44" s="67" t="s">
        <v>65</v>
      </c>
      <c r="K44" s="67" t="s">
        <v>66</v>
      </c>
      <c r="L44" s="67" t="s">
        <v>67</v>
      </c>
      <c r="M44" s="67" t="s">
        <v>68</v>
      </c>
      <c r="N44" s="67" t="s">
        <v>69</v>
      </c>
      <c r="O44" s="67" t="s">
        <v>70</v>
      </c>
      <c r="P44" s="67" t="s">
        <v>71</v>
      </c>
      <c r="Q44" s="67" t="s">
        <v>72</v>
      </c>
      <c r="R44" s="67" t="s">
        <v>73</v>
      </c>
    </row>
    <row r="45" ht="12.75" customHeight="1">
      <c r="A45" s="25" t="s">
        <v>106</v>
      </c>
      <c r="B45" s="82">
        <f>'Scope1A Stationary'!C27</f>
        <v>23876.4</v>
      </c>
      <c r="C45" s="82">
        <f>'Scope1A Stationary'!D27</f>
        <v>25145.3</v>
      </c>
      <c r="D45" s="82">
        <f>'Scope1A Stationary'!E27</f>
        <v>22365.6</v>
      </c>
      <c r="E45" s="82">
        <f>'Scope1A Stationary'!F27</f>
        <v>14040.5</v>
      </c>
      <c r="F45" s="82">
        <f>'Scope1A Stationary'!G27</f>
        <v>11272</v>
      </c>
      <c r="G45" s="82">
        <f>'Scope1A Stationary'!H27</f>
        <v>11404.6</v>
      </c>
      <c r="H45" s="82">
        <f>'Scope1A Stationary'!I27</f>
        <v>6488.9</v>
      </c>
      <c r="I45" s="82">
        <f>'Scope1A Stationary'!J27</f>
        <v>7272</v>
      </c>
      <c r="J45" s="82">
        <f>'Scope1A Stationary'!K27</f>
        <v>7031.8</v>
      </c>
      <c r="K45" s="82">
        <f>'Scope1A Stationary'!L27</f>
        <v>2169.3</v>
      </c>
      <c r="L45" s="82">
        <f>'Scope1A Stationary'!M27</f>
        <v>1879.6</v>
      </c>
      <c r="M45" s="82">
        <f>'Scope1A Stationary'!N27</f>
        <v>422.8</v>
      </c>
      <c r="N45" s="82">
        <f>'Scope1A Stationary'!O27</f>
        <v>0</v>
      </c>
      <c r="O45" s="82">
        <f>'Scope1A Stationary'!P27</f>
        <v>0</v>
      </c>
      <c r="P45" s="82">
        <f>'Scope1A Stationary'!Q27</f>
        <v>0</v>
      </c>
      <c r="Q45" s="82">
        <f>'Scope1A Stationary'!R27</f>
        <v>0</v>
      </c>
      <c r="R45" s="82">
        <f>'Scope1A Stationary'!S27</f>
        <v>0</v>
      </c>
    </row>
    <row r="46" ht="12.75" customHeight="1">
      <c r="A46" s="83" t="s">
        <v>107</v>
      </c>
      <c r="B46" s="82">
        <f>'Scope1A Stationary'!C43</f>
        <v>2003.4</v>
      </c>
      <c r="C46" s="82">
        <f>'Scope1A Stationary'!D43</f>
        <v>1843.6</v>
      </c>
      <c r="D46" s="82">
        <f>'Scope1A Stationary'!E43</f>
        <v>1813.3</v>
      </c>
      <c r="E46" s="82">
        <f>'Scope1A Stationary'!F43</f>
        <v>1538.1</v>
      </c>
      <c r="F46" s="82">
        <f>'Scope1A Stationary'!G43</f>
        <v>1922.7</v>
      </c>
      <c r="G46" s="82">
        <f>'Scope1A Stationary'!H43</f>
        <v>1625.3</v>
      </c>
      <c r="H46" s="82">
        <f>'Scope1A Stationary'!I43</f>
        <v>1895.6</v>
      </c>
      <c r="I46" s="82">
        <f>'Scope1A Stationary'!J43</f>
        <v>1942.4</v>
      </c>
      <c r="J46" s="82">
        <f>'Scope1A Stationary'!K43</f>
        <v>1908.3</v>
      </c>
      <c r="K46" s="82">
        <f>'Scope1A Stationary'!L43</f>
        <v>1992.7</v>
      </c>
      <c r="L46" s="82">
        <f>'Scope1A Stationary'!M43</f>
        <v>1899.7</v>
      </c>
      <c r="M46" s="82">
        <f>'Scope1A Stationary'!N43</f>
        <v>1928.7</v>
      </c>
      <c r="N46" s="82">
        <f>'Scope1A Stationary'!O43</f>
        <v>1688.3</v>
      </c>
      <c r="O46" s="82">
        <f>'Scope1A Stationary'!P43</f>
        <v>1613.3</v>
      </c>
      <c r="P46" s="82">
        <f>'Scope1A Stationary'!Q43</f>
        <v>1678.7</v>
      </c>
      <c r="Q46" s="82">
        <f>'Scope1A Stationary'!R43</f>
        <v>1142.2</v>
      </c>
      <c r="R46" s="82">
        <f>'Scope1A Stationary'!S43</f>
        <v>988.6</v>
      </c>
    </row>
    <row r="47" ht="12.75" customHeight="1">
      <c r="A47" s="25" t="s">
        <v>108</v>
      </c>
      <c r="B47" s="82">
        <f>'Scope1A Stationary'!C55</f>
        <v>711.86688</v>
      </c>
      <c r="C47" s="82">
        <f>'Scope1A Stationary'!D55</f>
        <v>655.21048</v>
      </c>
      <c r="D47" s="82">
        <f>'Scope1A Stationary'!E55</f>
        <v>643.23524</v>
      </c>
      <c r="E47" s="82">
        <f>'Scope1A Stationary'!F55</f>
        <v>591.41052</v>
      </c>
      <c r="F47" s="82">
        <f>'Scope1A Stationary'!G55</f>
        <v>652.8986</v>
      </c>
      <c r="G47" s="82">
        <f>'Scope1A Stationary'!H55</f>
        <v>659.3382</v>
      </c>
      <c r="H47" s="82">
        <f>'Scope1A Stationary'!I55</f>
        <v>611.03328</v>
      </c>
      <c r="I47" s="82">
        <f>'Scope1A Stationary'!J55</f>
        <v>379.98392</v>
      </c>
      <c r="J47" s="82">
        <f>'Scope1A Stationary'!K55</f>
        <v>463.10664</v>
      </c>
      <c r="K47" s="82">
        <f>'Scope1A Stationary'!L55</f>
        <v>412.78984</v>
      </c>
      <c r="L47" s="82">
        <f>'Scope1A Stationary'!M55</f>
        <v>598.95804</v>
      </c>
      <c r="M47" s="82">
        <f>'Scope1A Stationary'!N55</f>
        <v>508.59176</v>
      </c>
      <c r="N47" s="82">
        <f>'Scope1A Stationary'!O55</f>
        <v>530.93036</v>
      </c>
      <c r="O47" s="82">
        <f>'Scope1A Stationary'!P55</f>
        <v>387.33144</v>
      </c>
      <c r="P47" s="82">
        <f>'Scope1A Stationary'!Q55</f>
        <v>329.66712</v>
      </c>
      <c r="Q47" s="82">
        <f>'Scope1A Stationary'!R55</f>
        <v>437.24428</v>
      </c>
      <c r="R47" s="82">
        <f>'Scope1A Stationary'!S55</f>
        <v>402.32648</v>
      </c>
    </row>
    <row r="48" ht="12.75" customHeight="1">
      <c r="A48" s="25" t="s">
        <v>109</v>
      </c>
      <c r="B48" s="82">
        <f>'Scope1A Stationary'!C67</f>
        <v>0</v>
      </c>
      <c r="C48" s="82">
        <f>'Scope1A Stationary'!D67</f>
        <v>0</v>
      </c>
      <c r="D48" s="82">
        <f>'Scope1A Stationary'!E67</f>
        <v>0</v>
      </c>
      <c r="E48" s="82">
        <f>'Scope1A Stationary'!F67</f>
        <v>0</v>
      </c>
      <c r="F48" s="82">
        <f>'Scope1A Stationary'!G67</f>
        <v>0</v>
      </c>
      <c r="G48" s="82">
        <f>'Scope1A Stationary'!H67</f>
        <v>0</v>
      </c>
      <c r="H48" s="82">
        <f>'Scope1A Stationary'!I67</f>
        <v>0</v>
      </c>
      <c r="I48" s="82">
        <f>'Scope1A Stationary'!J67</f>
        <v>0</v>
      </c>
      <c r="J48" s="82">
        <f>'Scope1A Stationary'!K67</f>
        <v>0</v>
      </c>
      <c r="K48" s="82">
        <f>'Scope1A Stationary'!L67</f>
        <v>3763.44715</v>
      </c>
      <c r="L48" s="82">
        <f>'Scope1A Stationary'!M67</f>
        <v>3018.28406</v>
      </c>
      <c r="M48" s="82">
        <f>'Scope1A Stationary'!N67</f>
        <v>4391.86218</v>
      </c>
      <c r="N48" s="82">
        <f>'Scope1A Stationary'!O67</f>
        <v>5068.18173</v>
      </c>
      <c r="O48" s="82">
        <f>'Scope1A Stationary'!P67</f>
        <v>4433.32698</v>
      </c>
      <c r="P48" s="82">
        <f>'Scope1A Stationary'!Q67</f>
        <v>6104.60504</v>
      </c>
      <c r="Q48" s="82">
        <f>'Scope1A Stationary'!R67</f>
        <v>5914.69358</v>
      </c>
      <c r="R48" s="82">
        <f>'Scope1A Stationary'!S67</f>
        <v>4323.12195</v>
      </c>
    </row>
    <row r="49" ht="12.75" customHeight="1">
      <c r="A49" s="25" t="s">
        <v>110</v>
      </c>
      <c r="B49" s="82">
        <f>'Scope1A Stationary'!C96</f>
        <v>0</v>
      </c>
      <c r="C49" s="82">
        <f>'Scope1A Stationary'!D96</f>
        <v>0</v>
      </c>
      <c r="D49" s="82">
        <f>'Scope1A Stationary'!E96</f>
        <v>42.21366545</v>
      </c>
      <c r="E49" s="82">
        <f>'Scope1A Stationary'!F96</f>
        <v>180.7773316</v>
      </c>
      <c r="F49" s="82">
        <f>'Scope1A Stationary'!G96</f>
        <v>246.9798393</v>
      </c>
      <c r="G49" s="82">
        <f>'Scope1A Stationary'!H96</f>
        <v>207.0622145</v>
      </c>
      <c r="H49" s="82">
        <f>'Scope1A Stationary'!I96</f>
        <v>273.2049295</v>
      </c>
      <c r="I49" s="82">
        <f>'Scope1A Stationary'!J96</f>
        <v>333.4515433</v>
      </c>
      <c r="J49" s="82">
        <f>'Scope1A Stationary'!K96</f>
        <v>319.783464</v>
      </c>
      <c r="K49" s="82">
        <f>'Scope1A Stationary'!L96</f>
        <v>255.3532128</v>
      </c>
      <c r="L49" s="82">
        <f>'Scope1A Stationary'!M96</f>
        <v>282.9970529</v>
      </c>
      <c r="M49" s="82">
        <f>'Scope1A Stationary'!N96</f>
        <v>266.8106952</v>
      </c>
      <c r="N49" s="82">
        <f>'Scope1A Stationary'!O96</f>
        <v>277.6104576</v>
      </c>
      <c r="O49" s="82">
        <f>'Scope1A Stationary'!P96</f>
        <v>239.0022936</v>
      </c>
      <c r="P49" s="82">
        <f>'Scope1A Stationary'!Q96</f>
        <v>199.1707704</v>
      </c>
      <c r="Q49" s="82">
        <f>'Scope1A Stationary'!R96</f>
        <v>202.4330616</v>
      </c>
      <c r="R49" s="82">
        <f>'Scope1A Stationary'!S96</f>
        <v>230.8071024</v>
      </c>
    </row>
    <row r="50" ht="12.75" customHeight="1">
      <c r="A50" s="25" t="s">
        <v>111</v>
      </c>
      <c r="B50" s="82">
        <f>'Scope1B  Mobile'!B28</f>
        <v>242.9</v>
      </c>
      <c r="C50" s="82">
        <f>'Scope1B  Mobile'!C28</f>
        <v>253.7</v>
      </c>
      <c r="D50" s="82">
        <f>'Scope1B  Mobile'!D28</f>
        <v>241.9</v>
      </c>
      <c r="E50" s="82">
        <f>'Scope1B  Mobile'!E28</f>
        <v>202.2</v>
      </c>
      <c r="F50" s="82">
        <f>'Scope1B  Mobile'!F28</f>
        <v>229.6</v>
      </c>
      <c r="G50" s="82">
        <f>'Scope1B  Mobile'!G28</f>
        <v>215.8</v>
      </c>
      <c r="H50" s="82">
        <f>'Scope1B  Mobile'!H28</f>
        <v>240.2</v>
      </c>
      <c r="I50" s="82">
        <f>'Scope1B  Mobile'!I28</f>
        <v>266.8</v>
      </c>
      <c r="J50" s="82">
        <f>'Scope1B  Mobile'!J28</f>
        <v>263.7</v>
      </c>
      <c r="K50" s="82">
        <f>'Scope1B  Mobile'!K28</f>
        <v>245</v>
      </c>
      <c r="L50" s="82">
        <f>'Scope1B  Mobile'!L28</f>
        <v>237.9</v>
      </c>
      <c r="M50" s="82">
        <f>'Scope1B  Mobile'!M28</f>
        <v>228.4</v>
      </c>
      <c r="N50" s="82">
        <f>'Scope1B  Mobile'!N28</f>
        <v>205</v>
      </c>
      <c r="O50" s="82">
        <f>'Scope1B  Mobile'!O28</f>
        <v>155.1</v>
      </c>
      <c r="P50" s="82">
        <f>'Scope1B  Mobile'!P28</f>
        <v>159.1</v>
      </c>
      <c r="Q50" s="82">
        <f>'Scope1B  Mobile'!Q28</f>
        <v>166.8</v>
      </c>
      <c r="R50" s="82">
        <f>'Scope1B  Mobile'!R28</f>
        <v>143.8</v>
      </c>
    </row>
    <row r="51" ht="12.75" customHeight="1">
      <c r="A51" s="25" t="s">
        <v>112</v>
      </c>
      <c r="B51" s="82">
        <f>'Scope1B  Mobile'!B45</f>
        <v>123.2</v>
      </c>
      <c r="C51" s="82">
        <f>'Scope1B  Mobile'!C45</f>
        <v>138.8</v>
      </c>
      <c r="D51" s="82">
        <f>'Scope1B  Mobile'!D45</f>
        <v>184.7</v>
      </c>
      <c r="E51" s="82">
        <f>'Scope1B  Mobile'!E45</f>
        <v>136.2</v>
      </c>
      <c r="F51" s="82">
        <f>'Scope1B  Mobile'!F45</f>
        <v>181.1</v>
      </c>
      <c r="G51" s="82">
        <f>'Scope1B  Mobile'!G45</f>
        <v>141.3</v>
      </c>
      <c r="H51" s="82">
        <f>'Scope1B  Mobile'!H45</f>
        <v>129.9</v>
      </c>
      <c r="I51" s="82">
        <f>'Scope1B  Mobile'!I45</f>
        <v>131.4</v>
      </c>
      <c r="J51" s="82">
        <f>'Scope1B  Mobile'!J45</f>
        <v>136.1</v>
      </c>
      <c r="K51" s="82">
        <f>'Scope1B  Mobile'!K45</f>
        <v>96.9</v>
      </c>
      <c r="L51" s="82">
        <f>'Scope1B  Mobile'!L45</f>
        <v>106.5</v>
      </c>
      <c r="M51" s="82">
        <f>'Scope1B  Mobile'!M45</f>
        <v>108.1</v>
      </c>
      <c r="N51" s="82">
        <f>'Scope1B  Mobile'!N45</f>
        <v>104.4</v>
      </c>
      <c r="O51" s="82">
        <f>'Scope1B  Mobile'!O45</f>
        <v>75.4</v>
      </c>
      <c r="P51" s="82">
        <f>'Scope1B  Mobile'!P45</f>
        <v>76</v>
      </c>
      <c r="Q51" s="82">
        <f>'Scope1B  Mobile'!Q45</f>
        <v>93.1</v>
      </c>
      <c r="R51" s="82">
        <f>'Scope1B  Mobile'!R45</f>
        <v>92.2</v>
      </c>
    </row>
    <row r="52" ht="12.75" customHeight="1">
      <c r="A52" s="25" t="s">
        <v>98</v>
      </c>
      <c r="B52" s="82">
        <f>'Scope2 Electricity'!B171</f>
        <v>634.8</v>
      </c>
      <c r="C52" s="82">
        <f>'Scope2 Electricity'!C171</f>
        <v>980.3</v>
      </c>
      <c r="D52" s="82">
        <f>'Scope2 Electricity'!D171</f>
        <v>904.6</v>
      </c>
      <c r="E52" s="82">
        <f>'Scope2 Electricity'!E171</f>
        <v>177.2</v>
      </c>
      <c r="F52" s="82">
        <f>'Scope2 Electricity'!F171</f>
        <v>510.6</v>
      </c>
      <c r="G52" s="82">
        <f>'Scope2 Electricity'!G171</f>
        <v>436.2</v>
      </c>
      <c r="H52" s="82">
        <f>'Scope2 Electricity'!H171</f>
        <v>858.9</v>
      </c>
      <c r="I52" s="82">
        <f>'Scope2 Electricity'!I171</f>
        <v>891.6</v>
      </c>
      <c r="J52" s="82">
        <f>'Scope2 Electricity'!J171</f>
        <v>1261.4</v>
      </c>
      <c r="K52" s="82">
        <f>'Scope2 Electricity'!K171</f>
        <v>1356.7</v>
      </c>
      <c r="L52" s="82">
        <f>'Scope2 Electricity'!L171</f>
        <v>1619.2</v>
      </c>
      <c r="M52" s="82">
        <f>'Scope2 Electricity'!M171</f>
        <v>1090.5</v>
      </c>
      <c r="N52" s="82">
        <f>'Scope2 Electricity'!N171</f>
        <v>469.3</v>
      </c>
      <c r="O52" s="82">
        <f>'Scope2 Electricity'!O171</f>
        <v>174.1</v>
      </c>
      <c r="P52" s="82">
        <f>'Scope2 Electricity'!P171</f>
        <v>0</v>
      </c>
      <c r="Q52" s="82">
        <f>'Scope2 Electricity'!R171</f>
        <v>0</v>
      </c>
      <c r="R52" s="82" t="str">
        <f>'Scope2 Electricity'!S171</f>
        <v/>
      </c>
    </row>
    <row r="53" ht="12.75" customHeight="1">
      <c r="A53" s="25" t="s">
        <v>99</v>
      </c>
      <c r="B53" s="82">
        <f>'Scope3 Travel'!B13</f>
        <v>1688.7</v>
      </c>
      <c r="C53" s="82">
        <f>'Scope3 Travel'!C13</f>
        <v>1937.2</v>
      </c>
      <c r="D53" s="82">
        <f>'Scope3 Travel'!D13</f>
        <v>1667.2</v>
      </c>
      <c r="E53" s="82">
        <f>'Scope3 Travel'!E13</f>
        <v>1820.3</v>
      </c>
      <c r="F53" s="82">
        <f>'Scope3 Travel'!F13</f>
        <v>2366.7</v>
      </c>
      <c r="G53" s="82">
        <f>'Scope3 Travel'!G13</f>
        <v>2671.6</v>
      </c>
      <c r="H53" s="82">
        <f>'Scope3 Travel'!H13</f>
        <v>3014.3</v>
      </c>
      <c r="I53" s="82">
        <f>'Scope3 Travel'!I13</f>
        <v>3693.9</v>
      </c>
      <c r="J53" s="82">
        <f>'Scope3 Travel'!K13</f>
        <v>3466.9</v>
      </c>
      <c r="K53" s="82">
        <f>'Scope3 Travel'!L13</f>
        <v>3294.5</v>
      </c>
      <c r="L53" s="82">
        <f>'Scope3 Travel'!M13</f>
        <v>3872.3</v>
      </c>
      <c r="M53" s="82">
        <f>'Scope3 Travel'!N13</f>
        <v>3888.4</v>
      </c>
      <c r="N53" s="82">
        <f>'Scope3 Travel'!O13</f>
        <v>4074.9</v>
      </c>
      <c r="O53" s="82">
        <f>'Scope3 Travel'!P13</f>
        <v>2515</v>
      </c>
      <c r="P53" s="82">
        <f>'Scope3 Travel'!Q13</f>
        <v>2515</v>
      </c>
      <c r="Q53" s="82">
        <f>'Scope3 Travel'!R13</f>
        <v>3012.6</v>
      </c>
      <c r="R53" s="82">
        <f>'Scope3 Travel'!S13</f>
        <v>3667.7</v>
      </c>
    </row>
    <row r="54" ht="12.75" customHeight="1">
      <c r="A54" s="25" t="s">
        <v>113</v>
      </c>
      <c r="B54" s="82">
        <f>'Scope3 Landfill Methane'!B38</f>
        <v>137.2704355</v>
      </c>
      <c r="C54" s="82">
        <f>'Scope3 Landfill Methane'!C38</f>
        <v>284.6705753</v>
      </c>
      <c r="D54" s="82">
        <f>'Scope3 Landfill Methane'!D38</f>
        <v>199.1748464</v>
      </c>
      <c r="E54" s="82">
        <f>'Scope3 Landfill Methane'!E38</f>
        <v>149.2632355</v>
      </c>
      <c r="F54" s="82">
        <f>'Scope3 Landfill Methane'!F38</f>
        <v>204.4952849</v>
      </c>
      <c r="G54" s="82">
        <f>'Scope3 Landfill Methane'!G38</f>
        <v>183.1769699</v>
      </c>
      <c r="H54" s="82">
        <f>'Scope3 Landfill Methane'!H38</f>
        <v>152.8695977</v>
      </c>
      <c r="I54" s="82">
        <f>'Scope3 Landfill Methane'!I38</f>
        <v>141.5987658</v>
      </c>
      <c r="J54" s="82">
        <f>'Scope3 Landfill Methane'!J38</f>
        <v>155.2416701</v>
      </c>
      <c r="K54" s="82">
        <f>'Scope3 Landfill Methane'!K38</f>
        <v>134.5906873</v>
      </c>
      <c r="L54" s="82">
        <f>'Scope3 Landfill Methane'!L38</f>
        <v>137.7022881</v>
      </c>
      <c r="M54" s="82">
        <f>'Scope3 Landfill Methane'!M38</f>
        <v>139.7080846</v>
      </c>
      <c r="N54" s="82">
        <f>'Scope3 Landfill Methane'!N38</f>
        <v>118.9803583</v>
      </c>
      <c r="O54" s="82">
        <f>'Scope3 Landfill Methane'!O38</f>
        <v>118.6489658</v>
      </c>
      <c r="P54" s="82">
        <f>'Scope3 Landfill Methane'!P38</f>
        <v>118.6489658</v>
      </c>
      <c r="Q54" s="82">
        <f>'Scope3 Landfill Methane'!Q38</f>
        <v>118.6489658</v>
      </c>
      <c r="R54" s="82">
        <f>'Scope3 Landfill Methane'!R38</f>
        <v>164.7125178</v>
      </c>
    </row>
    <row r="55" ht="12.75" customHeight="1">
      <c r="A55" s="25" t="s">
        <v>114</v>
      </c>
      <c r="B55" s="82">
        <f>EmployeeCommute!B7</f>
        <v>4050.3</v>
      </c>
      <c r="C55" s="82">
        <f>EmployeeCommute!C7</f>
        <v>2331.8</v>
      </c>
      <c r="D55" s="82">
        <f>EmployeeCommute!D7</f>
        <v>3374.4</v>
      </c>
      <c r="E55" s="82">
        <f>EmployeeCommuteRevised!B32</f>
        <v>1526.2</v>
      </c>
      <c r="F55" s="82">
        <f>EmployeeCommuteRevised!C32</f>
        <v>1282</v>
      </c>
      <c r="G55" s="82" t="str">
        <f>EmployeeCommuteRevised!D32</f>
        <v/>
      </c>
      <c r="H55" s="82" t="str">
        <f>EmployeeCommuteRevised!E32</f>
        <v/>
      </c>
      <c r="I55" s="82" t="str">
        <f>EmployeeCommuteRevised!F32</f>
        <v/>
      </c>
      <c r="J55" s="82" t="str">
        <f>EmployeeCommuteRevised!G32</f>
        <v/>
      </c>
      <c r="K55" s="82" t="str">
        <f>EmployeeCommuteRevised!H32</f>
        <v/>
      </c>
      <c r="L55" s="82" t="str">
        <f>EmployeeCommuteRevised!I32</f>
        <v/>
      </c>
      <c r="M55" s="82" t="str">
        <f>EmployeeCommuteRevised!J32</f>
        <v/>
      </c>
      <c r="N55" s="82" t="str">
        <f>EmployeeCommuteRevised!K32</f>
        <v/>
      </c>
      <c r="O55" s="82" t="str">
        <f>EmployeeCommuteRevised!L32</f>
        <v/>
      </c>
      <c r="P55" s="82" t="str">
        <f>EmployeeCommuteRevised!M32</f>
        <v/>
      </c>
      <c r="Q55" s="82" t="str">
        <f>EmployeeCommuteRevised!N32</f>
        <v/>
      </c>
      <c r="R55" s="82" t="str">
        <f>EmployeeCommuteRevised!O32</f>
        <v/>
      </c>
    </row>
    <row r="56" ht="12.75" customHeight="1">
      <c r="A56" s="25" t="s">
        <v>115</v>
      </c>
      <c r="B56" s="75">
        <f>Offsets!B11</f>
        <v>864.59</v>
      </c>
      <c r="C56" s="75">
        <f>Offsets!C11</f>
        <v>595.12</v>
      </c>
      <c r="D56" s="75">
        <f>Offsets!D11</f>
        <v>660.09</v>
      </c>
      <c r="E56" s="75">
        <f>Offsets!E11</f>
        <v>539.6</v>
      </c>
      <c r="F56" s="75">
        <f>Offsets!F11</f>
        <v>551.48</v>
      </c>
      <c r="G56" s="75">
        <f>Offsets!G11</f>
        <v>551.37</v>
      </c>
      <c r="H56" s="75">
        <f>Offsets!H11</f>
        <v>551.2</v>
      </c>
      <c r="I56" s="75">
        <f>Offsets!I11</f>
        <v>644.57</v>
      </c>
      <c r="J56" s="75">
        <f>Offsets!J11</f>
        <v>645.88</v>
      </c>
      <c r="K56" s="75">
        <v>633.0</v>
      </c>
      <c r="L56" s="75">
        <f>Offsets!L9+Offsets!L10</f>
        <v>633</v>
      </c>
      <c r="M56" s="75">
        <v>633.0</v>
      </c>
      <c r="N56" s="75">
        <v>633.0</v>
      </c>
      <c r="O56" s="75">
        <v>633.0</v>
      </c>
      <c r="P56" s="75">
        <v>0.0</v>
      </c>
      <c r="Q56" s="75">
        <v>0.0</v>
      </c>
      <c r="R56" s="75">
        <v>0.0</v>
      </c>
    </row>
    <row r="57" ht="12.75" customHeight="1">
      <c r="A57" s="76" t="s">
        <v>103</v>
      </c>
      <c r="B57" s="77">
        <f t="shared" ref="B57:R57" si="24">(SUM(B45:B54))-B56</f>
        <v>28553.94732</v>
      </c>
      <c r="C57" s="77">
        <f t="shared" si="24"/>
        <v>30643.66106</v>
      </c>
      <c r="D57" s="77">
        <f t="shared" si="24"/>
        <v>27401.83375</v>
      </c>
      <c r="E57" s="77">
        <f t="shared" si="24"/>
        <v>18296.35109</v>
      </c>
      <c r="F57" s="77">
        <f t="shared" si="24"/>
        <v>17035.59372</v>
      </c>
      <c r="G57" s="77">
        <f t="shared" si="24"/>
        <v>16993.00738</v>
      </c>
      <c r="H57" s="77">
        <f t="shared" si="24"/>
        <v>13113.70781</v>
      </c>
      <c r="I57" s="77">
        <f t="shared" si="24"/>
        <v>14408.56423</v>
      </c>
      <c r="J57" s="77">
        <f t="shared" si="24"/>
        <v>14360.45177</v>
      </c>
      <c r="K57" s="77">
        <f t="shared" si="24"/>
        <v>13088.28089</v>
      </c>
      <c r="L57" s="77">
        <f t="shared" si="24"/>
        <v>13020.14144</v>
      </c>
      <c r="M57" s="77">
        <f t="shared" si="24"/>
        <v>12340.87272</v>
      </c>
      <c r="N57" s="77">
        <f t="shared" si="24"/>
        <v>11904.60291</v>
      </c>
      <c r="O57" s="77">
        <f t="shared" si="24"/>
        <v>9078.209679</v>
      </c>
      <c r="P57" s="77">
        <f t="shared" si="24"/>
        <v>11180.8919</v>
      </c>
      <c r="Q57" s="77">
        <f t="shared" si="24"/>
        <v>11087.71989</v>
      </c>
      <c r="R57" s="77">
        <f t="shared" si="24"/>
        <v>10013.26805</v>
      </c>
      <c r="S57" s="56" t="s">
        <v>116</v>
      </c>
    </row>
    <row r="58" ht="12.75" customHeight="1">
      <c r="A58" s="65" t="s">
        <v>94</v>
      </c>
      <c r="B58" s="25"/>
      <c r="C58" s="25"/>
    </row>
    <row r="59" ht="12.75" customHeight="1">
      <c r="A59" s="25" t="s">
        <v>106</v>
      </c>
      <c r="B59" s="84">
        <f t="shared" ref="B59:R59" si="25">B45/(SUM(B$45:B$54))</f>
        <v>0.8116107114</v>
      </c>
      <c r="C59" s="84">
        <f t="shared" si="25"/>
        <v>0.804938578</v>
      </c>
      <c r="D59" s="84">
        <f t="shared" si="25"/>
        <v>0.7970087938</v>
      </c>
      <c r="E59" s="84">
        <f t="shared" si="25"/>
        <v>0.7454096655</v>
      </c>
      <c r="F59" s="84">
        <f t="shared" si="25"/>
        <v>0.6409252714</v>
      </c>
      <c r="G59" s="84">
        <f t="shared" si="25"/>
        <v>0.6500430166</v>
      </c>
      <c r="H59" s="84">
        <f t="shared" si="25"/>
        <v>0.4748586739</v>
      </c>
      <c r="I59" s="84">
        <f t="shared" si="25"/>
        <v>0.4830887634</v>
      </c>
      <c r="J59" s="84">
        <f t="shared" si="25"/>
        <v>0.4685888667</v>
      </c>
      <c r="K59" s="84">
        <f t="shared" si="25"/>
        <v>0.158097485</v>
      </c>
      <c r="L59" s="84">
        <f t="shared" si="25"/>
        <v>0.1376679505</v>
      </c>
      <c r="M59" s="84">
        <f t="shared" si="25"/>
        <v>0.03258857314</v>
      </c>
      <c r="N59" s="84">
        <f t="shared" si="25"/>
        <v>0</v>
      </c>
      <c r="O59" s="84">
        <f t="shared" si="25"/>
        <v>0</v>
      </c>
      <c r="P59" s="84">
        <f t="shared" si="25"/>
        <v>0</v>
      </c>
      <c r="Q59" s="84">
        <f t="shared" si="25"/>
        <v>0</v>
      </c>
      <c r="R59" s="84">
        <f t="shared" si="25"/>
        <v>0</v>
      </c>
    </row>
    <row r="60" ht="12.75" customHeight="1">
      <c r="A60" s="83" t="s">
        <v>107</v>
      </c>
      <c r="B60" s="84">
        <f t="shared" ref="B60:R60" si="26">B46/(SUM(B$45:B$54))</f>
        <v>0.06809991872</v>
      </c>
      <c r="C60" s="84">
        <f t="shared" si="26"/>
        <v>0.05901638725</v>
      </c>
      <c r="D60" s="84">
        <f t="shared" si="26"/>
        <v>0.06461780796</v>
      </c>
      <c r="E60" s="84">
        <f t="shared" si="26"/>
        <v>0.08165767648</v>
      </c>
      <c r="F60" s="84">
        <f t="shared" si="26"/>
        <v>0.1093246114</v>
      </c>
      <c r="G60" s="84">
        <f t="shared" si="26"/>
        <v>0.09263936613</v>
      </c>
      <c r="H60" s="84">
        <f t="shared" si="26"/>
        <v>0.1387202919</v>
      </c>
      <c r="I60" s="84">
        <f t="shared" si="26"/>
        <v>0.1290362506</v>
      </c>
      <c r="J60" s="84">
        <f t="shared" si="26"/>
        <v>0.1271663208</v>
      </c>
      <c r="K60" s="84">
        <f t="shared" si="26"/>
        <v>0.1452269665</v>
      </c>
      <c r="L60" s="84">
        <f t="shared" si="26"/>
        <v>0.1391401392</v>
      </c>
      <c r="M60" s="84">
        <f t="shared" si="26"/>
        <v>0.1486603146</v>
      </c>
      <c r="N60" s="84">
        <f t="shared" si="26"/>
        <v>0.1346589147</v>
      </c>
      <c r="O60" s="84">
        <f t="shared" si="26"/>
        <v>0.1661276044</v>
      </c>
      <c r="P60" s="84">
        <f t="shared" si="26"/>
        <v>0.1501400797</v>
      </c>
      <c r="Q60" s="84">
        <f t="shared" si="26"/>
        <v>0.1030148679</v>
      </c>
      <c r="R60" s="84">
        <f t="shared" si="26"/>
        <v>0.09872900586</v>
      </c>
    </row>
    <row r="61" ht="12.75" customHeight="1">
      <c r="A61" s="25" t="s">
        <v>108</v>
      </c>
      <c r="B61" s="84">
        <f t="shared" ref="B61:R61" si="27">B47/(SUM(B$45:B$54))</f>
        <v>0.0241979019</v>
      </c>
      <c r="C61" s="84">
        <f t="shared" si="27"/>
        <v>0.02097426525</v>
      </c>
      <c r="D61" s="84">
        <f t="shared" si="27"/>
        <v>0.02292199372</v>
      </c>
      <c r="E61" s="84">
        <f t="shared" si="27"/>
        <v>0.03139796431</v>
      </c>
      <c r="F61" s="84">
        <f t="shared" si="27"/>
        <v>0.03712377683</v>
      </c>
      <c r="G61" s="84">
        <f t="shared" si="27"/>
        <v>0.03758116835</v>
      </c>
      <c r="H61" s="84">
        <f t="shared" si="27"/>
        <v>0.04471550695</v>
      </c>
      <c r="I61" s="84">
        <f t="shared" si="27"/>
        <v>0.02524284406</v>
      </c>
      <c r="J61" s="84">
        <f t="shared" si="27"/>
        <v>0.03086074911</v>
      </c>
      <c r="K61" s="84">
        <f t="shared" si="27"/>
        <v>0.03008391442</v>
      </c>
      <c r="L61" s="84">
        <f t="shared" si="27"/>
        <v>0.04386961364</v>
      </c>
      <c r="M61" s="84">
        <f t="shared" si="27"/>
        <v>0.03920122935</v>
      </c>
      <c r="N61" s="84">
        <f t="shared" si="27"/>
        <v>0.04234703906</v>
      </c>
      <c r="O61" s="84">
        <f t="shared" si="27"/>
        <v>0.03988498372</v>
      </c>
      <c r="P61" s="84">
        <f t="shared" si="27"/>
        <v>0.02948486785</v>
      </c>
      <c r="Q61" s="84">
        <f t="shared" si="27"/>
        <v>0.03943500417</v>
      </c>
      <c r="R61" s="84">
        <f t="shared" si="27"/>
        <v>0.04017933785</v>
      </c>
    </row>
    <row r="62" ht="12.75" customHeight="1">
      <c r="A62" s="25" t="s">
        <v>117</v>
      </c>
      <c r="B62" s="84"/>
      <c r="C62" s="84"/>
      <c r="D62" s="84"/>
      <c r="E62" s="84"/>
      <c r="F62" s="84"/>
      <c r="G62" s="84"/>
      <c r="H62" s="84"/>
      <c r="I62" s="84"/>
      <c r="J62" s="84"/>
      <c r="K62" s="84">
        <f t="shared" ref="K62:R62" si="28">K48/(SUM(K$45:K$54))</f>
        <v>0.2742781217</v>
      </c>
      <c r="L62" s="84">
        <f t="shared" si="28"/>
        <v>0.2210688341</v>
      </c>
      <c r="M62" s="84">
        <f t="shared" si="28"/>
        <v>0.3385158984</v>
      </c>
      <c r="N62" s="84">
        <f t="shared" si="28"/>
        <v>0.404238495</v>
      </c>
      <c r="O62" s="84">
        <f t="shared" si="28"/>
        <v>0.4565164512</v>
      </c>
      <c r="P62" s="84">
        <f t="shared" si="28"/>
        <v>0.5459855168</v>
      </c>
      <c r="Q62" s="84">
        <f t="shared" si="28"/>
        <v>0.5334454369</v>
      </c>
      <c r="R62" s="84">
        <f t="shared" si="28"/>
        <v>0.431739361</v>
      </c>
    </row>
    <row r="63" ht="12.75" customHeight="1">
      <c r="A63" s="25" t="s">
        <v>111</v>
      </c>
      <c r="B63" s="84">
        <f t="shared" ref="B63:R63" si="29">B50/(SUM(B$45:B$54))</f>
        <v>0.00825669874</v>
      </c>
      <c r="C63" s="84">
        <f t="shared" si="29"/>
        <v>0.008121315603</v>
      </c>
      <c r="D63" s="84">
        <f t="shared" si="29"/>
        <v>0.008620221555</v>
      </c>
      <c r="E63" s="84">
        <f t="shared" si="29"/>
        <v>0.0107347911</v>
      </c>
      <c r="F63" s="84">
        <f t="shared" si="29"/>
        <v>0.01305504279</v>
      </c>
      <c r="G63" s="84">
        <f t="shared" si="29"/>
        <v>0.01230023701</v>
      </c>
      <c r="H63" s="84">
        <f t="shared" si="29"/>
        <v>0.01757787198</v>
      </c>
      <c r="I63" s="84">
        <f t="shared" si="29"/>
        <v>0.01772388367</v>
      </c>
      <c r="J63" s="84">
        <f t="shared" si="29"/>
        <v>0.01757258229</v>
      </c>
      <c r="K63" s="84">
        <f t="shared" si="29"/>
        <v>0.01785547588</v>
      </c>
      <c r="L63" s="84">
        <f t="shared" si="29"/>
        <v>0.0174245613</v>
      </c>
      <c r="M63" s="84">
        <f t="shared" si="29"/>
        <v>0.01760461236</v>
      </c>
      <c r="N63" s="84">
        <f t="shared" si="29"/>
        <v>0.01635081295</v>
      </c>
      <c r="O63" s="84">
        <f t="shared" si="29"/>
        <v>0.01597123377</v>
      </c>
      <c r="P63" s="84">
        <f t="shared" si="29"/>
        <v>0.01422963405</v>
      </c>
      <c r="Q63" s="84">
        <f t="shared" si="29"/>
        <v>0.01504367009</v>
      </c>
      <c r="R63" s="84">
        <f t="shared" si="29"/>
        <v>0.01436094583</v>
      </c>
    </row>
    <row r="64" ht="12.75" customHeight="1">
      <c r="A64" s="25" t="s">
        <v>112</v>
      </c>
      <c r="B64" s="84">
        <f t="shared" ref="B64:R64" si="30">B51/(SUM(B$45:B$54))</f>
        <v>0.004187835672</v>
      </c>
      <c r="C64" s="84">
        <f t="shared" si="30"/>
        <v>0.004443195135</v>
      </c>
      <c r="D64" s="84">
        <f t="shared" si="30"/>
        <v>0.006581872349</v>
      </c>
      <c r="E64" s="84">
        <f t="shared" si="30"/>
        <v>0.007230853349</v>
      </c>
      <c r="F64" s="84">
        <f t="shared" si="30"/>
        <v>0.01029733558</v>
      </c>
      <c r="G64" s="84">
        <f t="shared" si="30"/>
        <v>0.008053862323</v>
      </c>
      <c r="H64" s="84">
        <f t="shared" si="30"/>
        <v>0.009506101456</v>
      </c>
      <c r="I64" s="84">
        <f t="shared" si="30"/>
        <v>0.008729079141</v>
      </c>
      <c r="J64" s="84">
        <f t="shared" si="30"/>
        <v>0.00906950493</v>
      </c>
      <c r="K64" s="84">
        <f t="shared" si="30"/>
        <v>0.00706202291</v>
      </c>
      <c r="L64" s="84">
        <f t="shared" si="30"/>
        <v>0.0078004026</v>
      </c>
      <c r="M64" s="84">
        <f t="shared" si="30"/>
        <v>0.008332130454</v>
      </c>
      <c r="N64" s="84">
        <f t="shared" si="30"/>
        <v>0.008326950597</v>
      </c>
      <c r="O64" s="84">
        <f t="shared" si="30"/>
        <v>0.007764223252</v>
      </c>
      <c r="P64" s="84">
        <f t="shared" si="30"/>
        <v>0.006797311047</v>
      </c>
      <c r="Q64" s="84">
        <f t="shared" si="30"/>
        <v>0.008396676769</v>
      </c>
      <c r="R64" s="84">
        <f t="shared" si="30"/>
        <v>0.009207783067</v>
      </c>
    </row>
    <row r="65" ht="12.75" customHeight="1">
      <c r="A65" s="25" t="s">
        <v>98</v>
      </c>
      <c r="B65" s="84">
        <f t="shared" ref="B65:R65" si="31">B52/(SUM(B$45:B$54))</f>
        <v>0.02157823121</v>
      </c>
      <c r="C65" s="84">
        <f t="shared" si="31"/>
        <v>0.03138086593</v>
      </c>
      <c r="D65" s="84">
        <f t="shared" si="31"/>
        <v>0.03223585126</v>
      </c>
      <c r="E65" s="84">
        <f t="shared" si="31"/>
        <v>0.009407541949</v>
      </c>
      <c r="F65" s="84">
        <f t="shared" si="31"/>
        <v>0.02903268662</v>
      </c>
      <c r="G65" s="84">
        <f t="shared" si="31"/>
        <v>0.02486266628</v>
      </c>
      <c r="H65" s="84">
        <f t="shared" si="31"/>
        <v>0.06285443064</v>
      </c>
      <c r="I65" s="84">
        <f t="shared" si="31"/>
        <v>0.05923018997</v>
      </c>
      <c r="J65" s="84">
        <f t="shared" si="31"/>
        <v>0.08405785098</v>
      </c>
      <c r="K65" s="84">
        <f t="shared" si="31"/>
        <v>0.09887560869</v>
      </c>
      <c r="L65" s="84">
        <f t="shared" si="31"/>
        <v>0.1185954168</v>
      </c>
      <c r="M65" s="84">
        <f t="shared" si="31"/>
        <v>0.08405354543</v>
      </c>
      <c r="N65" s="84">
        <f t="shared" si="31"/>
        <v>0.03743139765</v>
      </c>
      <c r="O65" s="84">
        <f t="shared" si="31"/>
        <v>0.01792773565</v>
      </c>
      <c r="P65" s="84">
        <f t="shared" si="31"/>
        <v>0</v>
      </c>
      <c r="Q65" s="84">
        <f t="shared" si="31"/>
        <v>0</v>
      </c>
      <c r="R65" s="84">
        <f t="shared" si="31"/>
        <v>0</v>
      </c>
    </row>
    <row r="66" ht="12.75" customHeight="1">
      <c r="A66" s="25" t="s">
        <v>99</v>
      </c>
      <c r="B66" s="84">
        <f t="shared" ref="B66:R66" si="32">B53/(SUM(B$45:B$54))</f>
        <v>0.05740258198</v>
      </c>
      <c r="C66" s="84">
        <f t="shared" si="32"/>
        <v>0.06201266293</v>
      </c>
      <c r="D66" s="84">
        <f t="shared" si="32"/>
        <v>0.05941146497</v>
      </c>
      <c r="E66" s="84">
        <f t="shared" si="32"/>
        <v>0.09663966484</v>
      </c>
      <c r="F66" s="84">
        <f t="shared" si="32"/>
        <v>0.1345704258</v>
      </c>
      <c r="G66" s="84">
        <f t="shared" si="32"/>
        <v>0.1522767062</v>
      </c>
      <c r="H66" s="84">
        <f t="shared" si="32"/>
        <v>0.2205869255</v>
      </c>
      <c r="I66" s="84">
        <f t="shared" si="32"/>
        <v>0.2453907568</v>
      </c>
      <c r="J66" s="84">
        <f t="shared" si="32"/>
        <v>0.231029145</v>
      </c>
      <c r="K66" s="84">
        <f t="shared" si="32"/>
        <v>0.240101491</v>
      </c>
      <c r="L66" s="84">
        <f t="shared" si="32"/>
        <v>0.2836197088</v>
      </c>
      <c r="M66" s="84">
        <f t="shared" si="32"/>
        <v>0.2997100468</v>
      </c>
      <c r="N66" s="84">
        <f t="shared" si="32"/>
        <v>0.3250142815</v>
      </c>
      <c r="O66" s="84">
        <f t="shared" si="32"/>
        <v>0.2589790647</v>
      </c>
      <c r="P66" s="84">
        <f t="shared" si="32"/>
        <v>0.2249373327</v>
      </c>
      <c r="Q66" s="84">
        <f t="shared" si="32"/>
        <v>0.2717059982</v>
      </c>
      <c r="R66" s="84">
        <f t="shared" si="32"/>
        <v>0.3662840125</v>
      </c>
    </row>
    <row r="67" ht="12.75" customHeight="1">
      <c r="A67" s="25" t="s">
        <v>118</v>
      </c>
      <c r="B67" s="84">
        <f t="shared" ref="B67:R67" si="33">B54/(SUM(B$45:B$54))</f>
        <v>0.004666120345</v>
      </c>
      <c r="C67" s="84">
        <f t="shared" si="33"/>
        <v>0.009112729938</v>
      </c>
      <c r="D67" s="84">
        <f t="shared" si="33"/>
        <v>0.007097690385</v>
      </c>
      <c r="E67" s="84">
        <f t="shared" si="33"/>
        <v>0.007924380075</v>
      </c>
      <c r="F67" s="84">
        <f t="shared" si="33"/>
        <v>0.01162759013</v>
      </c>
      <c r="G67" s="84">
        <f t="shared" si="33"/>
        <v>0.01044077917</v>
      </c>
      <c r="H67" s="84">
        <f t="shared" si="33"/>
        <v>0.01118702006</v>
      </c>
      <c r="I67" s="84">
        <f t="shared" si="33"/>
        <v>0.009406596898</v>
      </c>
      <c r="J67" s="84">
        <f t="shared" si="33"/>
        <v>0.01034507783</v>
      </c>
      <c r="K67" s="84">
        <f t="shared" si="33"/>
        <v>0.009808901106</v>
      </c>
      <c r="L67" s="84">
        <f t="shared" si="33"/>
        <v>0.01008575855</v>
      </c>
      <c r="M67" s="84">
        <f t="shared" si="33"/>
        <v>0.010768418</v>
      </c>
      <c r="N67" s="84">
        <f t="shared" si="33"/>
        <v>0.009489880892</v>
      </c>
      <c r="O67" s="84">
        <f t="shared" si="33"/>
        <v>0.01221773288</v>
      </c>
      <c r="P67" s="84">
        <f t="shared" si="33"/>
        <v>0.01061176218</v>
      </c>
      <c r="Q67" s="84">
        <f t="shared" si="33"/>
        <v>0.01070093464</v>
      </c>
      <c r="R67" s="84">
        <f t="shared" si="33"/>
        <v>0.01644942659</v>
      </c>
    </row>
    <row r="68" ht="12.75" customHeight="1">
      <c r="A68" s="25" t="s">
        <v>114</v>
      </c>
      <c r="B68" s="79" t="s">
        <v>119</v>
      </c>
      <c r="C68" s="25"/>
    </row>
    <row r="69" ht="15.0" customHeight="1">
      <c r="A69" s="25" t="s">
        <v>115</v>
      </c>
      <c r="B69" s="79" t="s">
        <v>119</v>
      </c>
      <c r="C69" s="25"/>
    </row>
    <row r="70" ht="12.75" customHeight="1">
      <c r="A70" s="76" t="s">
        <v>103</v>
      </c>
      <c r="B70" s="80">
        <f t="shared" ref="B70:R70" si="34">SUM(B59:B69)</f>
        <v>1</v>
      </c>
      <c r="C70" s="80">
        <f t="shared" si="34"/>
        <v>1</v>
      </c>
      <c r="D70" s="80">
        <f t="shared" si="34"/>
        <v>0.998495696</v>
      </c>
      <c r="E70" s="80">
        <f t="shared" si="34"/>
        <v>0.9904025376</v>
      </c>
      <c r="F70" s="80">
        <f t="shared" si="34"/>
        <v>0.9859567406</v>
      </c>
      <c r="G70" s="80">
        <f t="shared" si="34"/>
        <v>0.9881978021</v>
      </c>
      <c r="H70" s="80">
        <f t="shared" si="34"/>
        <v>0.9800068223</v>
      </c>
      <c r="I70" s="80">
        <f t="shared" si="34"/>
        <v>0.9778483645</v>
      </c>
      <c r="J70" s="80">
        <f t="shared" si="34"/>
        <v>0.9786900977</v>
      </c>
      <c r="K70" s="80">
        <f t="shared" si="34"/>
        <v>0.9813899872</v>
      </c>
      <c r="L70" s="80">
        <f t="shared" si="34"/>
        <v>0.9792723855</v>
      </c>
      <c r="M70" s="80">
        <f t="shared" si="34"/>
        <v>0.9794347686</v>
      </c>
      <c r="N70" s="80">
        <f t="shared" si="34"/>
        <v>0.9778577724</v>
      </c>
      <c r="O70" s="80">
        <f t="shared" si="34"/>
        <v>0.9753890296</v>
      </c>
      <c r="P70" s="80">
        <f t="shared" si="34"/>
        <v>0.9821865042</v>
      </c>
      <c r="Q70" s="80">
        <f t="shared" si="34"/>
        <v>0.9817425888</v>
      </c>
      <c r="R70" s="80">
        <f t="shared" si="34"/>
        <v>0.9769498728</v>
      </c>
    </row>
    <row r="71" ht="12.75" customHeight="1">
      <c r="A71" s="47"/>
      <c r="B71" s="25"/>
      <c r="C71" s="25"/>
      <c r="D71" s="25"/>
      <c r="E71" s="25"/>
      <c r="F71" s="25"/>
      <c r="G71" s="25"/>
      <c r="H71" s="25"/>
      <c r="I71" s="25"/>
      <c r="J71" s="25"/>
      <c r="K71" s="25"/>
      <c r="L71" s="25"/>
      <c r="M71" s="25"/>
      <c r="N71" s="25"/>
      <c r="O71" s="25"/>
      <c r="P71" s="25"/>
      <c r="Q71" s="25"/>
      <c r="R71" s="25"/>
    </row>
    <row r="72" ht="16.5" customHeight="1">
      <c r="A72" s="64" t="s">
        <v>120</v>
      </c>
      <c r="H72" s="25"/>
      <c r="I72" s="25"/>
      <c r="J72" s="25"/>
      <c r="K72" s="25"/>
      <c r="L72" s="25"/>
      <c r="M72" s="25"/>
      <c r="N72" s="25"/>
      <c r="O72" s="25"/>
      <c r="P72" s="25"/>
      <c r="Q72" s="25"/>
      <c r="R72" s="25"/>
    </row>
    <row r="73" ht="12.75" customHeight="1">
      <c r="A73" s="47"/>
      <c r="B73" s="65" t="s">
        <v>55</v>
      </c>
      <c r="H73" s="25"/>
      <c r="I73" s="25"/>
      <c r="J73" s="25"/>
      <c r="K73" s="25"/>
      <c r="L73" s="25"/>
      <c r="M73" s="25"/>
      <c r="N73" s="25"/>
      <c r="O73" s="25"/>
      <c r="P73" s="25"/>
      <c r="Q73" s="25"/>
      <c r="R73" s="25"/>
    </row>
    <row r="74" ht="12.75" customHeight="1">
      <c r="A74" s="65" t="s">
        <v>121</v>
      </c>
      <c r="B74" s="85" t="s">
        <v>76</v>
      </c>
      <c r="C74" s="86" t="s">
        <v>77</v>
      </c>
      <c r="D74" s="86" t="s">
        <v>78</v>
      </c>
      <c r="E74" s="86" t="s">
        <v>79</v>
      </c>
      <c r="F74" s="86" t="s">
        <v>80</v>
      </c>
      <c r="G74" s="86" t="s">
        <v>81</v>
      </c>
      <c r="H74" s="86" t="s">
        <v>82</v>
      </c>
      <c r="I74" s="86" t="s">
        <v>83</v>
      </c>
      <c r="J74" s="86" t="s">
        <v>84</v>
      </c>
      <c r="K74" s="86" t="s">
        <v>85</v>
      </c>
      <c r="L74" s="86" t="s">
        <v>67</v>
      </c>
      <c r="M74" s="86" t="s">
        <v>68</v>
      </c>
      <c r="N74" s="67" t="s">
        <v>69</v>
      </c>
      <c r="O74" s="67" t="s">
        <v>70</v>
      </c>
      <c r="P74" s="67" t="s">
        <v>71</v>
      </c>
      <c r="Q74" s="67" t="s">
        <v>72</v>
      </c>
      <c r="R74" s="67" t="s">
        <v>73</v>
      </c>
    </row>
    <row r="75" ht="12.75" customHeight="1">
      <c r="A75" s="65" t="s">
        <v>122</v>
      </c>
      <c r="C75" s="25"/>
    </row>
    <row r="76" ht="12.75" customHeight="1">
      <c r="A76" s="25" t="s">
        <v>123</v>
      </c>
      <c r="B76" s="73">
        <f>SUM('Scope1A Stationary'!C22,'Scope1A Stationary'!C38,'Scope1A Stationary'!C50,'Scope1B  Mobile'!B21,'Scope1B  Mobile'!B38,'Scope2 Electricity'!B101,'Scope2 Electricity'!B113,'Scope2 Electricity'!B125,'Scope2 Electricity'!B137,'Scope2 Electricity'!B149,'Scope3 Travel'!B22,'Scope3 Travel'!B44,'Scope3 Travel'!B69,'Scope3 Travel'!B104,'Scope3 Travel'!B134)</f>
        <v>29124.8</v>
      </c>
      <c r="C76" s="73">
        <f>SUM('Scope1A Stationary'!D22,'Scope1A Stationary'!D38,'Scope1A Stationary'!D50,'Scope1B  Mobile'!C21,'Scope1B  Mobile'!C38,'Scope2 Electricity'!C101,'Scope2 Electricity'!C113,'Scope2 Electricity'!C125,'Scope2 Electricity'!C137,'Scope2 Electricity'!C149,'Scope3 Travel'!C22,'Scope3 Travel'!C44,'Scope3 Travel'!C69,'Scope3 Travel'!C104,'Scope3 Travel'!C134)</f>
        <v>30773.2</v>
      </c>
      <c r="D76" s="73">
        <f>SUM('Scope1A Stationary'!E22,'Scope1A Stationary'!E38,'Scope1A Stationary'!E50,'Scope1B  Mobile'!D21,'Scope1B  Mobile'!D38,'Scope2 Electricity'!D101,'Scope2 Electricity'!D113,'Scope2 Electricity'!D125,'Scope2 Electricity'!D137,'Scope2 Electricity'!D149,'Scope3 Travel'!D22,'Scope3 Travel'!D44,'Scope3 Travel'!D69,'Scope3 Travel'!D104,'Scope3 Travel'!D134)</f>
        <v>27646.4</v>
      </c>
      <c r="E76" s="73">
        <f>SUM('Scope1A Stationary'!F22,'Scope1A Stationary'!F38,'Scope1A Stationary'!F50,'Scope1B  Mobile'!E21,'Scope1B  Mobile'!E38,'Scope2 Electricity'!E101,'Scope2 Electricity'!E113,'Scope2 Electricity'!E125,'Scope2 Electricity'!E137,'Scope2 Electricity'!E149,'Scope3 Travel'!E22,'Scope3 Travel'!E44,'Scope3 Travel'!E69,'Scope3 Travel'!E104,'Scope3 Travel'!E134)</f>
        <v>18372.2</v>
      </c>
      <c r="F76" s="73">
        <f>SUM('Scope1A Stationary'!G22,'Scope1A Stationary'!G38,'Scope1A Stationary'!G50,'Scope1B  Mobile'!F21,'Scope1B  Mobile'!F38,'Scope2 Electricity'!F101,'Scope2 Electricity'!F113,'Scope2 Electricity'!F125,'Scope2 Electricity'!F137,'Scope2 Electricity'!F149,'Scope3 Travel'!F22,'Scope3 Travel'!F44,'Scope3 Travel'!F69,'Scope3 Travel'!F104,'Scope3 Travel'!F134)</f>
        <v>16998.7</v>
      </c>
      <c r="G76" s="73">
        <f>SUM('Scope1A Stationary'!H22,'Scope1A Stationary'!H38,'Scope1A Stationary'!H50,'Scope1B  Mobile'!G21,'Scope1B  Mobile'!G38,'Scope2 Electricity'!G101,'Scope2 Electricity'!G113,'Scope2 Electricity'!G125,'Scope2 Electricity'!G137,'Scope2 Electricity'!G149,'Scope3 Travel'!G22,'Scope3 Travel'!G44,'Scope3 Travel'!G69,'Scope3 Travel'!G104,'Scope3 Travel'!G134)</f>
        <v>17023.7</v>
      </c>
      <c r="H76" s="73">
        <f>SUM('Scope1A Stationary'!I22,'Scope1A Stationary'!I38,'Scope1A Stationary'!I50,'Scope1B  Mobile'!H21,'Scope1B  Mobile'!H38,'Scope2 Electricity'!H101,'Scope2 Electricity'!H113,'Scope2 Electricity'!H125,'Scope2 Electricity'!H137,'Scope2 Electricity'!H149,'Scope3 Travel'!H22,'Scope3 Travel'!H44,'Scope3 Travel'!H69,'Scope3 Travel'!H104,'Scope3 Travel'!H134)</f>
        <v>13122</v>
      </c>
      <c r="I76" s="73">
        <f>SUM('Scope1A Stationary'!J22,'Scope1A Stationary'!J38,'Scope1A Stationary'!J50,'Scope1B  Mobile'!I21,'Scope1B  Mobile'!I38,'Scope2 Electricity'!I101,'Scope2 Electricity'!I113,'Scope2 Electricity'!I125,'Scope2 Electricity'!I137,'Scope2 Electricity'!I149,'Scope3 Travel'!I22,'Scope3 Travel'!I44,'Scope3 Travel'!I69,'Scope3 Travel'!I104,'Scope3 Travel'!I134)</f>
        <v>14444.1</v>
      </c>
      <c r="J76" s="73">
        <f>SUM('Scope1A Stationary'!K22,'Scope1A Stationary'!K38,'Scope1A Stationary'!K50,'Scope1B  Mobile'!J21,'Scope1B  Mobile'!J38,'Scope2 Electricity'!J101,'Scope2 Electricity'!J113,'Scope2 Electricity'!J125,'Scope2 Electricity'!J137,'Scope2 Electricity'!J149,'Scope3 Travel'!J22,'Scope3 Travel'!J44,'Scope3 Travel'!J69,'Scope3 Travel'!J104,'Scope3 Travel'!J134)</f>
        <v>14816.6</v>
      </c>
      <c r="K76" s="73">
        <f>SUM('Scope1A Stationary'!L22,'Scope1A Stationary'!L38,'Scope1A Stationary'!L50,'Scope1B  Mobile'!K21,'Scope1B  Mobile'!K38,'Scope2 Electricity'!K101,'Scope2 Electricity'!K113,'Scope2 Electricity'!K125,'Scope2 Electricity'!K137,'Scope2 Electricity'!K149,'Scope3 Travel'!K22,'Scope3 Travel'!K44,'Scope3 Travel'!K69,'Scope3 Travel'!K104,'Scope3 Travel'!K134)</f>
        <v>9826.4</v>
      </c>
      <c r="L76" s="73">
        <f>SUM('Scope1A Stationary'!M22,'Scope1A Stationary'!M38,'Scope1A Stationary'!M50,'Scope1B  Mobile'!L21,'Scope1B  Mobile'!L38,'Scope2 Electricity'!L101,'Scope2 Electricity'!L113,'Scope2 Electricity'!L125,'Scope2 Electricity'!L137,'Scope2 Electricity'!L149,'Scope3 Travel'!L22,'Scope3 Travel'!L44,'Scope3 Travel'!L69,'Scope3 Travel'!L104,'Scope3 Travel'!L134)</f>
        <v>9483.2</v>
      </c>
      <c r="M76" s="73">
        <f>SUM('Scope1A Stationary'!N22,'Scope1A Stationary'!N38,'Scope1A Stationary'!N50,'Scope1B  Mobile'!M21,'Scope1B  Mobile'!M38,'Scope2 Electricity'!M101,'Scope2 Electricity'!M113,'Scope2 Electricity'!M125,'Scope2 Electricity'!M137,'Scope2 Electricity'!M149,'Scope3 Travel'!M22,'Scope3 Travel'!M44,'Scope3 Travel'!M69,'Scope3 Travel'!M104,'Scope3 Travel'!M134)</f>
        <v>8018.9</v>
      </c>
      <c r="N76" s="73">
        <f>SUM('Scope1A Stationary'!O22,'Scope1A Stationary'!O38,'Scope1A Stationary'!O50,'Scope1B  Mobile'!N21,'Scope1B  Mobile'!N38,'Scope2 Electricity'!O101,'Scope2 Electricity'!O113,'Scope2 Electricity'!O125,'Scope2 Electricity'!O137,'Scope2 Electricity'!O149,'Scope3 Travel'!N22,'Scope3 Travel'!N44,'Scope3 Travel'!N69,'Scope3 Travel'!N104,'Scope3 Travel'!N134)</f>
        <v>6456.6</v>
      </c>
      <c r="O76" s="73">
        <f>SUM('Scope1A Stationary'!P22,'Scope1A Stationary'!P38,'Scope1A Stationary'!P50,'Scope1B  Mobile'!O21,'Scope1B  Mobile'!O38,'Scope2 Electricity'!P101,'Scope2 Electricity'!P113,'Scope2 Electricity'!P125,'Scope2 Electricity'!P137,'Scope2 Electricity'!P149,'Scope3 Travel'!O22,'Scope3 Travel'!O44,'Scope3 Travel'!O69,'Scope3 Travel'!O104,'Scope3 Travel'!O134)</f>
        <v>6145.2</v>
      </c>
      <c r="P76" s="73">
        <f>SUM('Scope1A Stationary'!Q22,'Scope1A Stationary'!Q38,'Scope1A Stationary'!Q50,'Scope1B  Mobile'!P21,'Scope1B  Mobile'!P38,'Scope2 Electricity'!R101,'Scope2 Electricity'!R113,'Scope2 Electricity'!R125,'Scope2 Electricity'!R137,'Scope2 Electricity'!R149,'Scope3 Travel'!P22,'Scope3 Travel'!P44,'Scope3 Travel'!P69,'Scope3 Travel'!V104,'Scope3 Travel'!T134)</f>
        <v>1127757.2</v>
      </c>
      <c r="Q76" s="73">
        <f>SUM('Scope1A Stationary'!R22,'Scope1A Stationary'!R38,'Scope1A Stationary'!R50,'Scope1B  Mobile'!Q21,'Scope1B  Mobile'!Q38,'Scope2 Electricity'!S101,'Scope2 Electricity'!S113,'Scope2 Electricity'!S125,'Scope2 Electricity'!S137,'Scope2 Electricity'!S149,'Scope3 Travel'!Q22,'Scope3 Travel'!Q44,'Scope3 Travel'!Q69,'Scope3 Travel'!W104,'Scope3 Travel'!U134)</f>
        <v>2733.7</v>
      </c>
      <c r="R76" s="73" t="str">
        <f>SUM('Scope1A Stationary'!S22,'Scope1A Stationary'!S38,'Scope1A Stationary'!S50,'Scope1B  Mobile'!R21,'Scope1B  Mobile'!R38,'Scope2 Electricity'!T101,'Scope2 Electricity'!T113,'Scope2 Electricity'!T125,'Scope2 Electricity'!T137,'Scope2 Electricity'!T149,'Scope3 Travel'!R22,'Scope3 Travel'!R44,'Scope3 Travel'!R69,'Scope3 Travel'!#REF!,'Scope3 Travel'!V134)</f>
        <v>#ERROR!</v>
      </c>
    </row>
    <row r="77" ht="12.75" customHeight="1">
      <c r="A77" s="25" t="s">
        <v>124</v>
      </c>
      <c r="B77" s="73">
        <f>SUM('Scope1A Stationary'!C24,'Scope1A Stationary'!C40,'Scope1A Stationary'!C52,'Scope1B  Mobile'!B42,'Scope1B  Mobile'!B25,'Scope2 Electricity'!B151,'Scope2 Electricity'!B139,'Scope2 Electricity'!B127,'Scope2 Electricity'!B115,'Scope2 Electricity'!B103,'Scope3 Travel'!B26,'Scope3 Travel'!B72,'Scope3 Travel'!B46,'Scope3 Travel'!B107,'Scope3 Travel'!B137,'Scope3 Landfill Methane'!B38)</f>
        <v>166.3346719</v>
      </c>
      <c r="C77" s="73">
        <f>SUM('Scope1A Stationary'!D24,'Scope1A Stationary'!D40,'Scope1A Stationary'!D52,'Scope1B  Mobile'!C42,'Scope1B  Mobile'!C25,'Scope2 Electricity'!C151,'Scope2 Electricity'!C139,'Scope2 Electricity'!C127,'Scope2 Electricity'!C115,'Scope2 Electricity'!C103,'Scope3 Travel'!C26,'Scope3 Travel'!C72,'Scope3 Travel'!C46,'Scope3 Travel'!C107,'Scope3 Travel'!C137,'Scope3 Landfill Methane'!C38)</f>
        <v>316.6988825</v>
      </c>
      <c r="D77" s="73">
        <f>SUM('Scope1A Stationary'!E24,'Scope1A Stationary'!E40,'Scope1A Stationary'!E52,'Scope1B  Mobile'!D42,'Scope1B  Mobile'!D25,'Scope2 Electricity'!D151,'Scope2 Electricity'!D139,'Scope2 Electricity'!D127,'Scope2 Electricity'!D115,'Scope2 Electricity'!D103,'Scope3 Travel'!D26,'Scope3 Travel'!D72,'Scope3 Travel'!D46,'Scope3 Travel'!D107,'Scope3 Travel'!D137,'Scope3 Landfill Methane'!D38)</f>
        <v>229.5616374</v>
      </c>
      <c r="E77" s="73">
        <f>SUM('Scope1A Stationary'!F24,'Scope1A Stationary'!F40,'Scope1A Stationary'!F52,'Scope1B  Mobile'!E42,'Scope1B  Mobile'!E25,'Scope2 Electricity'!E151,'Scope2 Electricity'!E139,'Scope2 Electricity'!E127,'Scope2 Electricity'!E115,'Scope2 Electricity'!E103,'Scope3 Travel'!E26,'Scope3 Travel'!E72,'Scope3 Travel'!E46,'Scope3 Travel'!E107,'Scope3 Travel'!E137,'Scope3 Landfill Methane'!E38)</f>
        <v>170.2175562</v>
      </c>
      <c r="F77" s="73">
        <f>SUM('Scope1A Stationary'!G24,'Scope1A Stationary'!G40,'Scope1A Stationary'!G52,'Scope1B  Mobile'!F42,'Scope1B  Mobile'!F25,'Scope2 Electricity'!F151,'Scope2 Electricity'!F139,'Scope2 Electricity'!F127,'Scope2 Electricity'!F115,'Scope2 Electricity'!F103,'Scope3 Travel'!F26,'Scope3 Travel'!F72,'Scope3 Travel'!F46,'Scope3 Travel'!F107,'Scope3 Travel'!F137,'Scope3 Landfill Methane'!F38)</f>
        <v>227.4179405</v>
      </c>
      <c r="G77" s="73">
        <f>SUM('Scope1A Stationary'!H24,'Scope1A Stationary'!H40,'Scope1A Stationary'!H52,'Scope1B  Mobile'!G42,'Scope1B  Mobile'!G25,'Scope2 Electricity'!G151,'Scope2 Electricity'!G139,'Scope2 Electricity'!G127,'Scope2 Electricity'!G115,'Scope2 Electricity'!G103,'Scope3 Travel'!G26,'Scope3 Travel'!G72,'Scope3 Travel'!G46,'Scope3 Travel'!G107,'Scope3 Travel'!G137,'Scope3 Landfill Methane'!G38)</f>
        <v>204.4651482</v>
      </c>
      <c r="H77" s="73">
        <f>SUM('Scope1A Stationary'!I24,'Scope1A Stationary'!I40,'Scope1A Stationary'!I52,'Scope1B  Mobile'!H42,'Scope1B  Mobile'!H25,'Scope2 Electricity'!H151,'Scope2 Electricity'!H139,'Scope2 Electricity'!H127,'Scope2 Electricity'!H115,'Scope2 Electricity'!H103,'Scope3 Travel'!H26,'Scope3 Travel'!H72,'Scope3 Travel'!H46,'Scope3 Travel'!H107,'Scope3 Travel'!H137,'Scope3 Landfill Methane'!H38)</f>
        <v>170.5898625</v>
      </c>
      <c r="I77" s="73">
        <f>SUM('Scope1A Stationary'!J24,'Scope1A Stationary'!J40,'Scope1A Stationary'!J52,'Scope1B  Mobile'!I42,'Scope1B  Mobile'!I25,'Scope2 Electricity'!I151,'Scope2 Electricity'!I139,'Scope2 Electricity'!I127,'Scope2 Electricity'!I115,'Scope2 Electricity'!I103,'Scope3 Travel'!I26,'Scope3 Travel'!I72,'Scope3 Travel'!I46,'Scope3 Travel'!I107,'Scope3 Travel'!I137,'Scope3 Landfill Methane'!I38)</f>
        <v>160.2827968</v>
      </c>
      <c r="J77" s="73">
        <f>SUM('Scope1A Stationary'!K24,'Scope1A Stationary'!K40,'Scope1A Stationary'!K52,'Scope1B  Mobile'!J42,'Scope1B  Mobile'!J25,'Scope2 Electricity'!J151,'Scope2 Electricity'!J139,'Scope2 Electricity'!J127,'Scope2 Electricity'!J115,'Scope2 Electricity'!J103,'Scope3 Travel'!J26,'Scope3 Travel'!J72,'Scope3 Travel'!J46,'Scope3 Travel'!J107,'Scope3 Travel'!J137,'Scope3 Landfill Methane'!J38)</f>
        <v>174.4169892</v>
      </c>
      <c r="K77" s="73">
        <f>SUM('Scope1A Stationary'!L24,'Scope1A Stationary'!L40,'Scope1A Stationary'!L52,'Scope1A Stationary'!L64,'Scope1B  Mobile'!K42,'Scope1B  Mobile'!K25,'Scope2 Electricity'!K151,'Scope2 Electricity'!K139,'Scope2 Electricity'!K127,'Scope2 Electricity'!K115,'Scope2 Electricity'!K103,'Scope3 Travel'!K26,'Scope3 Travel'!K72,'Scope3 Travel'!K46,'Scope3 Travel'!K107,'Scope3 Travel'!K137,'Scope3 Landfill Methane'!K38)</f>
        <v>153.8684389</v>
      </c>
      <c r="L77" s="73">
        <f>SUM('Scope1A Stationary'!M24,'Scope1A Stationary'!M40,'Scope1A Stationary'!M52,'Scope1A Stationary'!M64,'Scope1B  Mobile'!L42,'Scope1B  Mobile'!L25,'Scope2 Electricity'!L151,'Scope2 Electricity'!L139,'Scope2 Electricity'!L127,'Scope2 Electricity'!L115,'Scope2 Electricity'!L103,'Scope3 Travel'!L26,'Scope3 Travel'!L72,'Scope3 Travel'!L46,'Scope3 Travel'!L107,'Scope3 Travel'!L137,'Scope3 Landfill Methane'!L38)</f>
        <v>161.2403464</v>
      </c>
      <c r="M77" s="73">
        <f>SUM('Scope1A Stationary'!N24,'Scope1A Stationary'!N40,'Scope1A Stationary'!N52,'Scope1A Stationary'!N64,'Scope1B  Mobile'!M42,'Scope1B  Mobile'!M25,'Scope2 Electricity'!M151,'Scope2 Electricity'!M139,'Scope2 Electricity'!M127,'Scope2 Electricity'!M115,'Scope2 Electricity'!M103,'Scope3 Travel'!M26,'Scope3 Travel'!M72,'Scope3 Travel'!M46,'Scope3 Travel'!M107,'Scope3 Travel'!M137,'Scope3 Landfill Methane'!M38)</f>
        <v>159.288903</v>
      </c>
      <c r="N77" s="73">
        <f>SUM('Scope1A Stationary'!O24,'Scope1A Stationary'!O40,'Scope1A Stationary'!O52,'Scope1A Stationary'!O64,'Scope1B  Mobile'!N42,'Scope1B  Mobile'!N25,'Scope2 Electricity'!O151,'Scope2 Electricity'!O139,'Scope2 Electricity'!O127,'Scope2 Electricity'!O115,'Scope2 Electricity'!O103,'Scope3 Travel'!N26,'Scope3 Travel'!N72,'Scope3 Travel'!N46,'Scope3 Travel'!N107,'Scope3 Travel'!N137,'Scope3 Landfill Methane'!N38)</f>
        <v>137.2290803</v>
      </c>
      <c r="O77" s="73">
        <f>SUM('Scope1A Stationary'!P24,'Scope1A Stationary'!P40,'Scope1A Stationary'!P52,'Scope1A Stationary'!P64,'Scope1B  Mobile'!O42,'Scope1B  Mobile'!O25,'Scope2 Electricity'!P151,'Scope2 Electricity'!P139,'Scope2 Electricity'!P127,'Scope2 Electricity'!P115,'Scope2 Electricity'!P103,'Scope3 Travel'!O26,'Scope3 Travel'!O72,'Scope3 Travel'!O46,'Scope3 Travel'!O107,'Scope3 Travel'!O137,'Scope3 Landfill Methane'!O38)</f>
        <v>133.9322127</v>
      </c>
      <c r="P77" s="73">
        <f>SUM('Scope1A Stationary'!Q24,'Scope1A Stationary'!Q40,'Scope1A Stationary'!Q52,'Scope1A Stationary'!Q64,'Scope1B  Mobile'!P42,'Scope1B  Mobile'!P25,'Scope2 Electricity'!R151,'Scope2 Electricity'!R139,'Scope2 Electricity'!R127,'Scope2 Electricity'!R115,'Scope2 Electricity'!R103,'Scope3 Travel'!P26,'Scope3 Travel'!P72,'Scope3 Travel'!P46,'Scope3 Travel'!V107,'Scope3 Travel'!P137,'Scope3 Landfill Methane'!P38)</f>
        <v>133.9917518</v>
      </c>
      <c r="Q77" s="73">
        <f>SUM('Scope1A Stationary'!R24,'Scope1A Stationary'!R40,'Scope1A Stationary'!R52,'Scope1A Stationary'!R64,'Scope1B  Mobile'!Q42,'Scope1B  Mobile'!Q25,'Scope2 Electricity'!S151,'Scope2 Electricity'!S139,'Scope2 Electricity'!S127,'Scope2 Electricity'!S115,'Scope2 Electricity'!S103,'Scope3 Travel'!Q26,'Scope3 Travel'!Q72,'Scope3 Travel'!Q46,'Scope3 Travel'!W107,'Scope3 Travel'!Q137,'Scope3 Landfill Methane'!Q38)</f>
        <v>132.8896493</v>
      </c>
      <c r="R77" s="73" t="str">
        <f>SUM('Scope1A Stationary'!S24,'Scope1A Stationary'!S40,'Scope1A Stationary'!S52,'Scope1A Stationary'!S64,'Scope1B  Mobile'!R42,'Scope1B  Mobile'!R25,'Scope2 Electricity'!T151,'Scope2 Electricity'!T139,'Scope2 Electricity'!T127,'Scope2 Electricity'!T115,'Scope2 Electricity'!T103,'Scope3 Travel'!R26,'Scope3 Travel'!R72,'Scope3 Travel'!R46,'Scope3 Travel'!#REF!,'Scope3 Travel'!R137,'Scope3 Landfill Methane'!R38)</f>
        <v>#ERROR!</v>
      </c>
    </row>
    <row r="78" ht="15.0" customHeight="1">
      <c r="A78" s="25" t="s">
        <v>125</v>
      </c>
      <c r="B78" s="73">
        <f>SUM('Scope1B  Mobile'!B27,'Scope1B  Mobile'!B44,'Scope1A Stationary'!C54,'Scope1A Stationary'!C42,'Scope1A Stationary'!C26,'Scope2 Electricity'!B105,'Scope2 Electricity'!B117,'Scope2 Electricity'!B129,'Scope2 Electricity'!B141,'Scope2 Electricity'!B153,'Scope3 Travel'!B28,'Scope3 Travel'!B74,'Scope3 Travel'!B48,'Scope3 Travel'!B109,'Scope3 Travel'!B139)</f>
        <v>127.3965638</v>
      </c>
      <c r="C78" s="73">
        <f>SUM('Scope1B  Mobile'!C27,'Scope1B  Mobile'!C44,'Scope1A Stationary'!D54,'Scope1A Stationary'!D42,'Scope1A Stationary'!D26,'Scope2 Electricity'!C105,'Scope2 Electricity'!C117,'Scope2 Electricity'!C129,'Scope2 Electricity'!C141,'Scope2 Electricity'!C153,'Scope3 Travel'!C28,'Scope3 Travel'!C74,'Scope3 Travel'!C48,'Scope3 Travel'!C109,'Scope3 Travel'!C139)</f>
        <v>149.0216577</v>
      </c>
      <c r="D78" s="73">
        <f>SUM('Scope1B  Mobile'!D27,'Scope1B  Mobile'!D44,'Scope1A Stationary'!E54,'Scope1A Stationary'!E42,'Scope1A Stationary'!E26,'Scope2 Electricity'!D105,'Scope2 Electricity'!D117,'Scope2 Electricity'!D129,'Scope2 Electricity'!D141,'Scope2 Electricity'!D153,'Scope3 Travel'!D28,'Scope3 Travel'!D74,'Scope3 Travel'!D48,'Scope3 Travel'!D109,'Scope3 Travel'!D139)</f>
        <v>143.7355963</v>
      </c>
      <c r="E78" s="73">
        <f>SUM('Scope1B  Mobile'!E27,'Scope1B  Mobile'!E44,'Scope1A Stationary'!F54,'Scope1A Stationary'!F42,'Scope1A Stationary'!F26,'Scope2 Electricity'!E105,'Scope2 Electricity'!E117,'Scope2 Electricity'!E129,'Scope2 Electricity'!E141,'Scope2 Electricity'!E153,'Scope3 Travel'!E28,'Scope3 Travel'!E74,'Scope3 Travel'!E48,'Scope3 Travel'!E109,'Scope3 Travel'!E139)</f>
        <v>112.8278593</v>
      </c>
      <c r="F78" s="73">
        <f>SUM('Scope1B  Mobile'!F27,'Scope1B  Mobile'!F44,'Scope1A Stationary'!G54,'Scope1A Stationary'!G42,'Scope1A Stationary'!G26,'Scope2 Electricity'!F105,'Scope2 Electricity'!F117,'Scope2 Electricity'!F129,'Scope2 Electricity'!F141,'Scope2 Electricity'!F153,'Scope3 Travel'!F28,'Scope3 Travel'!F74,'Scope3 Travel'!F48,'Scope3 Travel'!F109,'Scope3 Travel'!F139)</f>
        <v>113.9840063</v>
      </c>
      <c r="G78" s="73">
        <f>SUM('Scope1B  Mobile'!G27,'Scope1B  Mobile'!G44,'Scope1A Stationary'!H54,'Scope1A Stationary'!H42,'Scope1A Stationary'!H26,'Scope2 Electricity'!G105,'Scope2 Electricity'!G117,'Scope2 Electricity'!G129,'Scope2 Electricity'!G141,'Scope2 Electricity'!G153,'Scope3 Travel'!G28,'Scope3 Travel'!G74,'Scope3 Travel'!G48,'Scope3 Travel'!G109,'Scope3 Travel'!G139)</f>
        <v>109.1875103</v>
      </c>
      <c r="H78" s="73">
        <f>SUM('Scope1B  Mobile'!H27,'Scope1B  Mobile'!H44,'Scope1A Stationary'!I54,'Scope1A Stationary'!I42,'Scope1A Stationary'!I26,'Scope2 Electricity'!H105,'Scope2 Electricity'!H117,'Scope2 Electricity'!H129,'Scope2 Electricity'!H141,'Scope2 Electricity'!H153,'Scope3 Travel'!H28,'Scope3 Travel'!H74,'Scope3 Travel'!H48,'Scope3 Travel'!H109,'Scope3 Travel'!H139)</f>
        <v>99.12013425</v>
      </c>
      <c r="I78" s="73">
        <f>SUM('Scope1B  Mobile'!I27,'Scope1B  Mobile'!I44,'Scope1A Stationary'!J54,'Scope1A Stationary'!J42,'Scope1A Stationary'!J26,'Scope2 Electricity'!I105,'Scope2 Electricity'!I117,'Scope2 Electricity'!I129,'Scope2 Electricity'!I141,'Scope2 Electricity'!I153,'Scope3 Travel'!I28,'Scope3 Travel'!I74,'Scope3 Travel'!I48,'Scope3 Travel'!I109,'Scope3 Travel'!I139)</f>
        <v>115.1631111</v>
      </c>
      <c r="J78" s="73">
        <f>SUM('Scope1B  Mobile'!J27,'Scope1B  Mobile'!J44,'Scope1A Stationary'!K54,'Scope1A Stationary'!K42,'Scope1A Stationary'!K26,'Scope2 Electricity'!J105,'Scope2 Electricity'!J117,'Scope2 Electricity'!J129,'Scope2 Electricity'!J141,'Scope2 Electricity'!J153,'Scope3 Travel'!J28,'Scope3 Travel'!J74,'Scope3 Travel'!J48,'Scope3 Travel'!J109,'Scope3 Travel'!J139)</f>
        <v>115.7636399</v>
      </c>
      <c r="K78" s="73">
        <f>SUM('Scope1B  Mobile'!K27,'Scope1B  Mobile'!K44,'Scope1A Stationary'!L54,'Scope1A Stationary'!L42,'Scope1A Stationary'!L26,'Scope1A Stationary'!L66,'Scope2 Electricity'!K105,'Scope2 Electricity'!K117,'Scope2 Electricity'!K129,'Scope2 Electricity'!K141,'Scope2 Electricity'!K153,'Scope3 Travel'!K28,'Scope3 Travel'!K74,'Scope3 Travel'!K48,'Scope3 Travel'!K109,'Scope3 Travel'!K139)</f>
        <v>143.1770846</v>
      </c>
      <c r="L78" s="73">
        <f>SUM('Scope1B  Mobile'!L27,'Scope1B  Mobile'!L44,'Scope1A Stationary'!M54,'Scope1A Stationary'!M42,'Scope1A Stationary'!M26,'Scope1A Stationary'!M66,'Scope2 Electricity'!L105,'Scope2 Electricity'!L117,'Scope2 Electricity'!L129,'Scope2 Electricity'!L141,'Scope2 Electricity'!L153,'Scope3 Travel'!L28,'Scope3 Travel'!L74,'Scope3 Travel'!L48,'Scope3 Travel'!L109,'Scope3 Travel'!L139)</f>
        <v>148.9151803</v>
      </c>
      <c r="M78" s="73">
        <f>SUM('Scope1B  Mobile'!M27,'Scope1B  Mobile'!M44,'Scope1A Stationary'!N54,'Scope1A Stationary'!N42,'Scope1A Stationary'!N26,'Scope1A Stationary'!N66,'Scope2 Electricity'!M105,'Scope2 Electricity'!M117,'Scope2 Electricity'!M129,'Scope2 Electricity'!M141,'Scope2 Electricity'!M153,'Scope3 Travel'!M28,'Scope3 Travel'!M74,'Scope3 Travel'!M48,'Scope3 Travel'!M109,'Scope3 Travel'!M139)</f>
        <v>148.9123951</v>
      </c>
      <c r="N78" s="73">
        <f>SUM('Scope1B  Mobile'!N27,'Scope1B  Mobile'!N44,'Scope1A Stationary'!O54,'Scope1A Stationary'!O42,'Scope1A Stationary'!O26,'Scope1A Stationary'!O66,'Scope2 Electricity'!O105,'Scope2 Electricity'!O117,'Scope2 Electricity'!O129,'Scope2 Electricity'!O141,'Scope2 Electricity'!O153,'Scope3 Travel'!N28,'Scope3 Travel'!N74,'Scope3 Travel'!N48,'Scope3 Travel'!N109,'Scope3 Travel'!N139)</f>
        <v>148.7198066</v>
      </c>
      <c r="O78" s="73">
        <f>SUM('Scope1B  Mobile'!O27,'Scope1B  Mobile'!O44,'Scope1A Stationary'!P54,'Scope1A Stationary'!P42,'Scope1A Stationary'!P26,'Scope1A Stationary'!P66,'Scope2 Electricity'!P105,'Scope2 Electricity'!P117,'Scope2 Electricity'!P129,'Scope2 Electricity'!P141,'Scope2 Electricity'!P153,'Scope3 Travel'!O28,'Scope3 Travel'!O74,'Scope3 Travel'!O48,'Scope3 Travel'!O109,'Scope3 Travel'!O139)</f>
        <v>125.5344241</v>
      </c>
      <c r="P78" s="73">
        <f>SUM('Scope1B  Mobile'!P27,'Scope1B  Mobile'!P44,'Scope1A Stationary'!Q54,'Scope1A Stationary'!Q42,'Scope1A Stationary'!Q26,'Scope1A Stationary'!Q66,'Scope2 Electricity'!R105,'Scope2 Electricity'!R117,'Scope2 Electricity'!R129,'Scope2 Electricity'!R141,'Scope2 Electricity'!R153,'Scope3 Travel'!P28,'Scope3 Travel'!P74,'Scope3 Travel'!P48,'Scope3 Travel'!V109,'Scope3 Travel'!P139)</f>
        <v>125.5264521</v>
      </c>
      <c r="Q78" s="73">
        <f>SUM('Scope1B  Mobile'!Q27,'Scope1B  Mobile'!Q44,'Scope1A Stationary'!R54,'Scope1A Stationary'!R42,'Scope1A Stationary'!R26,'Scope1A Stationary'!R66,'Scope2 Electricity'!S105,'Scope2 Electricity'!S117,'Scope2 Electricity'!S129,'Scope2 Electricity'!S141,'Scope2 Electricity'!S153,'Scope3 Travel'!Q28,'Scope3 Travel'!Q74,'Scope3 Travel'!Q48,'Scope3 Travel'!W109,'Scope3 Travel'!Q139)</f>
        <v>124.4132831</v>
      </c>
      <c r="R78" s="73" t="str">
        <f>SUM('Scope1B  Mobile'!R27,'Scope1B  Mobile'!R44,'Scope1A Stationary'!S54,'Scope1A Stationary'!S42,'Scope1A Stationary'!S26,'Scope1A Stationary'!S66,'Scope2 Electricity'!T105,'Scope2 Electricity'!T117,'Scope2 Electricity'!T129,'Scope2 Electricity'!T141,'Scope2 Electricity'!T153,'Scope3 Travel'!R28,'Scope3 Travel'!R74,'Scope3 Travel'!R48,'Scope3 Travel'!#REF!,'Scope3 Travel'!R139)</f>
        <v>#ERROR!</v>
      </c>
    </row>
    <row r="79" ht="12.75" customHeight="1">
      <c r="A79" s="76" t="s">
        <v>103</v>
      </c>
      <c r="B79" s="77">
        <f t="shared" ref="B79:R79" si="35">SUM(B76:B78)</f>
        <v>29418.53124</v>
      </c>
      <c r="C79" s="77">
        <f t="shared" si="35"/>
        <v>31238.92054</v>
      </c>
      <c r="D79" s="77">
        <f t="shared" si="35"/>
        <v>28019.69723</v>
      </c>
      <c r="E79" s="77">
        <f t="shared" si="35"/>
        <v>18655.24542</v>
      </c>
      <c r="F79" s="77">
        <f t="shared" si="35"/>
        <v>17340.10195</v>
      </c>
      <c r="G79" s="77">
        <f t="shared" si="35"/>
        <v>17337.35266</v>
      </c>
      <c r="H79" s="77">
        <f t="shared" si="35"/>
        <v>13391.71</v>
      </c>
      <c r="I79" s="77">
        <f t="shared" si="35"/>
        <v>14719.54591</v>
      </c>
      <c r="J79" s="77">
        <f t="shared" si="35"/>
        <v>15106.78063</v>
      </c>
      <c r="K79" s="77">
        <f t="shared" si="35"/>
        <v>10123.44552</v>
      </c>
      <c r="L79" s="77">
        <f t="shared" si="35"/>
        <v>9793.355527</v>
      </c>
      <c r="M79" s="77">
        <f t="shared" si="35"/>
        <v>8327.101298</v>
      </c>
      <c r="N79" s="77">
        <f t="shared" si="35"/>
        <v>6742.548887</v>
      </c>
      <c r="O79" s="77">
        <f t="shared" si="35"/>
        <v>6404.666637</v>
      </c>
      <c r="P79" s="77">
        <f t="shared" si="35"/>
        <v>1128016.718</v>
      </c>
      <c r="Q79" s="77">
        <f t="shared" si="35"/>
        <v>2991.002932</v>
      </c>
      <c r="R79" s="77" t="str">
        <f t="shared" si="35"/>
        <v>#ERROR!</v>
      </c>
    </row>
    <row r="80" ht="12.75" customHeight="1">
      <c r="A80" s="65" t="s">
        <v>94</v>
      </c>
      <c r="B80" s="25"/>
      <c r="C80" s="25"/>
    </row>
    <row r="81" ht="16.5" customHeight="1">
      <c r="A81" s="25" t="s">
        <v>126</v>
      </c>
      <c r="B81" s="87">
        <f t="shared" ref="B81:R81" si="36">B76/B79</f>
        <v>0.9900154351</v>
      </c>
      <c r="C81" s="87">
        <f t="shared" si="36"/>
        <v>0.9850916571</v>
      </c>
      <c r="D81" s="87">
        <f t="shared" si="36"/>
        <v>0.9866773281</v>
      </c>
      <c r="E81" s="87">
        <f t="shared" si="36"/>
        <v>0.9848275694</v>
      </c>
      <c r="F81" s="87">
        <f t="shared" si="36"/>
        <v>0.9803114222</v>
      </c>
      <c r="G81" s="87">
        <f t="shared" si="36"/>
        <v>0.9819088494</v>
      </c>
      <c r="H81" s="87">
        <f t="shared" si="36"/>
        <v>0.9798599285</v>
      </c>
      <c r="I81" s="87">
        <f t="shared" si="36"/>
        <v>0.9812870649</v>
      </c>
      <c r="J81" s="87">
        <f t="shared" si="36"/>
        <v>0.9807913654</v>
      </c>
      <c r="K81" s="87">
        <f t="shared" si="36"/>
        <v>0.9706576656</v>
      </c>
      <c r="L81" s="87">
        <f t="shared" si="36"/>
        <v>0.9683300044</v>
      </c>
      <c r="M81" s="87">
        <f t="shared" si="36"/>
        <v>0.9629881651</v>
      </c>
      <c r="N81" s="87">
        <f t="shared" si="36"/>
        <v>0.9575903873</v>
      </c>
      <c r="O81" s="87">
        <f t="shared" si="36"/>
        <v>0.9594878779</v>
      </c>
      <c r="P81" s="87">
        <f t="shared" si="36"/>
        <v>0.9997699341</v>
      </c>
      <c r="Q81" s="87">
        <f t="shared" si="36"/>
        <v>0.9139743631</v>
      </c>
      <c r="R81" s="87" t="str">
        <f t="shared" si="36"/>
        <v>#ERROR!</v>
      </c>
      <c r="S81" s="12"/>
      <c r="T81" s="12"/>
      <c r="U81" s="12"/>
    </row>
    <row r="82" ht="15.0" customHeight="1">
      <c r="A82" s="25" t="s">
        <v>127</v>
      </c>
      <c r="B82" s="87">
        <f t="shared" ref="B82:R82" si="37">B77/B79</f>
        <v>0.005654078057</v>
      </c>
      <c r="C82" s="87">
        <f t="shared" si="37"/>
        <v>0.01013795858</v>
      </c>
      <c r="D82" s="87">
        <f t="shared" si="37"/>
        <v>0.008192866451</v>
      </c>
      <c r="E82" s="87">
        <f t="shared" si="37"/>
        <v>0.00912438043</v>
      </c>
      <c r="F82" s="87">
        <f t="shared" si="37"/>
        <v>0.01311514437</v>
      </c>
      <c r="G82" s="87">
        <f t="shared" si="37"/>
        <v>0.01179333156</v>
      </c>
      <c r="H82" s="87">
        <f t="shared" si="37"/>
        <v>0.0127384675</v>
      </c>
      <c r="I82" s="87">
        <f t="shared" si="37"/>
        <v>0.01088911287</v>
      </c>
      <c r="J82" s="87">
        <f t="shared" si="37"/>
        <v>0.01154560945</v>
      </c>
      <c r="K82" s="87">
        <f t="shared" si="37"/>
        <v>0.01519921637</v>
      </c>
      <c r="L82" s="87">
        <f t="shared" si="37"/>
        <v>0.01646425946</v>
      </c>
      <c r="M82" s="87">
        <f t="shared" si="37"/>
        <v>0.01912897386</v>
      </c>
      <c r="N82" s="87">
        <f t="shared" si="37"/>
        <v>0.02035270082</v>
      </c>
      <c r="O82" s="87">
        <f t="shared" si="37"/>
        <v>0.02091166024</v>
      </c>
      <c r="P82" s="87">
        <f t="shared" si="37"/>
        <v>0.0001187852535</v>
      </c>
      <c r="Q82" s="87">
        <f t="shared" si="37"/>
        <v>0.04442979572</v>
      </c>
      <c r="R82" s="87" t="str">
        <f t="shared" si="37"/>
        <v>#ERROR!</v>
      </c>
    </row>
    <row r="83" ht="15.0" customHeight="1">
      <c r="A83" s="25" t="s">
        <v>128</v>
      </c>
      <c r="B83" s="87">
        <f t="shared" ref="B83:R83" si="38">B78/B79</f>
        <v>0.004330486888</v>
      </c>
      <c r="C83" s="87">
        <f t="shared" si="38"/>
        <v>0.004770384352</v>
      </c>
      <c r="D83" s="87">
        <f t="shared" si="38"/>
        <v>0.005129805475</v>
      </c>
      <c r="E83" s="87">
        <f t="shared" si="38"/>
        <v>0.006048050123</v>
      </c>
      <c r="F83" s="87">
        <f t="shared" si="38"/>
        <v>0.006573433458</v>
      </c>
      <c r="G83" s="87">
        <f t="shared" si="38"/>
        <v>0.006297819076</v>
      </c>
      <c r="H83" s="87">
        <f t="shared" si="38"/>
        <v>0.007401603998</v>
      </c>
      <c r="I83" s="87">
        <f t="shared" si="38"/>
        <v>0.007823822269</v>
      </c>
      <c r="J83" s="87">
        <f t="shared" si="38"/>
        <v>0.007663025152</v>
      </c>
      <c r="K83" s="87">
        <f t="shared" si="38"/>
        <v>0.014143118</v>
      </c>
      <c r="L83" s="87">
        <f t="shared" si="38"/>
        <v>0.01520573616</v>
      </c>
      <c r="M83" s="87">
        <f t="shared" si="38"/>
        <v>0.01788286101</v>
      </c>
      <c r="N83" s="87">
        <f t="shared" si="38"/>
        <v>0.02205691187</v>
      </c>
      <c r="O83" s="87">
        <f t="shared" si="38"/>
        <v>0.01960046186</v>
      </c>
      <c r="P83" s="87">
        <f t="shared" si="38"/>
        <v>0.0001112806663</v>
      </c>
      <c r="Q83" s="87">
        <f t="shared" si="38"/>
        <v>0.04159584122</v>
      </c>
      <c r="R83" s="87" t="str">
        <f t="shared" si="38"/>
        <v>#ERROR!</v>
      </c>
    </row>
    <row r="84" ht="12.75" customHeight="1">
      <c r="A84" s="76" t="s">
        <v>93</v>
      </c>
      <c r="B84" s="88">
        <f t="shared" ref="B84:R84" si="39">SUM(B81:B83)</f>
        <v>1</v>
      </c>
      <c r="C84" s="88">
        <f t="shared" si="39"/>
        <v>1</v>
      </c>
      <c r="D84" s="88">
        <f t="shared" si="39"/>
        <v>1</v>
      </c>
      <c r="E84" s="88">
        <f t="shared" si="39"/>
        <v>1</v>
      </c>
      <c r="F84" s="88">
        <f t="shared" si="39"/>
        <v>1</v>
      </c>
      <c r="G84" s="88">
        <f t="shared" si="39"/>
        <v>1</v>
      </c>
      <c r="H84" s="88">
        <f t="shared" si="39"/>
        <v>1</v>
      </c>
      <c r="I84" s="88">
        <f t="shared" si="39"/>
        <v>1</v>
      </c>
      <c r="J84" s="88">
        <f t="shared" si="39"/>
        <v>1</v>
      </c>
      <c r="K84" s="88">
        <f t="shared" si="39"/>
        <v>1</v>
      </c>
      <c r="L84" s="88">
        <f t="shared" si="39"/>
        <v>1</v>
      </c>
      <c r="M84" s="88">
        <f t="shared" si="39"/>
        <v>1</v>
      </c>
      <c r="N84" s="88">
        <f t="shared" si="39"/>
        <v>1</v>
      </c>
      <c r="O84" s="88">
        <f t="shared" si="39"/>
        <v>1</v>
      </c>
      <c r="P84" s="88">
        <f t="shared" si="39"/>
        <v>1</v>
      </c>
      <c r="Q84" s="88">
        <f t="shared" si="39"/>
        <v>1</v>
      </c>
      <c r="R84" s="88" t="str">
        <f t="shared" si="39"/>
        <v>#ERROR!</v>
      </c>
    </row>
    <row r="85" ht="12.75" customHeight="1">
      <c r="G85" s="25"/>
    </row>
    <row r="86" ht="12.75" customHeight="1">
      <c r="G86" s="65"/>
      <c r="H86" s="65"/>
      <c r="I86" s="65"/>
    </row>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C3"/>
    <mergeCell ref="A72:B72"/>
  </mergeCells>
  <printOptions/>
  <pageMargins bottom="0.75" footer="0.0" header="0.0" left="0.7" right="0.7" top="0.75"/>
  <pageSetup orientation="landscape"/>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6" width="8.88"/>
    <col customWidth="1" min="7" max="26" width="10.0"/>
  </cols>
  <sheetData>
    <row r="1" ht="12.75" customHeight="1"/>
    <row r="2" ht="12.75" customHeight="1"/>
    <row r="3" ht="12.75" customHeight="1"/>
    <row r="4" ht="12.75" customHeight="1">
      <c r="A4" s="473">
        <v>40721.0</v>
      </c>
    </row>
    <row r="5" ht="12.75" customHeight="1">
      <c r="A5" s="25" t="s">
        <v>1609</v>
      </c>
    </row>
    <row r="6" ht="12.75" customHeight="1">
      <c r="A6" s="25" t="s">
        <v>1610</v>
      </c>
    </row>
    <row r="7" ht="12.75" customHeight="1">
      <c r="A7" s="25" t="s">
        <v>1611</v>
      </c>
    </row>
    <row r="8" ht="12.75" customHeight="1"/>
    <row r="9" ht="12.75" customHeight="1">
      <c r="A9" s="473">
        <v>40723.0</v>
      </c>
    </row>
    <row r="10" ht="12.75" customHeight="1">
      <c r="A10" s="25" t="s">
        <v>1612</v>
      </c>
    </row>
    <row r="11" ht="12.75" customHeight="1">
      <c r="A11" s="25" t="s">
        <v>1613</v>
      </c>
    </row>
    <row r="12" ht="12.75" customHeight="1">
      <c r="A12" s="25" t="s">
        <v>1614</v>
      </c>
    </row>
    <row r="13" ht="12.75" customHeight="1"/>
    <row r="14" ht="12.75" customHeight="1"/>
    <row r="15" ht="12.75" customHeight="1">
      <c r="A15" s="473">
        <v>40725.0</v>
      </c>
    </row>
    <row r="16" ht="12.75" customHeight="1">
      <c r="A16" s="25" t="s">
        <v>1615</v>
      </c>
    </row>
    <row r="17" ht="12.75" customHeight="1">
      <c r="A17" s="25" t="s">
        <v>1616</v>
      </c>
    </row>
    <row r="18" ht="12.75" customHeight="1"/>
    <row r="19" ht="12.75" customHeight="1"/>
    <row r="20" ht="12.75" customHeight="1">
      <c r="A20" s="473">
        <v>40731.0</v>
      </c>
    </row>
    <row r="21" ht="12.75" customHeight="1">
      <c r="A21" s="25" t="s">
        <v>1617</v>
      </c>
    </row>
    <row r="22" ht="12.75" customHeight="1"/>
    <row r="23" ht="12.75" customHeight="1"/>
    <row r="24" ht="12.75" customHeight="1">
      <c r="A24" s="473">
        <v>40735.0</v>
      </c>
    </row>
    <row r="25" ht="12.75" customHeight="1">
      <c r="A25" s="25" t="s">
        <v>1618</v>
      </c>
    </row>
    <row r="26" ht="12.75" customHeight="1"/>
    <row r="27" ht="12.75" customHeight="1"/>
    <row r="28" ht="12.75" customHeight="1">
      <c r="A28" s="473">
        <v>40738.0</v>
      </c>
    </row>
    <row r="29" ht="12.75" customHeight="1">
      <c r="A29" s="25" t="s">
        <v>1619</v>
      </c>
    </row>
    <row r="30" ht="12.75" customHeight="1">
      <c r="A30" s="25" t="s">
        <v>1620</v>
      </c>
    </row>
    <row r="31" ht="12.75" customHeight="1"/>
    <row r="32" ht="12.75" customHeight="1">
      <c r="A32" s="72" t="s">
        <v>1621</v>
      </c>
    </row>
    <row r="33" ht="12.75" customHeight="1">
      <c r="A33" s="25" t="s">
        <v>1622</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11.5"/>
    <col customWidth="1" min="12" max="26" width="10.0"/>
  </cols>
  <sheetData>
    <row r="1" ht="12.75" customHeight="1">
      <c r="A1" s="72" t="s">
        <v>96</v>
      </c>
    </row>
    <row r="2" ht="12.75" customHeight="1">
      <c r="A2" s="86" t="s">
        <v>1512</v>
      </c>
      <c r="B2" s="86" t="s">
        <v>1513</v>
      </c>
      <c r="C2" s="86" t="s">
        <v>1514</v>
      </c>
      <c r="D2" s="86" t="s">
        <v>1515</v>
      </c>
      <c r="E2" s="86" t="s">
        <v>1516</v>
      </c>
    </row>
    <row r="3" ht="12.75" customHeight="1">
      <c r="A3" s="97">
        <f t="shared" ref="A3:E3" si="1">A18</f>
        <v>18863.4</v>
      </c>
      <c r="B3" s="97">
        <f t="shared" si="1"/>
        <v>22165.5</v>
      </c>
      <c r="C3" s="97">
        <f t="shared" si="1"/>
        <v>21972.9</v>
      </c>
      <c r="D3" s="97">
        <f t="shared" si="1"/>
        <v>23752.5</v>
      </c>
      <c r="E3" s="97">
        <f t="shared" si="1"/>
        <v>23371.9</v>
      </c>
    </row>
    <row r="4" ht="12.75" customHeight="1">
      <c r="A4" s="97">
        <f t="shared" ref="A4:E4" si="2">A35</f>
        <v>0</v>
      </c>
      <c r="B4" s="97">
        <f t="shared" si="2"/>
        <v>1506.4</v>
      </c>
      <c r="C4" s="97">
        <f t="shared" si="2"/>
        <v>1870</v>
      </c>
      <c r="D4" s="97">
        <f t="shared" si="2"/>
        <v>1771.9</v>
      </c>
      <c r="E4" s="97">
        <f t="shared" si="2"/>
        <v>1638.5</v>
      </c>
    </row>
    <row r="5" ht="12.75" customHeight="1">
      <c r="A5" s="97">
        <f t="shared" ref="A5:E5" si="3">A47</f>
        <v>0</v>
      </c>
      <c r="B5" s="97">
        <f t="shared" si="3"/>
        <v>583.66696</v>
      </c>
      <c r="C5" s="97">
        <f t="shared" si="3"/>
        <v>633.96</v>
      </c>
      <c r="D5" s="97">
        <f t="shared" si="3"/>
        <v>593.73824</v>
      </c>
      <c r="E5" s="97">
        <f t="shared" si="3"/>
        <v>548.34124</v>
      </c>
    </row>
    <row r="6" ht="12.75" customHeight="1">
      <c r="A6" s="98"/>
      <c r="B6" s="98">
        <f t="shared" ref="B6:E6" si="4">SUM(B3:B5)</f>
        <v>24255.56696</v>
      </c>
      <c r="C6" s="98">
        <f t="shared" si="4"/>
        <v>24476.86</v>
      </c>
      <c r="D6" s="98">
        <f t="shared" si="4"/>
        <v>26118.13824</v>
      </c>
      <c r="E6" s="98">
        <f t="shared" si="4"/>
        <v>25558.74124</v>
      </c>
    </row>
    <row r="7" ht="12.75" customHeight="1">
      <c r="A7" s="25"/>
    </row>
    <row r="8" ht="12.75" customHeight="1"/>
    <row r="9" ht="12.75" customHeight="1">
      <c r="A9" s="65" t="s">
        <v>55</v>
      </c>
    </row>
    <row r="10" ht="12.75" customHeight="1">
      <c r="A10" s="85" t="s">
        <v>1512</v>
      </c>
      <c r="B10" s="85" t="s">
        <v>1513</v>
      </c>
      <c r="C10" s="85" t="s">
        <v>1514</v>
      </c>
      <c r="D10" s="85" t="s">
        <v>1515</v>
      </c>
      <c r="E10" s="85" t="s">
        <v>1516</v>
      </c>
    </row>
    <row r="11" ht="12.75" customHeight="1">
      <c r="A11" s="115">
        <v>1611776.0</v>
      </c>
      <c r="B11" s="115">
        <v>1893920.0</v>
      </c>
      <c r="C11" s="115">
        <v>1877462.0</v>
      </c>
      <c r="D11" s="115">
        <v>2029520.0</v>
      </c>
      <c r="E11" s="115">
        <v>1996996.0</v>
      </c>
    </row>
    <row r="12" ht="12.75" customHeight="1">
      <c r="A12" s="73">
        <f>ROUND(A11*'Scope1A Stationary'!$C108,1)</f>
        <v>241267.5</v>
      </c>
      <c r="B12" s="73">
        <f>ROUND(B11*'Scope1A Stationary'!$C108,1)</f>
        <v>283501.8</v>
      </c>
      <c r="C12" s="73">
        <f>ROUND(C11*'Scope1A Stationary'!$C108,1)</f>
        <v>281038.2</v>
      </c>
      <c r="D12" s="73">
        <f>ROUND(D11*'Scope1A Stationary'!$C108,1)</f>
        <v>303799.8</v>
      </c>
      <c r="E12" s="73">
        <f>ROUND(E11*'Scope1A Stationary'!$C108,1)</f>
        <v>298931.3</v>
      </c>
    </row>
    <row r="13" ht="12.75" customHeight="1">
      <c r="A13" s="78">
        <f>ROUND(A11*'Scope1A Stationary'!$C109,1)</f>
        <v>18808.4</v>
      </c>
      <c r="B13" s="78">
        <f>ROUND(B11*'Scope1A Stationary'!$C109,1)</f>
        <v>22100.9</v>
      </c>
      <c r="C13" s="78">
        <f>ROUND(C11*'Scope1A Stationary'!$C109,1)</f>
        <v>21908.8</v>
      </c>
      <c r="D13" s="78">
        <f>ROUND(D11*'Scope1A Stationary'!$C109,1)</f>
        <v>23683.2</v>
      </c>
      <c r="E13" s="78">
        <f>ROUND(E11*'Scope1A Stationary'!$C109,1)</f>
        <v>23303.7</v>
      </c>
    </row>
    <row r="14" ht="12.75" customHeight="1">
      <c r="A14" s="112">
        <f>('Scope1A Stationary'!$C114*A12*'Scope1A Stationary'!$C102)</f>
        <v>0.482535</v>
      </c>
      <c r="B14" s="112">
        <f>('Scope1A Stationary'!$C114*B12*'Scope1A Stationary'!$C102)</f>
        <v>0.5670036</v>
      </c>
      <c r="C14" s="112">
        <f>('Scope1A Stationary'!$C114*C12*'Scope1A Stationary'!$C102)</f>
        <v>0.5620764</v>
      </c>
      <c r="D14" s="112">
        <f>('Scope1A Stationary'!$C114*D12*'Scope1A Stationary'!$C102)</f>
        <v>0.6075996</v>
      </c>
      <c r="E14" s="112">
        <f>('Scope1A Stationary'!$C114*E12*'Scope1A Stationary'!$C102)</f>
        <v>0.5978626</v>
      </c>
    </row>
    <row r="15" ht="12.75" customHeight="1">
      <c r="A15" s="119">
        <f>A12*'Scope1A Stationary'!$C114*'Scope1A Stationary'!$C102*'Scope1A Stationary'!$C104</f>
        <v>10.133235</v>
      </c>
      <c r="B15" s="119">
        <f>B12*'Scope1A Stationary'!$C114*'Scope1A Stationary'!$C102*'Scope1A Stationary'!$C104</f>
        <v>11.9070756</v>
      </c>
      <c r="C15" s="119">
        <f>C12*'Scope1A Stationary'!$C114*'Scope1A Stationary'!$C102*'Scope1A Stationary'!$C104</f>
        <v>11.8036044</v>
      </c>
      <c r="D15" s="119">
        <f>D12*'Scope1A Stationary'!$C114*'Scope1A Stationary'!$C102*'Scope1A Stationary'!$C104</f>
        <v>12.7595916</v>
      </c>
      <c r="E15" s="119">
        <f>E12*'Scope1A Stationary'!$C114*'Scope1A Stationary'!$C102*'Scope1A Stationary'!$C104</f>
        <v>12.5551146</v>
      </c>
    </row>
    <row r="16" ht="12.75" customHeight="1">
      <c r="A16" s="112">
        <f>('Scope1A Stationary'!$C115*A12*'Scope1A Stationary'!$C102)</f>
        <v>0.1447605</v>
      </c>
      <c r="B16" s="112">
        <f>('Scope1A Stationary'!$C115*B12*'Scope1A Stationary'!$C102)</f>
        <v>0.17010108</v>
      </c>
      <c r="C16" s="112">
        <f>('Scope1A Stationary'!$C115*C12*'Scope1A Stationary'!$C102)</f>
        <v>0.16862292</v>
      </c>
      <c r="D16" s="112">
        <f>('Scope1A Stationary'!$C115*D12*'Scope1A Stationary'!$C102)</f>
        <v>0.18227988</v>
      </c>
      <c r="E16" s="112">
        <f>('Scope1A Stationary'!$C115*E12*'Scope1A Stationary'!$C102)</f>
        <v>0.17935878</v>
      </c>
    </row>
    <row r="17" ht="12.75" customHeight="1">
      <c r="A17" s="119">
        <f>A12*'Scope1A Stationary'!$C115*'Scope1A Stationary'!$C102*'Scope1A Stationary'!$C105</f>
        <v>44.875755</v>
      </c>
      <c r="B17" s="119">
        <f>B12*'Scope1A Stationary'!$C115*'Scope1A Stationary'!$C102*'Scope1A Stationary'!$C105</f>
        <v>52.7313348</v>
      </c>
      <c r="C17" s="119">
        <f>C12*'Scope1A Stationary'!$C115*'Scope1A Stationary'!$C102*'Scope1A Stationary'!$C105</f>
        <v>52.2731052</v>
      </c>
      <c r="D17" s="119">
        <f>D12*'Scope1A Stationary'!$C115*'Scope1A Stationary'!$C102*'Scope1A Stationary'!$C105</f>
        <v>56.5067628</v>
      </c>
      <c r="E17" s="119">
        <f>E12*'Scope1A Stationary'!$C115*'Scope1A Stationary'!$C102*'Scope1A Stationary'!$C105</f>
        <v>55.6012218</v>
      </c>
    </row>
    <row r="18" ht="12.75" customHeight="1">
      <c r="A18" s="121">
        <f t="shared" ref="A18:E18" si="5">ROUND(A13+A15+A17,1)</f>
        <v>18863.4</v>
      </c>
      <c r="B18" s="121">
        <f t="shared" si="5"/>
        <v>22165.5</v>
      </c>
      <c r="C18" s="121">
        <f t="shared" si="5"/>
        <v>21972.9</v>
      </c>
      <c r="D18" s="121">
        <f t="shared" si="5"/>
        <v>23752.5</v>
      </c>
      <c r="E18" s="121">
        <f t="shared" si="5"/>
        <v>23371.9</v>
      </c>
    </row>
    <row r="19" ht="12.75" customHeight="1"/>
    <row r="20" ht="12.75" customHeight="1">
      <c r="A20" s="55" t="s">
        <v>1623</v>
      </c>
      <c r="B20" s="390">
        <v>0.0</v>
      </c>
      <c r="C20" s="390">
        <v>0.0</v>
      </c>
      <c r="D20" s="55">
        <v>0.0</v>
      </c>
      <c r="E20" s="55">
        <v>0.0</v>
      </c>
    </row>
    <row r="21" ht="12.75" customHeight="1">
      <c r="A21" s="65" t="s">
        <v>55</v>
      </c>
    </row>
    <row r="22" ht="12.75" customHeight="1">
      <c r="A22" s="85" t="s">
        <v>1512</v>
      </c>
      <c r="B22" s="85" t="s">
        <v>1513</v>
      </c>
      <c r="C22" s="85" t="s">
        <v>1514</v>
      </c>
      <c r="D22" s="85" t="s">
        <v>1515</v>
      </c>
      <c r="E22" s="85" t="s">
        <v>1516</v>
      </c>
    </row>
    <row r="23" ht="12.75" customHeight="1">
      <c r="A23" s="117"/>
      <c r="B23" s="117">
        <v>149271.5</v>
      </c>
      <c r="C23" s="117">
        <v>185295.4</v>
      </c>
      <c r="D23" s="117">
        <v>175582.0</v>
      </c>
      <c r="E23" s="117">
        <v>3860.2</v>
      </c>
    </row>
    <row r="24" ht="12.75" customHeight="1">
      <c r="A24" s="117"/>
      <c r="B24" s="117"/>
      <c r="C24" s="117"/>
      <c r="D24" s="117"/>
      <c r="E24" s="117">
        <v>94365.9</v>
      </c>
    </row>
    <row r="25" ht="12.75" customHeight="1">
      <c r="A25" s="117"/>
      <c r="B25" s="117"/>
      <c r="C25" s="117"/>
      <c r="D25" s="117"/>
      <c r="E25" s="117">
        <v>48898.4</v>
      </c>
    </row>
    <row r="26" ht="12.75" customHeight="1">
      <c r="A26" s="117"/>
      <c r="B26" s="117"/>
      <c r="C26" s="117"/>
      <c r="D26" s="117"/>
      <c r="E26" s="117">
        <v>29735.7</v>
      </c>
    </row>
    <row r="27" ht="12.75" customHeight="1">
      <c r="A27" s="73">
        <f t="shared" ref="A27:E27" si="6">((A24*0.05)+(A25*0.2))</f>
        <v>0</v>
      </c>
      <c r="B27" s="73">
        <f t="shared" si="6"/>
        <v>0</v>
      </c>
      <c r="C27" s="73">
        <f t="shared" si="6"/>
        <v>0</v>
      </c>
      <c r="D27" s="73">
        <f t="shared" si="6"/>
        <v>0</v>
      </c>
      <c r="E27" s="73">
        <f t="shared" si="6"/>
        <v>14497.975</v>
      </c>
    </row>
    <row r="28" ht="12.75" customHeight="1">
      <c r="A28" s="97">
        <f t="shared" ref="A28:E28" si="7">(A23+(A24*0.95)+(A25*0.8)+A26)</f>
        <v>0</v>
      </c>
      <c r="B28" s="97">
        <f t="shared" si="7"/>
        <v>149271.5</v>
      </c>
      <c r="C28" s="97">
        <f t="shared" si="7"/>
        <v>185295.4</v>
      </c>
      <c r="D28" s="97">
        <f t="shared" si="7"/>
        <v>175582</v>
      </c>
      <c r="E28" s="97">
        <f t="shared" si="7"/>
        <v>162362.225</v>
      </c>
    </row>
    <row r="29" ht="12.75" customHeight="1">
      <c r="A29" s="73">
        <f>ROUND(A28*'Scope1A Stationary'!$C118,1)</f>
        <v>0</v>
      </c>
      <c r="B29" s="73">
        <f>ROUND(B28*'Scope1A Stationary'!$C118,1)</f>
        <v>20702.5</v>
      </c>
      <c r="C29" s="73">
        <f>ROUND(C28*'Scope1A Stationary'!$C118,1)</f>
        <v>25698.7</v>
      </c>
      <c r="D29" s="73">
        <f>ROUND(D28*'Scope1A Stationary'!$C118,1)</f>
        <v>24351.6</v>
      </c>
      <c r="E29" s="73">
        <f>ROUND(E28*'Scope1A Stationary'!$C118,1)</f>
        <v>22518.1</v>
      </c>
    </row>
    <row r="30" ht="12.75" customHeight="1">
      <c r="A30" s="78">
        <f>ROUND(A28*'Scope1A Stationary'!$C119,1)</f>
        <v>0</v>
      </c>
      <c r="B30" s="78">
        <f>ROUND(B28*'Scope1A Stationary'!$C119,1)</f>
        <v>1498.2</v>
      </c>
      <c r="C30" s="78">
        <f>ROUND(C28*'Scope1A Stationary'!$C119,1)</f>
        <v>1859.8</v>
      </c>
      <c r="D30" s="78">
        <f>ROUND(D28*'Scope1A Stationary'!$C119,1)</f>
        <v>1762.3</v>
      </c>
      <c r="E30" s="78">
        <f>ROUND(E28*'Scope1A Stationary'!$C119,1)</f>
        <v>1629.6</v>
      </c>
    </row>
    <row r="31" ht="12.75" customHeight="1">
      <c r="A31" s="112">
        <f>('Scope1A Stationary'!$C123*A29*'Scope1A Stationary'!$C102)</f>
        <v>0</v>
      </c>
      <c r="B31" s="112">
        <f>('Scope1A Stationary'!$C123*B29*'Scope1A Stationary'!$C102)</f>
        <v>0.207025</v>
      </c>
      <c r="C31" s="112">
        <f>('Scope1A Stationary'!$C123*C29*'Scope1A Stationary'!$C102)</f>
        <v>0.256987</v>
      </c>
      <c r="D31" s="112">
        <f>('Scope1A Stationary'!$C123*D29*'Scope1A Stationary'!$C102)</f>
        <v>0.243516</v>
      </c>
      <c r="E31" s="112">
        <f>('Scope1A Stationary'!$C123*E29*'Scope1A Stationary'!$C102)</f>
        <v>0.225181</v>
      </c>
    </row>
    <row r="32" ht="12.75" customHeight="1">
      <c r="A32" s="126">
        <f>A29*'Scope1A Stationary'!$C123*'Scope1A Stationary'!$C102*'Scope1A Stationary'!$C104</f>
        <v>0</v>
      </c>
      <c r="B32" s="126">
        <f>B29*'Scope1A Stationary'!$C123*'Scope1A Stationary'!$C102*'Scope1A Stationary'!$C104</f>
        <v>4.347525</v>
      </c>
      <c r="C32" s="126">
        <f>C29*'Scope1A Stationary'!$C123*'Scope1A Stationary'!$C102*'Scope1A Stationary'!$C104</f>
        <v>5.396727</v>
      </c>
      <c r="D32" s="126">
        <f>D29*'Scope1A Stationary'!$C123*'Scope1A Stationary'!$C102*'Scope1A Stationary'!$C104</f>
        <v>5.113836</v>
      </c>
      <c r="E32" s="126">
        <f>E29*'Scope1A Stationary'!$C123*'Scope1A Stationary'!$C102*'Scope1A Stationary'!$C104</f>
        <v>4.728801</v>
      </c>
    </row>
    <row r="33" ht="12.75" customHeight="1">
      <c r="A33" s="112">
        <f>('Scope1A Stationary'!$C124*A29*'Scope1A Stationary'!$C102)</f>
        <v>0</v>
      </c>
      <c r="B33" s="112">
        <f>('Scope1A Stationary'!$C124*B29*'Scope1A Stationary'!$C102)</f>
        <v>0.0124215</v>
      </c>
      <c r="C33" s="112">
        <f>('Scope1A Stationary'!$C124*C29*'Scope1A Stationary'!$C102)</f>
        <v>0.01541922</v>
      </c>
      <c r="D33" s="112">
        <f>('Scope1A Stationary'!$C124*D29*'Scope1A Stationary'!$C102)</f>
        <v>0.01461096</v>
      </c>
      <c r="E33" s="112">
        <f>('Scope1A Stationary'!$C124*E29*'Scope1A Stationary'!$C102)</f>
        <v>0.01351086</v>
      </c>
    </row>
    <row r="34" ht="12.75" customHeight="1">
      <c r="A34" s="126">
        <f>A29*'Scope1A Stationary'!$C124*'Scope1A Stationary'!$C102*'Scope1A Stationary'!$C105</f>
        <v>0</v>
      </c>
      <c r="B34" s="126">
        <f>B29*'Scope1A Stationary'!$C124*'Scope1A Stationary'!$C102*'Scope1A Stationary'!$C105</f>
        <v>3.850665</v>
      </c>
      <c r="C34" s="126">
        <f>C29*'Scope1A Stationary'!$C124*'Scope1A Stationary'!$C102*'Scope1A Stationary'!$C105</f>
        <v>4.7799582</v>
      </c>
      <c r="D34" s="126">
        <f>D29*'Scope1A Stationary'!$C124*'Scope1A Stationary'!$C102*'Scope1A Stationary'!$C105</f>
        <v>4.5293976</v>
      </c>
      <c r="E34" s="126">
        <f>E29*'Scope1A Stationary'!$C124*'Scope1A Stationary'!$C102*'Scope1A Stationary'!$C105</f>
        <v>4.1883666</v>
      </c>
    </row>
    <row r="35" ht="12.75" customHeight="1">
      <c r="A35" s="121">
        <f t="shared" ref="A35:E35" si="8">ROUND(A30+A32+A34,1)</f>
        <v>0</v>
      </c>
      <c r="B35" s="121">
        <f t="shared" si="8"/>
        <v>1506.4</v>
      </c>
      <c r="C35" s="121">
        <f t="shared" si="8"/>
        <v>1870</v>
      </c>
      <c r="D35" s="121">
        <f t="shared" si="8"/>
        <v>1771.9</v>
      </c>
      <c r="E35" s="121">
        <f t="shared" si="8"/>
        <v>1638.5</v>
      </c>
    </row>
    <row r="36" ht="12.75" customHeight="1"/>
    <row r="37" ht="12.75" customHeight="1">
      <c r="A37" s="55" t="s">
        <v>1624</v>
      </c>
      <c r="B37" s="117">
        <v>0.0</v>
      </c>
      <c r="C37" s="390">
        <v>0.0</v>
      </c>
      <c r="D37" s="55">
        <v>0.0</v>
      </c>
      <c r="E37" s="55">
        <v>0.0</v>
      </c>
      <c r="F37" s="25"/>
      <c r="G37" s="25"/>
      <c r="H37" s="25"/>
      <c r="I37" s="25"/>
      <c r="J37" s="25"/>
      <c r="K37" s="25"/>
      <c r="L37" s="25"/>
      <c r="M37" s="25"/>
      <c r="N37" s="25"/>
      <c r="O37" s="25"/>
      <c r="P37" s="25"/>
      <c r="Q37" s="25"/>
      <c r="R37" s="25"/>
      <c r="S37" s="25"/>
      <c r="T37" s="25"/>
      <c r="U37" s="25"/>
      <c r="V37" s="25"/>
      <c r="W37" s="25"/>
      <c r="X37" s="25"/>
      <c r="Y37" s="25"/>
      <c r="Z37" s="25"/>
    </row>
    <row r="38" ht="12.75" customHeight="1">
      <c r="A38" s="65" t="s">
        <v>55</v>
      </c>
    </row>
    <row r="39" ht="12.75" customHeight="1">
      <c r="A39" s="85" t="s">
        <v>1512</v>
      </c>
      <c r="B39" s="85" t="s">
        <v>1513</v>
      </c>
      <c r="C39" s="85" t="s">
        <v>1514</v>
      </c>
      <c r="D39" s="85" t="s">
        <v>1515</v>
      </c>
      <c r="E39" s="85" t="s">
        <v>1516</v>
      </c>
    </row>
    <row r="40" ht="12.75" customHeight="1">
      <c r="A40" s="115"/>
      <c r="B40" s="115">
        <v>101680.0</v>
      </c>
      <c r="C40" s="115">
        <v>109785.0</v>
      </c>
      <c r="D40" s="115">
        <v>103700.3</v>
      </c>
      <c r="E40" s="115">
        <v>95439.0</v>
      </c>
    </row>
    <row r="41" ht="12.75" customHeight="1">
      <c r="A41" s="73">
        <f>ROUND(A40*'Scope1A Stationary'!$C127,-1)</f>
        <v>0</v>
      </c>
      <c r="B41" s="73">
        <f>ROUND(B40*'Scope1A Stationary'!$C127,-1)</f>
        <v>9260</v>
      </c>
      <c r="C41" s="73">
        <f>ROUND(C40*'Scope1A Stationary'!$C127,-1)</f>
        <v>10000</v>
      </c>
      <c r="D41" s="73">
        <f>ROUND(D40*'Scope1A Stationary'!$C127,-1)</f>
        <v>9440</v>
      </c>
      <c r="E41" s="73">
        <f>ROUND(E40*'Scope1A Stationary'!$C127,-1)</f>
        <v>8690</v>
      </c>
    </row>
    <row r="42" ht="12.75" customHeight="1">
      <c r="A42" s="78">
        <f>ROUND(A40*'Scope1A Stationary'!$C128,-1)</f>
        <v>0</v>
      </c>
      <c r="B42" s="78">
        <f>ROUND(B40*'Scope1A Stationary'!$C128,-1)</f>
        <v>580</v>
      </c>
      <c r="C42" s="78">
        <f>ROUND(C40*'Scope1A Stationary'!$C128,-1)</f>
        <v>630</v>
      </c>
      <c r="D42" s="78">
        <f>ROUND(D40*'Scope1A Stationary'!$C128,-1)</f>
        <v>590</v>
      </c>
      <c r="E42" s="78">
        <f>ROUND(E40*'Scope1A Stationary'!$C128,1)</f>
        <v>544.9</v>
      </c>
    </row>
    <row r="43" ht="12.75" customHeight="1">
      <c r="A43" s="112">
        <f>('Scope1A Stationary'!$C133*A41*'Scope1A Stationary'!$C102)</f>
        <v>0</v>
      </c>
      <c r="B43" s="112">
        <f>('Scope1A Stationary'!$C133*B41*'Scope1A Stationary'!$C102)</f>
        <v>0.005556</v>
      </c>
      <c r="C43" s="112">
        <f>('Scope1A Stationary'!$C133*C41*'Scope1A Stationary'!$C102)</f>
        <v>0.006</v>
      </c>
      <c r="D43" s="112">
        <f>('Scope1A Stationary'!$C133*D41*'Scope1A Stationary'!$C102)</f>
        <v>0.005664</v>
      </c>
      <c r="E43" s="112">
        <f>('Scope1A Stationary'!$C132*E41*'Scope1A Stationary'!$C102)</f>
        <v>0.0869</v>
      </c>
    </row>
    <row r="44" ht="12.75" customHeight="1">
      <c r="A44" s="126">
        <f>A41*'Scope1A Stationary'!$C102*'Scope1A Stationary'!$C104*'Scope1A Stationary'!$C132</f>
        <v>0</v>
      </c>
      <c r="B44" s="126">
        <f>B41*'Scope1A Stationary'!$C102*'Scope1A Stationary'!$C104*'Scope1A Stationary'!$C132</f>
        <v>1.9446</v>
      </c>
      <c r="C44" s="126">
        <f>C41*'Scope1A Stationary'!$C102*'Scope1A Stationary'!$C104*'Scope1A Stationary'!$C132</f>
        <v>2.1</v>
      </c>
      <c r="D44" s="126">
        <f>D41*'Scope1A Stationary'!$C102*'Scope1A Stationary'!$C104*'Scope1A Stationary'!$C132</f>
        <v>1.9824</v>
      </c>
      <c r="E44" s="126">
        <f>E41*'Scope1A Stationary'!$C102*'Scope1A Stationary'!$C104*'Scope1A Stationary'!$C132</f>
        <v>1.8249</v>
      </c>
    </row>
    <row r="45" ht="12.75" customHeight="1">
      <c r="A45" s="128">
        <f>('Scope1A Stationary'!$C133*A41*'Scope1A Stationary'!$C102)</f>
        <v>0</v>
      </c>
      <c r="B45" s="128">
        <f>('Scope1A Stationary'!$C133*B41*'Scope1A Stationary'!$C102)</f>
        <v>0.005556</v>
      </c>
      <c r="C45" s="128">
        <f>('Scope1A Stationary'!$C133*C41*'Scope1A Stationary'!$C102)</f>
        <v>0.006</v>
      </c>
      <c r="D45" s="128">
        <f>('Scope1A Stationary'!$C133*D41*'Scope1A Stationary'!$C102)</f>
        <v>0.005664</v>
      </c>
      <c r="E45" s="128">
        <f>('Scope1A Stationary'!$C133*E41*'Scope1A Stationary'!$C102)</f>
        <v>0.005214</v>
      </c>
    </row>
    <row r="46" ht="12.75" customHeight="1">
      <c r="A46" s="126">
        <f>A41*'Scope1A Stationary'!$C133*'Scope1A Stationary'!$C102*'Scope1A Stationary'!$C105</f>
        <v>0</v>
      </c>
      <c r="B46" s="126">
        <f>B41*'Scope1A Stationary'!$C133*'Scope1A Stationary'!$C102*'Scope1A Stationary'!$C105</f>
        <v>1.72236</v>
      </c>
      <c r="C46" s="126">
        <f>C41*'Scope1A Stationary'!$C133*'Scope1A Stationary'!$C102*'Scope1A Stationary'!$C105</f>
        <v>1.86</v>
      </c>
      <c r="D46" s="126">
        <f>D41*'Scope1A Stationary'!$C133*'Scope1A Stationary'!$C102*'Scope1A Stationary'!$C105</f>
        <v>1.75584</v>
      </c>
      <c r="E46" s="126">
        <f>E41*'Scope1A Stationary'!$C133*'Scope1A Stationary'!$C102*'Scope1A Stationary'!$C105</f>
        <v>1.61634</v>
      </c>
    </row>
    <row r="47" ht="12.75" customHeight="1">
      <c r="A47" s="285">
        <f t="shared" ref="A47:E47" si="9">A42+A44+A46</f>
        <v>0</v>
      </c>
      <c r="B47" s="285">
        <f t="shared" si="9"/>
        <v>583.66696</v>
      </c>
      <c r="C47" s="285">
        <f t="shared" si="9"/>
        <v>633.96</v>
      </c>
      <c r="D47" s="285">
        <f t="shared" si="9"/>
        <v>593.73824</v>
      </c>
      <c r="E47" s="121">
        <f t="shared" si="9"/>
        <v>548.34124</v>
      </c>
    </row>
    <row r="48" ht="12.75" customHeight="1">
      <c r="A48" s="235"/>
      <c r="B48" s="235"/>
      <c r="C48" s="235"/>
      <c r="D48" s="235"/>
      <c r="E48" s="78"/>
    </row>
    <row r="49" ht="12.75" customHeight="1">
      <c r="A49" s="235"/>
      <c r="B49" s="235"/>
      <c r="C49" s="235"/>
      <c r="D49" s="235"/>
      <c r="E49" s="78"/>
    </row>
    <row r="50" ht="12.75" customHeight="1">
      <c r="A50" s="235" t="s">
        <v>55</v>
      </c>
      <c r="B50" s="235"/>
      <c r="C50" s="235"/>
      <c r="D50" s="235"/>
      <c r="E50" s="78"/>
    </row>
    <row r="51" ht="12.75" customHeight="1">
      <c r="A51" s="97" t="s">
        <v>1512</v>
      </c>
      <c r="B51" s="97" t="s">
        <v>1513</v>
      </c>
      <c r="C51" s="97" t="s">
        <v>1514</v>
      </c>
      <c r="D51" s="97" t="s">
        <v>1515</v>
      </c>
      <c r="E51" s="73" t="s">
        <v>1516</v>
      </c>
    </row>
    <row r="52" ht="12.75" customHeight="1">
      <c r="A52" s="97"/>
      <c r="B52" s="97">
        <v>0.0</v>
      </c>
      <c r="C52" s="97">
        <v>0.0</v>
      </c>
      <c r="D52" s="97">
        <v>0.0</v>
      </c>
      <c r="E52" s="73">
        <v>0.0</v>
      </c>
    </row>
    <row r="53" ht="12.75" customHeight="1">
      <c r="A53" s="97">
        <v>0.0</v>
      </c>
      <c r="B53" s="97">
        <v>0.0</v>
      </c>
      <c r="C53" s="97">
        <v>0.0</v>
      </c>
      <c r="D53" s="97">
        <v>0.0</v>
      </c>
      <c r="E53" s="73">
        <v>0.0</v>
      </c>
    </row>
    <row r="54" ht="12.75" customHeight="1">
      <c r="A54" s="235">
        <v>0.0</v>
      </c>
      <c r="B54" s="235">
        <v>0.0</v>
      </c>
      <c r="C54" s="235">
        <v>0.0</v>
      </c>
      <c r="D54" s="235">
        <v>0.0</v>
      </c>
      <c r="E54" s="78">
        <v>0.0</v>
      </c>
    </row>
    <row r="55" ht="12.75" customHeight="1">
      <c r="A55" s="235">
        <v>0.0</v>
      </c>
      <c r="B55" s="235">
        <v>0.0</v>
      </c>
      <c r="C55" s="235">
        <v>0.0</v>
      </c>
      <c r="D55" s="235">
        <v>0.0</v>
      </c>
      <c r="E55" s="78">
        <v>0.0</v>
      </c>
    </row>
    <row r="56" ht="12.75" customHeight="1">
      <c r="A56" s="235">
        <v>0.0</v>
      </c>
      <c r="B56" s="235">
        <v>0.0</v>
      </c>
      <c r="C56" s="235">
        <v>0.0</v>
      </c>
      <c r="D56" s="235">
        <v>0.0</v>
      </c>
      <c r="E56" s="78">
        <v>0.0</v>
      </c>
    </row>
    <row r="57" ht="12.75" customHeight="1">
      <c r="A57" s="56">
        <v>0.0</v>
      </c>
      <c r="B57" s="56">
        <v>0.0</v>
      </c>
      <c r="C57" s="56">
        <v>0.0</v>
      </c>
      <c r="D57" s="56">
        <v>0.0</v>
      </c>
      <c r="E57" s="56">
        <v>0.0</v>
      </c>
    </row>
    <row r="58" ht="12.75" customHeight="1">
      <c r="A58" s="56">
        <v>0.0</v>
      </c>
      <c r="B58" s="56">
        <v>0.0</v>
      </c>
      <c r="C58" s="56">
        <v>0.0</v>
      </c>
      <c r="D58" s="56">
        <v>0.0</v>
      </c>
      <c r="E58" s="56">
        <v>0.0</v>
      </c>
    </row>
    <row r="59" ht="12.75" customHeight="1">
      <c r="A59" s="120">
        <v>0.0</v>
      </c>
      <c r="B59" s="120">
        <v>0.0</v>
      </c>
      <c r="C59" s="120">
        <v>0.0</v>
      </c>
      <c r="D59" s="120">
        <v>0.0</v>
      </c>
      <c r="E59" s="120">
        <v>0.0</v>
      </c>
    </row>
    <row r="60" ht="12.75" customHeight="1"/>
    <row r="61" ht="12.75" customHeight="1">
      <c r="A61" s="72" t="s">
        <v>97</v>
      </c>
    </row>
    <row r="62" ht="15.0" customHeight="1">
      <c r="A62" s="55" t="s">
        <v>1625</v>
      </c>
      <c r="B62" s="474">
        <v>4051.7</v>
      </c>
      <c r="C62" s="117">
        <v>2476.51</v>
      </c>
      <c r="D62" s="117">
        <v>5776.7</v>
      </c>
      <c r="E62" s="125"/>
      <c r="F62" s="125"/>
    </row>
    <row r="63" ht="15.0" customHeight="1">
      <c r="A63" s="25"/>
      <c r="B63" s="73"/>
      <c r="C63" s="73"/>
      <c r="D63" s="73"/>
      <c r="E63" s="475"/>
      <c r="F63" s="475"/>
      <c r="G63" s="25"/>
    </row>
    <row r="64" ht="12.75" customHeight="1">
      <c r="A64" s="72" t="s">
        <v>98</v>
      </c>
    </row>
    <row r="65" ht="12.75" customHeight="1"/>
    <row r="66" ht="12.75" customHeight="1">
      <c r="A66" s="85" t="s">
        <v>1512</v>
      </c>
      <c r="B66" s="85" t="s">
        <v>1513</v>
      </c>
      <c r="C66" s="85" t="s">
        <v>1514</v>
      </c>
      <c r="D66" s="85" t="s">
        <v>1515</v>
      </c>
      <c r="E66" s="85" t="s">
        <v>1516</v>
      </c>
    </row>
    <row r="67" ht="12.75" customHeight="1">
      <c r="A67" s="115">
        <v>1.902376E7</v>
      </c>
      <c r="B67" s="115">
        <v>1.8423731E7</v>
      </c>
      <c r="C67" s="115">
        <v>1.9788578E7</v>
      </c>
      <c r="D67" s="115">
        <v>2.1509474E7</v>
      </c>
      <c r="E67" s="115">
        <v>2.2318014E7</v>
      </c>
    </row>
    <row r="68" ht="12.75" customHeight="1">
      <c r="A68" s="115"/>
      <c r="B68" s="115"/>
      <c r="C68" s="115"/>
      <c r="D68" s="115"/>
      <c r="E68" s="115">
        <v>31622.0</v>
      </c>
    </row>
    <row r="69" ht="12.75" customHeight="1">
      <c r="A69" s="115"/>
      <c r="B69" s="115"/>
      <c r="C69" s="115"/>
      <c r="D69" s="115"/>
      <c r="E69" s="115">
        <v>38080.0</v>
      </c>
    </row>
    <row r="70" ht="12.75" customHeight="1">
      <c r="A70" s="115"/>
      <c r="B70" s="115"/>
      <c r="C70" s="115"/>
      <c r="D70" s="115"/>
      <c r="E70" s="115">
        <v>3811458.0</v>
      </c>
    </row>
    <row r="71" ht="12.75" customHeight="1">
      <c r="A71" s="115"/>
      <c r="B71" s="115"/>
      <c r="C71" s="115"/>
      <c r="D71" s="115"/>
      <c r="E71" s="115">
        <v>4440.0</v>
      </c>
    </row>
    <row r="72" ht="12.75" customHeight="1">
      <c r="A72" s="115"/>
      <c r="B72" s="115"/>
      <c r="C72" s="115">
        <v>719.0</v>
      </c>
      <c r="D72" s="115">
        <v>1005.7</v>
      </c>
      <c r="E72" s="115">
        <v>968.6</v>
      </c>
    </row>
    <row r="73" ht="12.75" customHeight="1">
      <c r="A73" s="97">
        <f t="shared" ref="A73:E73" si="10">((A67-A68)+A70+A71+A72)</f>
        <v>19023760</v>
      </c>
      <c r="B73" s="97">
        <f t="shared" si="10"/>
        <v>18423731</v>
      </c>
      <c r="C73" s="97">
        <f t="shared" si="10"/>
        <v>19789297</v>
      </c>
      <c r="D73" s="97">
        <f t="shared" si="10"/>
        <v>21510479.7</v>
      </c>
      <c r="E73" s="97">
        <f t="shared" si="10"/>
        <v>26103258.6</v>
      </c>
    </row>
    <row r="74" ht="12.75" customHeight="1">
      <c r="A74" s="97">
        <f t="shared" ref="A74:E74" si="11">SUM(A70:A72)</f>
        <v>0</v>
      </c>
      <c r="B74" s="97">
        <f t="shared" si="11"/>
        <v>0</v>
      </c>
      <c r="C74" s="97">
        <f t="shared" si="11"/>
        <v>719</v>
      </c>
      <c r="D74" s="97">
        <f t="shared" si="11"/>
        <v>1005.7</v>
      </c>
      <c r="E74" s="97">
        <f t="shared" si="11"/>
        <v>3816866.6</v>
      </c>
    </row>
    <row r="75" ht="12.75" customHeight="1">
      <c r="A75" s="97" t="str">
        <f t="shared" ref="A75:E75" si="12">A69</f>
        <v/>
      </c>
      <c r="B75" s="97" t="str">
        <f t="shared" si="12"/>
        <v/>
      </c>
      <c r="C75" s="97" t="str">
        <f t="shared" si="12"/>
        <v/>
      </c>
      <c r="D75" s="97" t="str">
        <f t="shared" si="12"/>
        <v/>
      </c>
      <c r="E75" s="97">
        <f t="shared" si="12"/>
        <v>38080</v>
      </c>
    </row>
    <row r="76" ht="12.75" customHeight="1">
      <c r="A76" s="97">
        <f t="shared" ref="A76:E76" si="13">A73-(A74+A75)</f>
        <v>19023760</v>
      </c>
      <c r="B76" s="97">
        <f t="shared" si="13"/>
        <v>18423731</v>
      </c>
      <c r="C76" s="97">
        <f t="shared" si="13"/>
        <v>19788578</v>
      </c>
      <c r="D76" s="97">
        <f t="shared" si="13"/>
        <v>21509474</v>
      </c>
      <c r="E76" s="97">
        <f t="shared" si="13"/>
        <v>22248312</v>
      </c>
    </row>
    <row r="77" ht="12.75" customHeight="1">
      <c r="A77" s="25"/>
      <c r="B77" s="25"/>
      <c r="C77" s="25"/>
      <c r="D77" s="25"/>
      <c r="E77" s="25"/>
    </row>
    <row r="78" ht="12.75" customHeight="1">
      <c r="A78" s="25"/>
      <c r="B78" s="25"/>
      <c r="C78" s="25"/>
      <c r="D78" s="25"/>
      <c r="E78" s="25"/>
    </row>
    <row r="79" ht="12.75" customHeight="1">
      <c r="A79" s="476"/>
      <c r="B79" s="476"/>
      <c r="C79" s="476"/>
      <c r="D79" s="476"/>
      <c r="E79" s="477">
        <v>1.523</v>
      </c>
    </row>
    <row r="80" ht="12.75" customHeight="1">
      <c r="A80" s="476"/>
      <c r="B80" s="476"/>
      <c r="C80" s="476"/>
      <c r="D80" s="476"/>
      <c r="E80" s="477">
        <v>33.4305</v>
      </c>
    </row>
    <row r="81" ht="12.75" customHeight="1">
      <c r="A81" s="476"/>
      <c r="B81" s="476"/>
      <c r="C81" s="476"/>
      <c r="D81" s="476"/>
      <c r="E81" s="477"/>
    </row>
    <row r="82" ht="12.75" customHeight="1">
      <c r="A82" s="476"/>
      <c r="B82" s="476"/>
      <c r="C82" s="476"/>
      <c r="D82" s="476"/>
      <c r="E82" s="477">
        <v>51.0399</v>
      </c>
    </row>
    <row r="83" ht="12.75" customHeight="1">
      <c r="A83" s="476"/>
      <c r="B83" s="476"/>
      <c r="C83" s="476"/>
      <c r="D83" s="476"/>
      <c r="E83" s="477">
        <v>0.0027</v>
      </c>
    </row>
    <row r="84" ht="12.75" customHeight="1">
      <c r="A84" s="476"/>
      <c r="B84" s="476"/>
      <c r="C84" s="476"/>
      <c r="D84" s="476"/>
      <c r="E84" s="477">
        <v>0.0</v>
      </c>
    </row>
    <row r="85" ht="12.75" customHeight="1">
      <c r="A85" s="476"/>
      <c r="B85" s="476"/>
      <c r="C85" s="476"/>
      <c r="D85" s="476"/>
      <c r="E85" s="477">
        <v>0.0345</v>
      </c>
    </row>
    <row r="86" ht="12.75" customHeight="1">
      <c r="A86" s="476"/>
      <c r="B86" s="476"/>
      <c r="C86" s="476"/>
      <c r="D86" s="476"/>
      <c r="E86" s="477">
        <v>0.3634</v>
      </c>
    </row>
    <row r="87" ht="12.75" customHeight="1">
      <c r="A87" s="476"/>
      <c r="B87" s="476"/>
      <c r="C87" s="476"/>
      <c r="D87" s="476"/>
      <c r="E87" s="477">
        <v>9.2491</v>
      </c>
    </row>
    <row r="88" ht="12.75" customHeight="1">
      <c r="A88" s="476"/>
      <c r="B88" s="476"/>
      <c r="C88" s="476"/>
      <c r="D88" s="476"/>
      <c r="E88" s="477">
        <v>4.357</v>
      </c>
    </row>
    <row r="89" ht="12.75" customHeight="1">
      <c r="A89" s="246">
        <f t="shared" ref="A89:E89" si="14">SUM(A79:A88)</f>
        <v>0</v>
      </c>
      <c r="B89" s="246">
        <f t="shared" si="14"/>
        <v>0</v>
      </c>
      <c r="C89" s="246">
        <f t="shared" si="14"/>
        <v>0</v>
      </c>
      <c r="D89" s="246">
        <f t="shared" si="14"/>
        <v>0</v>
      </c>
      <c r="E89" s="246">
        <f t="shared" si="14"/>
        <v>100.0001</v>
      </c>
    </row>
    <row r="90" ht="12.75" customHeight="1">
      <c r="A90" s="25"/>
      <c r="B90" s="25"/>
      <c r="C90" s="25"/>
      <c r="D90" s="25"/>
      <c r="E90" s="25"/>
    </row>
    <row r="91" ht="12.75" customHeight="1">
      <c r="A91" s="25"/>
      <c r="B91" s="25"/>
      <c r="C91" s="25"/>
      <c r="D91" s="25"/>
      <c r="E91" s="25"/>
    </row>
    <row r="92" ht="12.75" customHeight="1">
      <c r="A92" s="476"/>
      <c r="B92" s="476"/>
      <c r="C92" s="476"/>
      <c r="D92" s="476"/>
      <c r="E92" s="105">
        <v>5.0</v>
      </c>
    </row>
    <row r="93" ht="12.75" customHeight="1">
      <c r="A93" s="476"/>
      <c r="B93" s="476"/>
      <c r="C93" s="476"/>
      <c r="D93" s="476"/>
      <c r="E93" s="105">
        <v>6.0</v>
      </c>
    </row>
    <row r="94" ht="12.75" customHeight="1">
      <c r="A94" s="476"/>
      <c r="B94" s="476"/>
      <c r="C94" s="476"/>
      <c r="D94" s="476"/>
      <c r="E94" s="105">
        <v>25.4</v>
      </c>
    </row>
    <row r="95" ht="12.75" customHeight="1">
      <c r="A95" s="476"/>
      <c r="B95" s="476"/>
      <c r="C95" s="476"/>
      <c r="D95" s="476"/>
      <c r="E95" s="105">
        <v>28.3</v>
      </c>
    </row>
    <row r="96" ht="12.75" customHeight="1">
      <c r="A96" s="476"/>
      <c r="B96" s="476"/>
      <c r="C96" s="476"/>
      <c r="D96" s="476"/>
      <c r="E96" s="105">
        <v>15.3</v>
      </c>
    </row>
    <row r="97" ht="12.75" customHeight="1">
      <c r="A97" s="476"/>
      <c r="B97" s="476"/>
      <c r="C97" s="476"/>
      <c r="D97" s="476"/>
      <c r="E97" s="105">
        <v>0.6</v>
      </c>
    </row>
    <row r="98" ht="12.75" customHeight="1">
      <c r="A98" s="476"/>
      <c r="B98" s="476"/>
      <c r="C98" s="476"/>
      <c r="D98" s="476"/>
      <c r="E98" s="105">
        <v>16.2</v>
      </c>
    </row>
    <row r="99" ht="12.75" customHeight="1">
      <c r="A99" s="476"/>
      <c r="B99" s="476"/>
      <c r="C99" s="476"/>
      <c r="D99" s="476"/>
      <c r="E99" s="105">
        <v>3.2</v>
      </c>
    </row>
    <row r="100" ht="12.75" customHeight="1">
      <c r="A100" s="246">
        <f t="shared" ref="A100:E100" si="15">SUM(A92:A99)</f>
        <v>0</v>
      </c>
      <c r="B100" s="246">
        <f t="shared" si="15"/>
        <v>0</v>
      </c>
      <c r="C100" s="246">
        <f t="shared" si="15"/>
        <v>0</v>
      </c>
      <c r="D100" s="246">
        <f t="shared" si="15"/>
        <v>0</v>
      </c>
      <c r="E100" s="246">
        <f t="shared" si="15"/>
        <v>100</v>
      </c>
    </row>
    <row r="101" ht="12.75" customHeight="1"/>
    <row r="102" ht="12.75" customHeight="1"/>
    <row r="103" ht="12.75" customHeight="1">
      <c r="A103" s="112">
        <f t="shared" ref="A103:E103" si="16">A79+(A88*A92/100)</f>
        <v>0</v>
      </c>
      <c r="B103" s="112">
        <f t="shared" si="16"/>
        <v>0</v>
      </c>
      <c r="C103" s="112">
        <f t="shared" si="16"/>
        <v>0</v>
      </c>
      <c r="D103" s="112">
        <f t="shared" si="16"/>
        <v>0</v>
      </c>
      <c r="E103" s="112">
        <f t="shared" si="16"/>
        <v>1.74085</v>
      </c>
    </row>
    <row r="104" ht="12.75" customHeight="1">
      <c r="A104" s="112">
        <f t="shared" ref="A104:E104" si="17">A80+(A88*A93/100)</f>
        <v>0</v>
      </c>
      <c r="B104" s="112">
        <f t="shared" si="17"/>
        <v>0</v>
      </c>
      <c r="C104" s="112">
        <f t="shared" si="17"/>
        <v>0</v>
      </c>
      <c r="D104" s="112">
        <f t="shared" si="17"/>
        <v>0</v>
      </c>
      <c r="E104" s="112">
        <f t="shared" si="17"/>
        <v>33.69192</v>
      </c>
    </row>
    <row r="105" ht="12.75" customHeight="1">
      <c r="A105" s="112">
        <f t="shared" ref="A105:E105" si="18">A82+(A88*A94/100)</f>
        <v>0</v>
      </c>
      <c r="B105" s="112">
        <f t="shared" si="18"/>
        <v>0</v>
      </c>
      <c r="C105" s="112">
        <f t="shared" si="18"/>
        <v>0</v>
      </c>
      <c r="D105" s="112">
        <f t="shared" si="18"/>
        <v>0</v>
      </c>
      <c r="E105" s="112">
        <f t="shared" si="18"/>
        <v>52.146578</v>
      </c>
    </row>
    <row r="106" ht="12.75" customHeight="1">
      <c r="A106" s="112">
        <f t="shared" ref="A106:E106" si="19">A83+(A88*A95/100)</f>
        <v>0</v>
      </c>
      <c r="B106" s="112">
        <f t="shared" si="19"/>
        <v>0</v>
      </c>
      <c r="C106" s="112">
        <f t="shared" si="19"/>
        <v>0</v>
      </c>
      <c r="D106" s="112">
        <f t="shared" si="19"/>
        <v>0</v>
      </c>
      <c r="E106" s="112">
        <f t="shared" si="19"/>
        <v>1.235731</v>
      </c>
    </row>
    <row r="107" ht="12.75" customHeight="1">
      <c r="A107" s="112">
        <f t="shared" ref="A107:E107" si="20">A84+(A88*A96/100)</f>
        <v>0</v>
      </c>
      <c r="B107" s="112">
        <f t="shared" si="20"/>
        <v>0</v>
      </c>
      <c r="C107" s="112">
        <f t="shared" si="20"/>
        <v>0</v>
      </c>
      <c r="D107" s="112">
        <f t="shared" si="20"/>
        <v>0</v>
      </c>
      <c r="E107" s="112">
        <f t="shared" si="20"/>
        <v>0.666621</v>
      </c>
    </row>
    <row r="108" ht="12.75" customHeight="1">
      <c r="A108" s="112">
        <f t="shared" ref="A108:E108" si="21">A85+(A88*A97/100)</f>
        <v>0</v>
      </c>
      <c r="B108" s="112">
        <f t="shared" si="21"/>
        <v>0</v>
      </c>
      <c r="C108" s="112">
        <f t="shared" si="21"/>
        <v>0</v>
      </c>
      <c r="D108" s="112">
        <f t="shared" si="21"/>
        <v>0</v>
      </c>
      <c r="E108" s="112">
        <f t="shared" si="21"/>
        <v>0.060642</v>
      </c>
    </row>
    <row r="109" ht="12.75" customHeight="1">
      <c r="A109" s="112">
        <f t="shared" ref="A109:E109" si="22">A86+(A88*A98/100)</f>
        <v>0</v>
      </c>
      <c r="B109" s="112">
        <f t="shared" si="22"/>
        <v>0</v>
      </c>
      <c r="C109" s="112">
        <f t="shared" si="22"/>
        <v>0</v>
      </c>
      <c r="D109" s="112">
        <f t="shared" si="22"/>
        <v>0</v>
      </c>
      <c r="E109" s="112">
        <f t="shared" si="22"/>
        <v>1.069234</v>
      </c>
    </row>
    <row r="110" ht="12.75" customHeight="1">
      <c r="A110" s="112">
        <f t="shared" ref="A110:C110" si="23">A87+(A88*A99/100)</f>
        <v>0</v>
      </c>
      <c r="B110" s="112">
        <f t="shared" si="23"/>
        <v>0</v>
      </c>
      <c r="C110" s="112">
        <f t="shared" si="23"/>
        <v>0</v>
      </c>
      <c r="D110" s="112"/>
      <c r="E110" s="112">
        <f>E87+(E88*E99/100)</f>
        <v>9.388524</v>
      </c>
    </row>
    <row r="111" ht="12.75" customHeight="1">
      <c r="A111" s="246">
        <f t="shared" ref="A111:E111" si="24">SUM(A103:A110)</f>
        <v>0</v>
      </c>
      <c r="B111" s="246">
        <f t="shared" si="24"/>
        <v>0</v>
      </c>
      <c r="C111" s="246">
        <f t="shared" si="24"/>
        <v>0</v>
      </c>
      <c r="D111" s="246">
        <f t="shared" si="24"/>
        <v>0</v>
      </c>
      <c r="E111" s="246">
        <f t="shared" si="24"/>
        <v>100.0001</v>
      </c>
    </row>
    <row r="112" ht="12.75" customHeight="1">
      <c r="A112" s="326"/>
      <c r="B112" s="326"/>
      <c r="C112" s="326"/>
      <c r="D112" s="326"/>
      <c r="E112" s="112"/>
    </row>
    <row r="113" ht="12.75" customHeight="1">
      <c r="A113" s="326"/>
      <c r="B113" s="326"/>
      <c r="C113" s="326"/>
      <c r="D113" s="326"/>
      <c r="E113" s="112"/>
    </row>
    <row r="114" ht="12.75" customHeight="1">
      <c r="A114" s="97" t="str">
        <f t="shared" ref="A114:E114" si="25">A70</f>
        <v/>
      </c>
      <c r="B114" s="97" t="str">
        <f t="shared" si="25"/>
        <v/>
      </c>
      <c r="C114" s="97" t="str">
        <f t="shared" si="25"/>
        <v/>
      </c>
      <c r="D114" s="97" t="str">
        <f t="shared" si="25"/>
        <v/>
      </c>
      <c r="E114" s="97">
        <f t="shared" si="25"/>
        <v>3811458</v>
      </c>
    </row>
    <row r="115" ht="12.75" customHeight="1">
      <c r="A115" s="97" t="str">
        <f t="shared" ref="A115:D115" si="26">A71</f>
        <v/>
      </c>
      <c r="B115" s="97" t="str">
        <f t="shared" si="26"/>
        <v/>
      </c>
      <c r="C115" s="97" t="str">
        <f t="shared" si="26"/>
        <v/>
      </c>
      <c r="D115" s="97" t="str">
        <f t="shared" si="26"/>
        <v/>
      </c>
      <c r="E115" s="97">
        <v>4440.0</v>
      </c>
    </row>
    <row r="116" ht="12.75" customHeight="1">
      <c r="A116" s="97" t="str">
        <f t="shared" ref="A116:B116" si="27">A72</f>
        <v/>
      </c>
      <c r="B116" s="97" t="str">
        <f t="shared" si="27"/>
        <v/>
      </c>
      <c r="C116" s="478">
        <v>956.4</v>
      </c>
      <c r="D116" s="478">
        <v>883.9</v>
      </c>
      <c r="E116" s="479">
        <v>972.7</v>
      </c>
    </row>
    <row r="117" ht="12.75" customHeight="1">
      <c r="A117" s="97" t="str">
        <f t="shared" ref="A117:E117" si="28">A69</f>
        <v/>
      </c>
      <c r="B117" s="97" t="str">
        <f t="shared" si="28"/>
        <v/>
      </c>
      <c r="C117" s="97" t="str">
        <f t="shared" si="28"/>
        <v/>
      </c>
      <c r="D117" s="97" t="str">
        <f t="shared" si="28"/>
        <v/>
      </c>
      <c r="E117" s="97">
        <f t="shared" si="28"/>
        <v>38080</v>
      </c>
    </row>
    <row r="118" ht="12.75" customHeight="1">
      <c r="A118" s="97">
        <f t="shared" ref="A118:E118" si="29">(A103/100)*A76</f>
        <v>0</v>
      </c>
      <c r="B118" s="97">
        <f t="shared" si="29"/>
        <v>0</v>
      </c>
      <c r="C118" s="97">
        <f t="shared" si="29"/>
        <v>0</v>
      </c>
      <c r="D118" s="97">
        <f t="shared" si="29"/>
        <v>0</v>
      </c>
      <c r="E118" s="97">
        <f t="shared" si="29"/>
        <v>387309.7395</v>
      </c>
    </row>
    <row r="119" ht="12.75" customHeight="1">
      <c r="A119" s="97">
        <f t="shared" ref="A119:E119" si="30">(A104/100)*A76</f>
        <v>0</v>
      </c>
      <c r="B119" s="97">
        <f t="shared" si="30"/>
        <v>0</v>
      </c>
      <c r="C119" s="97">
        <f t="shared" si="30"/>
        <v>0</v>
      </c>
      <c r="D119" s="97">
        <f t="shared" si="30"/>
        <v>0</v>
      </c>
      <c r="E119" s="97">
        <f t="shared" si="30"/>
        <v>7495883.48</v>
      </c>
    </row>
    <row r="120" ht="12.75" customHeight="1">
      <c r="A120" s="97">
        <f t="shared" ref="A120:E120" si="31">(A105/100)*A76</f>
        <v>0</v>
      </c>
      <c r="B120" s="97">
        <f t="shared" si="31"/>
        <v>0</v>
      </c>
      <c r="C120" s="97">
        <f t="shared" si="31"/>
        <v>0</v>
      </c>
      <c r="D120" s="97">
        <f t="shared" si="31"/>
        <v>0</v>
      </c>
      <c r="E120" s="97">
        <f t="shared" si="31"/>
        <v>11601733.37</v>
      </c>
    </row>
    <row r="121" ht="12.75" customHeight="1">
      <c r="A121" s="97">
        <f t="shared" ref="A121:E121" si="32">(A106/100)*A76</f>
        <v>0</v>
      </c>
      <c r="B121" s="97">
        <f t="shared" si="32"/>
        <v>0</v>
      </c>
      <c r="C121" s="97">
        <f t="shared" si="32"/>
        <v>0</v>
      </c>
      <c r="D121" s="97">
        <f t="shared" si="32"/>
        <v>0</v>
      </c>
      <c r="E121" s="97">
        <f t="shared" si="32"/>
        <v>274929.2884</v>
      </c>
    </row>
    <row r="122" ht="12.75" customHeight="1">
      <c r="A122" s="97">
        <f t="shared" ref="A122:E122" si="33">(A107/100)*A76</f>
        <v>0</v>
      </c>
      <c r="B122" s="97">
        <f t="shared" si="33"/>
        <v>0</v>
      </c>
      <c r="C122" s="97">
        <f t="shared" si="33"/>
        <v>0</v>
      </c>
      <c r="D122" s="97">
        <f t="shared" si="33"/>
        <v>0</v>
      </c>
      <c r="E122" s="97">
        <f t="shared" si="33"/>
        <v>148311.9199</v>
      </c>
    </row>
    <row r="123" ht="12.75" customHeight="1">
      <c r="A123" s="97">
        <f t="shared" ref="A123:E123" si="34">(A108/100)*A76</f>
        <v>0</v>
      </c>
      <c r="B123" s="97">
        <f t="shared" si="34"/>
        <v>0</v>
      </c>
      <c r="C123" s="97">
        <f t="shared" si="34"/>
        <v>0</v>
      </c>
      <c r="D123" s="97">
        <f t="shared" si="34"/>
        <v>0</v>
      </c>
      <c r="E123" s="97">
        <f t="shared" si="34"/>
        <v>13491.82136</v>
      </c>
    </row>
    <row r="124" ht="12.75" customHeight="1">
      <c r="A124" s="97">
        <f t="shared" ref="A124:E124" si="35">(A109/100)*A76</f>
        <v>0</v>
      </c>
      <c r="B124" s="97">
        <f t="shared" si="35"/>
        <v>0</v>
      </c>
      <c r="C124" s="97">
        <f t="shared" si="35"/>
        <v>0</v>
      </c>
      <c r="D124" s="97">
        <f t="shared" si="35"/>
        <v>0</v>
      </c>
      <c r="E124" s="97">
        <f t="shared" si="35"/>
        <v>237886.5163</v>
      </c>
    </row>
    <row r="125" ht="12.75" customHeight="1">
      <c r="A125" s="97">
        <f t="shared" ref="A125:E125" si="36">(A110/100)*A76</f>
        <v>0</v>
      </c>
      <c r="B125" s="97">
        <f t="shared" si="36"/>
        <v>0</v>
      </c>
      <c r="C125" s="97">
        <f t="shared" si="36"/>
        <v>0</v>
      </c>
      <c r="D125" s="97">
        <f t="shared" si="36"/>
        <v>0</v>
      </c>
      <c r="E125" s="97">
        <f t="shared" si="36"/>
        <v>2088788.112</v>
      </c>
    </row>
    <row r="126" ht="12.75" customHeight="1">
      <c r="A126" s="247">
        <f t="shared" ref="A126:D126" si="37">SUM(A118:A125)</f>
        <v>0</v>
      </c>
      <c r="B126" s="247">
        <f t="shared" si="37"/>
        <v>0</v>
      </c>
      <c r="C126" s="247">
        <f t="shared" si="37"/>
        <v>0</v>
      </c>
      <c r="D126" s="247">
        <f t="shared" si="37"/>
        <v>0</v>
      </c>
      <c r="E126" s="247">
        <f>SUM(E114:E125)</f>
        <v>26103284.95</v>
      </c>
    </row>
    <row r="127" ht="12.75" customHeight="1">
      <c r="A127" s="97"/>
      <c r="B127" s="97"/>
      <c r="C127" s="97"/>
      <c r="D127" s="97"/>
      <c r="E127" s="97"/>
    </row>
    <row r="128" ht="12.75" customHeight="1">
      <c r="A128" s="97"/>
      <c r="B128" s="97"/>
      <c r="C128" s="65" t="s">
        <v>1626</v>
      </c>
    </row>
    <row r="129" ht="12.75" customHeight="1">
      <c r="A129" s="97"/>
      <c r="B129" s="97"/>
      <c r="C129" s="87">
        <v>0.894135185171127</v>
      </c>
      <c r="D129" s="480" t="s">
        <v>1627</v>
      </c>
    </row>
    <row r="130" ht="12.75" customHeight="1">
      <c r="A130" s="25"/>
      <c r="B130" s="25"/>
      <c r="C130" s="87">
        <v>0.105864814828873</v>
      </c>
      <c r="D130" s="480" t="s">
        <v>1628</v>
      </c>
    </row>
    <row r="131" ht="12.75" customHeight="1">
      <c r="A131" s="326"/>
      <c r="B131" s="326"/>
      <c r="C131" s="326"/>
      <c r="D131" s="326"/>
      <c r="E131" s="112"/>
    </row>
    <row r="132" ht="12.75" customHeight="1">
      <c r="A132" s="79" t="str">
        <f t="shared" ref="A132:E132" si="38">(A114/A126)</f>
        <v>#DIV/0!</v>
      </c>
      <c r="B132" s="79" t="str">
        <f t="shared" si="38"/>
        <v>#DIV/0!</v>
      </c>
      <c r="C132" s="79" t="str">
        <f t="shared" si="38"/>
        <v>#DIV/0!</v>
      </c>
      <c r="D132" s="79" t="str">
        <f t="shared" si="38"/>
        <v>#DIV/0!</v>
      </c>
      <c r="E132" s="87">
        <f t="shared" si="38"/>
        <v>0.1460144962</v>
      </c>
    </row>
    <row r="133" ht="12.75" customHeight="1">
      <c r="A133" s="79" t="str">
        <f t="shared" ref="A133:E133" si="39">(A115/A126)</f>
        <v>#DIV/0!</v>
      </c>
      <c r="B133" s="79" t="str">
        <f t="shared" si="39"/>
        <v>#DIV/0!</v>
      </c>
      <c r="C133" s="79" t="str">
        <f t="shared" si="39"/>
        <v>#DIV/0!</v>
      </c>
      <c r="D133" s="79" t="str">
        <f t="shared" si="39"/>
        <v>#DIV/0!</v>
      </c>
      <c r="E133" s="87">
        <f t="shared" si="39"/>
        <v>0.0001700935345</v>
      </c>
    </row>
    <row r="134" ht="12.75" customHeight="1">
      <c r="A134" s="79" t="str">
        <f t="shared" ref="A134:E134" si="40">(A116/A126)</f>
        <v>#DIV/0!</v>
      </c>
      <c r="B134" s="79" t="str">
        <f t="shared" si="40"/>
        <v>#DIV/0!</v>
      </c>
      <c r="C134" s="79" t="str">
        <f t="shared" si="40"/>
        <v>#DIV/0!</v>
      </c>
      <c r="D134" s="79" t="str">
        <f t="shared" si="40"/>
        <v>#DIV/0!</v>
      </c>
      <c r="E134" s="87">
        <f t="shared" si="40"/>
        <v>0.00003726350925</v>
      </c>
    </row>
    <row r="135" ht="12.75" customHeight="1">
      <c r="A135" s="79" t="str">
        <f t="shared" ref="A135:E135" si="41">(A117/A126)</f>
        <v>#DIV/0!</v>
      </c>
      <c r="B135" s="79" t="str">
        <f t="shared" si="41"/>
        <v>#DIV/0!</v>
      </c>
      <c r="C135" s="79" t="str">
        <f t="shared" si="41"/>
        <v>#DIV/0!</v>
      </c>
      <c r="D135" s="79" t="str">
        <f t="shared" si="41"/>
        <v>#DIV/0!</v>
      </c>
      <c r="E135" s="87">
        <f t="shared" si="41"/>
        <v>0.001458820224</v>
      </c>
    </row>
    <row r="136" ht="12.75" customHeight="1">
      <c r="A136" s="79" t="str">
        <f t="shared" ref="A136:E136" si="42">(A118/A126)</f>
        <v>#DIV/0!</v>
      </c>
      <c r="B136" s="79" t="str">
        <f t="shared" si="42"/>
        <v>#DIV/0!</v>
      </c>
      <c r="C136" s="79" t="str">
        <f t="shared" si="42"/>
        <v>#DIV/0!</v>
      </c>
      <c r="D136" s="79" t="str">
        <f t="shared" si="42"/>
        <v>#DIV/0!</v>
      </c>
      <c r="E136" s="87">
        <f t="shared" si="42"/>
        <v>0.01483758616</v>
      </c>
    </row>
    <row r="137" ht="12.75" customHeight="1">
      <c r="A137" s="79" t="str">
        <f t="shared" ref="A137:E137" si="43">(A119/A126)</f>
        <v>#DIV/0!</v>
      </c>
      <c r="B137" s="79" t="str">
        <f t="shared" si="43"/>
        <v>#DIV/0!</v>
      </c>
      <c r="C137" s="79" t="str">
        <f t="shared" si="43"/>
        <v>#DIV/0!</v>
      </c>
      <c r="D137" s="79" t="str">
        <f t="shared" si="43"/>
        <v>#DIV/0!</v>
      </c>
      <c r="E137" s="87">
        <f t="shared" si="43"/>
        <v>0.2871624585</v>
      </c>
    </row>
    <row r="138" ht="12.75" customHeight="1">
      <c r="A138" s="79" t="str">
        <f t="shared" ref="A138:E138" si="44">(A120/A126)</f>
        <v>#DIV/0!</v>
      </c>
      <c r="B138" s="79" t="str">
        <f t="shared" si="44"/>
        <v>#DIV/0!</v>
      </c>
      <c r="C138" s="79" t="str">
        <f t="shared" si="44"/>
        <v>#DIV/0!</v>
      </c>
      <c r="D138" s="79" t="str">
        <f t="shared" si="44"/>
        <v>#DIV/0!</v>
      </c>
      <c r="E138" s="87">
        <f t="shared" si="44"/>
        <v>0.444454918</v>
      </c>
    </row>
    <row r="139" ht="12.75" customHeight="1">
      <c r="A139" s="79" t="str">
        <f t="shared" ref="A139:E139" si="45">(A121/A126)</f>
        <v>#DIV/0!</v>
      </c>
      <c r="B139" s="79" t="str">
        <f t="shared" si="45"/>
        <v>#DIV/0!</v>
      </c>
      <c r="C139" s="79" t="str">
        <f t="shared" si="45"/>
        <v>#DIV/0!</v>
      </c>
      <c r="D139" s="79" t="str">
        <f t="shared" si="45"/>
        <v>#DIV/0!</v>
      </c>
      <c r="E139" s="87">
        <f t="shared" si="45"/>
        <v>0.01053236361</v>
      </c>
    </row>
    <row r="140" ht="12.75" customHeight="1">
      <c r="A140" s="79" t="str">
        <f t="shared" ref="A140:E140" si="46">(A122/A126)</f>
        <v>#DIV/0!</v>
      </c>
      <c r="B140" s="79" t="str">
        <f t="shared" si="46"/>
        <v>#DIV/0!</v>
      </c>
      <c r="C140" s="79" t="str">
        <f t="shared" si="46"/>
        <v>#DIV/0!</v>
      </c>
      <c r="D140" s="79" t="str">
        <f t="shared" si="46"/>
        <v>#DIV/0!</v>
      </c>
      <c r="E140" s="87">
        <f t="shared" si="46"/>
        <v>0.005681733936</v>
      </c>
    </row>
    <row r="141" ht="12.75" customHeight="1">
      <c r="A141" s="79" t="str">
        <f t="shared" ref="A141:E141" si="47">(A123/A126)</f>
        <v>#DIV/0!</v>
      </c>
      <c r="B141" s="79" t="str">
        <f t="shared" si="47"/>
        <v>#DIV/0!</v>
      </c>
      <c r="C141" s="79" t="str">
        <f t="shared" si="47"/>
        <v>#DIV/0!</v>
      </c>
      <c r="D141" s="79" t="str">
        <f t="shared" si="47"/>
        <v>#DIV/0!</v>
      </c>
      <c r="E141" s="87">
        <f t="shared" si="47"/>
        <v>0.0005168629692</v>
      </c>
    </row>
    <row r="142" ht="12.75" customHeight="1">
      <c r="A142" s="79" t="str">
        <f t="shared" ref="A142:E142" si="48">(A124/A126)</f>
        <v>#DIV/0!</v>
      </c>
      <c r="B142" s="79" t="str">
        <f t="shared" si="48"/>
        <v>#DIV/0!</v>
      </c>
      <c r="C142" s="79" t="str">
        <f t="shared" si="48"/>
        <v>#DIV/0!</v>
      </c>
      <c r="D142" s="79" t="str">
        <f t="shared" si="48"/>
        <v>#DIV/0!</v>
      </c>
      <c r="E142" s="87">
        <f t="shared" si="48"/>
        <v>0.009113278915</v>
      </c>
    </row>
    <row r="143" ht="12.75" customHeight="1">
      <c r="A143" s="79" t="str">
        <f t="shared" ref="A143:E143" si="49">(A125/A126)</f>
        <v>#DIV/0!</v>
      </c>
      <c r="B143" s="79" t="str">
        <f t="shared" si="49"/>
        <v>#DIV/0!</v>
      </c>
      <c r="C143" s="79" t="str">
        <f t="shared" si="49"/>
        <v>#DIV/0!</v>
      </c>
      <c r="D143" s="79" t="str">
        <f t="shared" si="49"/>
        <v>#DIV/0!</v>
      </c>
      <c r="E143" s="87">
        <f t="shared" si="49"/>
        <v>0.08002012451</v>
      </c>
    </row>
    <row r="144" ht="12.75" customHeight="1">
      <c r="A144" s="281" t="str">
        <f t="shared" ref="A144:E144" si="50">SUM(A132:A143)</f>
        <v>#DIV/0!</v>
      </c>
      <c r="B144" s="281" t="str">
        <f t="shared" si="50"/>
        <v>#DIV/0!</v>
      </c>
      <c r="C144" s="281" t="str">
        <f t="shared" si="50"/>
        <v>#DIV/0!</v>
      </c>
      <c r="D144" s="281" t="str">
        <f t="shared" si="50"/>
        <v>#DIV/0!</v>
      </c>
      <c r="E144" s="249">
        <f t="shared" si="50"/>
        <v>1</v>
      </c>
    </row>
    <row r="145" ht="12.75" customHeight="1">
      <c r="A145" s="25"/>
      <c r="B145" s="25"/>
      <c r="C145" s="25"/>
      <c r="D145" s="25"/>
      <c r="E145" s="25"/>
    </row>
    <row r="146" ht="12.75" customHeight="1"/>
    <row r="147" ht="12.75" customHeight="1">
      <c r="A147" s="65" t="s">
        <v>55</v>
      </c>
    </row>
    <row r="148" ht="12.75" customHeight="1">
      <c r="A148" s="85" t="s">
        <v>1512</v>
      </c>
      <c r="B148" s="85" t="s">
        <v>1513</v>
      </c>
      <c r="C148" s="85" t="s">
        <v>1514</v>
      </c>
      <c r="D148" s="85" t="s">
        <v>1515</v>
      </c>
      <c r="E148" s="85" t="s">
        <v>1516</v>
      </c>
    </row>
    <row r="149" ht="12.75" customHeight="1">
      <c r="A149" s="97">
        <f t="shared" ref="A149:E149" si="51">A121</f>
        <v>0</v>
      </c>
      <c r="B149" s="97">
        <f t="shared" si="51"/>
        <v>0</v>
      </c>
      <c r="C149" s="97">
        <f t="shared" si="51"/>
        <v>0</v>
      </c>
      <c r="D149" s="97">
        <f t="shared" si="51"/>
        <v>0</v>
      </c>
      <c r="E149" s="97">
        <f t="shared" si="51"/>
        <v>274929.2884</v>
      </c>
    </row>
    <row r="150" ht="12.75" customHeight="1">
      <c r="A150" s="73">
        <f>ROUND(A149*'Scope2 Electricity'!$B192,1)</f>
        <v>0</v>
      </c>
      <c r="B150" s="73">
        <f>ROUND(B149*'Scope2 Electricity'!$B192,1)</f>
        <v>0</v>
      </c>
      <c r="C150" s="73">
        <f>ROUND(C149*'Scope2 Electricity'!$B192,1)</f>
        <v>0</v>
      </c>
      <c r="D150" s="73">
        <f>ROUND(D149*'Scope2 Electricity'!$B192,1)</f>
        <v>0</v>
      </c>
      <c r="E150" s="73">
        <f>ROUND(E149*'Scope2 Electricity'!$B192,1)</f>
        <v>938.1</v>
      </c>
    </row>
    <row r="151" ht="12.75" customHeight="1">
      <c r="A151" s="78">
        <f>ROUND(A149*'Scope2 Electricity'!$B200,1)</f>
        <v>0</v>
      </c>
      <c r="B151" s="78">
        <f>ROUND(B149*'Scope2 Electricity'!$B200,1)</f>
        <v>0</v>
      </c>
      <c r="C151" s="78">
        <f>ROUND(C149*'Scope2 Electricity'!$B200,1)</f>
        <v>0</v>
      </c>
      <c r="D151" s="78">
        <f>ROUND(D149*'Scope2 Electricity'!$B200,1)</f>
        <v>0</v>
      </c>
      <c r="E151" s="78">
        <f>ROUND(E149*'Scope2 Electricity'!$B200,1)</f>
        <v>49.5</v>
      </c>
    </row>
    <row r="152" ht="12.75" customHeight="1">
      <c r="A152" s="128">
        <f>('Scope2 Electricity'!$B201*A150*'Scope2 Electricity'!$B194)</f>
        <v>0</v>
      </c>
      <c r="B152" s="128">
        <f>('Scope2 Electricity'!$B201*B150*'Scope2 Electricity'!$B194)</f>
        <v>0</v>
      </c>
      <c r="C152" s="128">
        <f>('Scope2 Electricity'!$B201*C150*'Scope2 Electricity'!$B194)</f>
        <v>0</v>
      </c>
      <c r="D152" s="128">
        <f>('Scope2 Electricity'!$B201*D150*'Scope2 Electricity'!$B194)</f>
        <v>0</v>
      </c>
      <c r="E152" s="128">
        <f>('Scope2 Electricity'!$B201*E150*'Scope2 Electricity'!$B194)</f>
        <v>0.000891195</v>
      </c>
    </row>
    <row r="153" ht="12.75" customHeight="1">
      <c r="A153" s="93">
        <f>A150*'Scope2 Electricity'!$B201*'Scope2 Electricity'!$B194*'Scope2 Electricity'!$B196</f>
        <v>0</v>
      </c>
      <c r="B153" s="93">
        <f>B150*'Scope2 Electricity'!$B201*'Scope2 Electricity'!$B194*'Scope2 Electricity'!$B196</f>
        <v>0</v>
      </c>
      <c r="C153" s="93">
        <f>C150*'Scope2 Electricity'!$B201*'Scope2 Electricity'!$B194*'Scope2 Electricity'!$B196</f>
        <v>0</v>
      </c>
      <c r="D153" s="93">
        <f>D150*'Scope2 Electricity'!$B201*'Scope2 Electricity'!$B194*'Scope2 Electricity'!$B196</f>
        <v>0</v>
      </c>
      <c r="E153" s="93">
        <f>E150*'Scope2 Electricity'!$B201*'Scope2 Electricity'!$B194*'Scope2 Electricity'!$B196</f>
        <v>0.018715095</v>
      </c>
    </row>
    <row r="154" ht="12.75" customHeight="1">
      <c r="A154" s="128">
        <f>('Scope2 Electricity'!$B202*A150*'Scope2 Electricity'!$B194)</f>
        <v>0</v>
      </c>
      <c r="B154" s="128">
        <f>('Scope2 Electricity'!$B202*B150*'Scope2 Electricity'!$B194)</f>
        <v>0</v>
      </c>
      <c r="C154" s="128">
        <f>('Scope2 Electricity'!$B202*C150*'Scope2 Electricity'!$B194)</f>
        <v>0</v>
      </c>
      <c r="D154" s="128">
        <f>('Scope2 Electricity'!$B202*D150*'Scope2 Electricity'!$B194)</f>
        <v>0</v>
      </c>
      <c r="E154" s="128">
        <f>('Scope2 Electricity'!$B202*E150*'Scope2 Electricity'!$B194)</f>
        <v>0.0000891195</v>
      </c>
    </row>
    <row r="155" ht="12.75" customHeight="1">
      <c r="A155" s="93">
        <f>A150*'Scope2 Electricity'!$B202*'Scope2 Electricity'!$B194*'Scope2 Electricity'!$B197</f>
        <v>0</v>
      </c>
      <c r="B155" s="93">
        <f>B150*'Scope2 Electricity'!$B202*'Scope2 Electricity'!$B194*'Scope2 Electricity'!$B197</f>
        <v>0</v>
      </c>
      <c r="C155" s="93">
        <f>C150*'Scope2 Electricity'!$B202*'Scope2 Electricity'!$B194*'Scope2 Electricity'!$B197</f>
        <v>0</v>
      </c>
      <c r="D155" s="93">
        <f>D150*'Scope2 Electricity'!$B202*'Scope2 Electricity'!$B194*'Scope2 Electricity'!$B197</f>
        <v>0</v>
      </c>
      <c r="E155" s="93">
        <f>E150*'Scope2 Electricity'!$B202*'Scope2 Electricity'!$B194*'Scope2 Electricity'!$B197</f>
        <v>0.027627045</v>
      </c>
    </row>
    <row r="156" ht="12.75" customHeight="1">
      <c r="A156" s="121">
        <f t="shared" ref="A156:E156" si="52">ROUND(A151+A153+A155,1)</f>
        <v>0</v>
      </c>
      <c r="B156" s="121">
        <f t="shared" si="52"/>
        <v>0</v>
      </c>
      <c r="C156" s="121">
        <f t="shared" si="52"/>
        <v>0</v>
      </c>
      <c r="D156" s="121">
        <f t="shared" si="52"/>
        <v>0</v>
      </c>
      <c r="E156" s="121">
        <f t="shared" si="52"/>
        <v>49.5</v>
      </c>
    </row>
    <row r="157" ht="12.75" customHeight="1"/>
    <row r="158" ht="12.75" customHeight="1"/>
    <row r="159" ht="12.75" customHeight="1">
      <c r="A159" s="65" t="s">
        <v>55</v>
      </c>
    </row>
    <row r="160" ht="12.75" customHeight="1">
      <c r="A160" s="85" t="s">
        <v>1512</v>
      </c>
      <c r="B160" s="85" t="s">
        <v>1513</v>
      </c>
      <c r="C160" s="85" t="s">
        <v>1514</v>
      </c>
      <c r="D160" s="85" t="s">
        <v>1515</v>
      </c>
      <c r="E160" s="85" t="s">
        <v>1516</v>
      </c>
    </row>
    <row r="161" ht="12.75" customHeight="1">
      <c r="A161" s="97">
        <f t="shared" ref="A161:E161" si="53">A122</f>
        <v>0</v>
      </c>
      <c r="B161" s="97">
        <f t="shared" si="53"/>
        <v>0</v>
      </c>
      <c r="C161" s="97">
        <f t="shared" si="53"/>
        <v>0</v>
      </c>
      <c r="D161" s="97">
        <f t="shared" si="53"/>
        <v>0</v>
      </c>
      <c r="E161" s="97">
        <f t="shared" si="53"/>
        <v>148311.9199</v>
      </c>
    </row>
    <row r="162" ht="12.75" customHeight="1">
      <c r="A162" s="73">
        <f>ROUND(A161*'Scope2 Electricity'!$B192,1)</f>
        <v>0</v>
      </c>
      <c r="B162" s="73">
        <f>ROUND(B161*'Scope2 Electricity'!$B192,1)</f>
        <v>0</v>
      </c>
      <c r="C162" s="73">
        <f>ROUND(C161*'Scope2 Electricity'!$B192,1)</f>
        <v>0</v>
      </c>
      <c r="D162" s="73">
        <f>ROUND(D161*'Scope2 Electricity'!$B192,1)</f>
        <v>0</v>
      </c>
      <c r="E162" s="73">
        <f>ROUND(E161*'Scope2 Electricity'!$B192,1)</f>
        <v>506.1</v>
      </c>
    </row>
    <row r="163" ht="12.75" customHeight="1">
      <c r="A163" s="78">
        <f>ROUND(A161*'Scope2 Electricity'!$B208,1)</f>
        <v>0</v>
      </c>
      <c r="B163" s="78">
        <f>ROUND(B161*'Scope2 Electricity'!$B208,1)</f>
        <v>0</v>
      </c>
      <c r="C163" s="78">
        <f>ROUND(C161*'Scope2 Electricity'!$B208,1)</f>
        <v>0</v>
      </c>
      <c r="D163" s="78">
        <f>ROUND(D161*'Scope2 Electricity'!$B208,1)</f>
        <v>0</v>
      </c>
      <c r="E163" s="78">
        <f>ROUND(E161*'Scope2 Electricity'!$B208,1)</f>
        <v>46.8</v>
      </c>
    </row>
    <row r="164" ht="12.75" customHeight="1">
      <c r="A164" s="128">
        <f>('Scope2 Electricity'!$B209*A162*'Scope2 Electricity'!$B194)</f>
        <v>0</v>
      </c>
      <c r="B164" s="128">
        <f>('Scope2 Electricity'!$B209*B162*'Scope2 Electricity'!$B194)</f>
        <v>0</v>
      </c>
      <c r="C164" s="128">
        <f>('Scope2 Electricity'!$B209*C162*'Scope2 Electricity'!$B194)</f>
        <v>0</v>
      </c>
      <c r="D164" s="128">
        <f>('Scope2 Electricity'!$B209*D162*'Scope2 Electricity'!$B194)</f>
        <v>0</v>
      </c>
      <c r="E164" s="128">
        <f>('Scope2 Electricity'!$B209*E162*'Scope2 Electricity'!$B194)</f>
        <v>0.0005061</v>
      </c>
    </row>
    <row r="165" ht="12.75" customHeight="1">
      <c r="A165" s="93">
        <f>A162*'Scope2 Electricity'!$B209*'Scope2 Electricity'!$B194*'Scope2 Electricity'!$B196</f>
        <v>0</v>
      </c>
      <c r="B165" s="93">
        <f>B162*'Scope2 Electricity'!$B209*'Scope2 Electricity'!$B194*'Scope2 Electricity'!$B196</f>
        <v>0</v>
      </c>
      <c r="C165" s="93">
        <f>C162*'Scope2 Electricity'!$B209*'Scope2 Electricity'!$B194*'Scope2 Electricity'!$B196</f>
        <v>0</v>
      </c>
      <c r="D165" s="93">
        <f>D162*'Scope2 Electricity'!$B209*'Scope2 Electricity'!$B194*'Scope2 Electricity'!$B196</f>
        <v>0</v>
      </c>
      <c r="E165" s="93">
        <f>E162*'Scope2 Electricity'!$B209*'Scope2 Electricity'!$B194*'Scope2 Electricity'!$B196</f>
        <v>0.0106281</v>
      </c>
    </row>
    <row r="166" ht="12.75" customHeight="1">
      <c r="A166" s="128">
        <f>('Scope2 Electricity'!$B210*A162*'Scope2 Electricity'!$B194)</f>
        <v>0</v>
      </c>
      <c r="B166" s="128">
        <f>('Scope2 Electricity'!$B210*B162*'Scope2 Electricity'!$B194)</f>
        <v>0</v>
      </c>
      <c r="C166" s="128">
        <f>('Scope2 Electricity'!$B210*C162*'Scope2 Electricity'!$B194)</f>
        <v>0</v>
      </c>
      <c r="D166" s="128">
        <f>('Scope2 Electricity'!$B210*D162*'Scope2 Electricity'!$B194)</f>
        <v>0</v>
      </c>
      <c r="E166" s="128">
        <f>('Scope2 Electricity'!$B210*E162*'Scope2 Electricity'!$B194)</f>
        <v>0.00070854</v>
      </c>
    </row>
    <row r="167" ht="12.75" customHeight="1">
      <c r="A167" s="93">
        <f>A162*'Scope2 Electricity'!$B210*'Scope2 Electricity'!$B194*'Scope2 Electricity'!$B197</f>
        <v>0</v>
      </c>
      <c r="B167" s="93">
        <f>B162*'Scope2 Electricity'!$B210*'Scope2 Electricity'!$B194*'Scope2 Electricity'!$B197</f>
        <v>0</v>
      </c>
      <c r="C167" s="93">
        <f>C162*'Scope2 Electricity'!$B210*'Scope2 Electricity'!$B194*'Scope2 Electricity'!$B197</f>
        <v>0</v>
      </c>
      <c r="D167" s="93">
        <f>D162*'Scope2 Electricity'!$B210*'Scope2 Electricity'!$B194*'Scope2 Electricity'!$B197</f>
        <v>0</v>
      </c>
      <c r="E167" s="93">
        <f>E162*'Scope2 Electricity'!$B210*'Scope2 Electricity'!$B194*'Scope2 Electricity'!$B197</f>
        <v>0.2196474</v>
      </c>
    </row>
    <row r="168" ht="12.75" customHeight="1">
      <c r="A168" s="121">
        <f t="shared" ref="A168:E168" si="54">ROUND(A163+A165+A167,1)</f>
        <v>0</v>
      </c>
      <c r="B168" s="121">
        <f t="shared" si="54"/>
        <v>0</v>
      </c>
      <c r="C168" s="121">
        <f t="shared" si="54"/>
        <v>0</v>
      </c>
      <c r="D168" s="121">
        <f t="shared" si="54"/>
        <v>0</v>
      </c>
      <c r="E168" s="121">
        <f t="shared" si="54"/>
        <v>47</v>
      </c>
    </row>
    <row r="169" ht="12.75" customHeight="1">
      <c r="A169" s="119"/>
      <c r="B169" s="119"/>
      <c r="C169" s="119"/>
      <c r="D169" s="119"/>
      <c r="E169" s="119"/>
    </row>
    <row r="170" ht="12.75" customHeight="1"/>
    <row r="171" ht="12.75" customHeight="1">
      <c r="A171" s="65" t="s">
        <v>55</v>
      </c>
    </row>
    <row r="172" ht="12.75" customHeight="1">
      <c r="A172" s="85" t="s">
        <v>1512</v>
      </c>
      <c r="B172" s="85" t="s">
        <v>1513</v>
      </c>
      <c r="C172" s="85" t="s">
        <v>1514</v>
      </c>
      <c r="D172" s="85" t="s">
        <v>1515</v>
      </c>
      <c r="E172" s="85" t="s">
        <v>1516</v>
      </c>
    </row>
    <row r="173" ht="12.75" customHeight="1">
      <c r="A173" s="97">
        <f t="shared" ref="A173:E173" si="55">A123</f>
        <v>0</v>
      </c>
      <c r="B173" s="97">
        <f t="shared" si="55"/>
        <v>0</v>
      </c>
      <c r="C173" s="97">
        <f t="shared" si="55"/>
        <v>0</v>
      </c>
      <c r="D173" s="97">
        <f t="shared" si="55"/>
        <v>0</v>
      </c>
      <c r="E173" s="97">
        <f t="shared" si="55"/>
        <v>13491.82136</v>
      </c>
    </row>
    <row r="174" ht="12.75" customHeight="1">
      <c r="A174" s="73">
        <f>ROUND(A173*'Scope2 Electricity'!$B192,1)</f>
        <v>0</v>
      </c>
      <c r="B174" s="73">
        <f>ROUND(B173*'Scope2 Electricity'!$B192,1)</f>
        <v>0</v>
      </c>
      <c r="C174" s="73">
        <f>ROUND(C173*'Scope2 Electricity'!$B192,1)</f>
        <v>0</v>
      </c>
      <c r="D174" s="73">
        <f>ROUND(D173*'Scope2 Electricity'!$B192,1)</f>
        <v>0</v>
      </c>
      <c r="E174" s="73">
        <f>ROUND(E173*'Scope2 Electricity'!$B192,1)</f>
        <v>46</v>
      </c>
    </row>
    <row r="175" ht="12.75" customHeight="1">
      <c r="A175" s="78">
        <f>ROUND(A173*'Scope2 Electricity'!$B216,1)</f>
        <v>0</v>
      </c>
      <c r="B175" s="78">
        <f>ROUND(B173*'Scope2 Electricity'!$B216,1)</f>
        <v>0</v>
      </c>
      <c r="C175" s="78">
        <f>ROUND(C173*'Scope2 Electricity'!$B216,1)</f>
        <v>0</v>
      </c>
      <c r="D175" s="78">
        <f>ROUND(D173*'Scope2 Electricity'!$B216,1)</f>
        <v>0</v>
      </c>
      <c r="E175" s="78">
        <f>ROUND(E173*'Scope2 Electricity'!$B216,1)</f>
        <v>3.3</v>
      </c>
    </row>
    <row r="176" ht="12.75" customHeight="1">
      <c r="A176" s="128">
        <f>('Scope2 Electricity'!$B217*A174*'Scope2 Electricity'!$B194)</f>
        <v>0</v>
      </c>
      <c r="B176" s="128">
        <f>('Scope2 Electricity'!$B217*B174*'Scope2 Electricity'!$B194)</f>
        <v>0</v>
      </c>
      <c r="C176" s="128">
        <f>('Scope2 Electricity'!$B217*C174*'Scope2 Electricity'!$B194)</f>
        <v>0</v>
      </c>
      <c r="D176" s="128">
        <f>('Scope2 Electricity'!$B217*D174*'Scope2 Electricity'!$B194)</f>
        <v>0</v>
      </c>
      <c r="E176" s="128">
        <f>('Scope2 Electricity'!$B217*E174*'Scope2 Electricity'!$B194)</f>
        <v>0.00013846</v>
      </c>
    </row>
    <row r="177" ht="12.75" customHeight="1">
      <c r="A177" s="93">
        <f>A174*'Scope2 Electricity'!$B217*'Scope2 Electricity'!$B194*'Scope2 Electricity'!$B196</f>
        <v>0</v>
      </c>
      <c r="B177" s="93">
        <f>B174*'Scope2 Electricity'!$B217*'Scope2 Electricity'!$B194*'Scope2 Electricity'!$B196</f>
        <v>0</v>
      </c>
      <c r="C177" s="93">
        <f>C174*'Scope2 Electricity'!$B217*'Scope2 Electricity'!$B194*'Scope2 Electricity'!$B196</f>
        <v>0</v>
      </c>
      <c r="D177" s="93">
        <f>D174*'Scope2 Electricity'!$B217*'Scope2 Electricity'!$B194*'Scope2 Electricity'!$B196</f>
        <v>0</v>
      </c>
      <c r="E177" s="93">
        <f>E174*'Scope2 Electricity'!$B217*'Scope2 Electricity'!$B194*'Scope2 Electricity'!$B196</f>
        <v>0.00290766</v>
      </c>
    </row>
    <row r="178" ht="12.75" customHeight="1">
      <c r="A178" s="128">
        <f>('Scope2 Electricity'!$B218*A174*'Scope2 Electricity'!$B194)</f>
        <v>0</v>
      </c>
      <c r="B178" s="128">
        <f>('Scope2 Electricity'!$B218*B174*'Scope2 Electricity'!$B194)</f>
        <v>0</v>
      </c>
      <c r="C178" s="128">
        <f>('Scope2 Electricity'!$B218*C174*'Scope2 Electricity'!$B194)</f>
        <v>0</v>
      </c>
      <c r="D178" s="128">
        <f>('Scope2 Electricity'!$B218*D174*'Scope2 Electricity'!$B194)</f>
        <v>0</v>
      </c>
      <c r="E178" s="128">
        <f>('Scope2 Electricity'!$B218*E174*'Scope2 Electricity'!$B194)</f>
        <v>0.000027646</v>
      </c>
    </row>
    <row r="179" ht="12.75" customHeight="1">
      <c r="A179" s="93">
        <f>A174*'Scope2 Electricity'!$B218*'Scope2 Electricity'!$B194*'Scope2 Electricity'!$B197</f>
        <v>0</v>
      </c>
      <c r="B179" s="93">
        <f>B174*'Scope2 Electricity'!$B218*'Scope2 Electricity'!$B194*'Scope2 Electricity'!$B197</f>
        <v>0</v>
      </c>
      <c r="C179" s="93">
        <f>C174*'Scope2 Electricity'!$B218*'Scope2 Electricity'!$B194*'Scope2 Electricity'!$B197</f>
        <v>0</v>
      </c>
      <c r="D179" s="93">
        <f>D174*'Scope2 Electricity'!$B218*'Scope2 Electricity'!$B194*'Scope2 Electricity'!$B197</f>
        <v>0</v>
      </c>
      <c r="E179" s="93">
        <f>E174*'Scope2 Electricity'!$B218*'Scope2 Electricity'!$B194*'Scope2 Electricity'!$B197</f>
        <v>0.00857026</v>
      </c>
    </row>
    <row r="180" ht="12.75" customHeight="1">
      <c r="A180" s="121">
        <f t="shared" ref="A180:E180" si="56">ROUND(A175+A177+A179,1)</f>
        <v>0</v>
      </c>
      <c r="B180" s="121">
        <f t="shared" si="56"/>
        <v>0</v>
      </c>
      <c r="C180" s="121">
        <f t="shared" si="56"/>
        <v>0</v>
      </c>
      <c r="D180" s="121">
        <f t="shared" si="56"/>
        <v>0</v>
      </c>
      <c r="E180" s="121">
        <f t="shared" si="56"/>
        <v>3.3</v>
      </c>
    </row>
    <row r="181" ht="12.75" customHeight="1">
      <c r="A181" s="126"/>
      <c r="B181" s="126"/>
      <c r="C181" s="126"/>
      <c r="D181" s="126"/>
      <c r="E181" s="126"/>
    </row>
    <row r="182" ht="12.75" customHeight="1"/>
    <row r="183" ht="12.75" customHeight="1">
      <c r="A183" s="65" t="s">
        <v>55</v>
      </c>
    </row>
    <row r="184" ht="12.75" customHeight="1">
      <c r="A184" s="85" t="s">
        <v>1512</v>
      </c>
      <c r="B184" s="85" t="s">
        <v>1513</v>
      </c>
      <c r="C184" s="85" t="s">
        <v>1514</v>
      </c>
      <c r="D184" s="85" t="s">
        <v>1515</v>
      </c>
      <c r="E184" s="85" t="s">
        <v>1516</v>
      </c>
    </row>
    <row r="185" ht="12.75" customHeight="1">
      <c r="A185" s="97">
        <f t="shared" ref="A185:E185" si="57">A124</f>
        <v>0</v>
      </c>
      <c r="B185" s="97">
        <f t="shared" si="57"/>
        <v>0</v>
      </c>
      <c r="C185" s="97">
        <f t="shared" si="57"/>
        <v>0</v>
      </c>
      <c r="D185" s="97">
        <f t="shared" si="57"/>
        <v>0</v>
      </c>
      <c r="E185" s="97">
        <f t="shared" si="57"/>
        <v>237886.5163</v>
      </c>
    </row>
    <row r="186" ht="12.75" customHeight="1">
      <c r="A186" s="73">
        <f>ROUND(A185*'Scope2 Electricity'!$B192,1)</f>
        <v>0</v>
      </c>
      <c r="B186" s="73">
        <f>ROUND(B185*'Scope2 Electricity'!$B192,1)</f>
        <v>0</v>
      </c>
      <c r="C186" s="73">
        <f>ROUND(C185*'Scope2 Electricity'!$B192,1)</f>
        <v>0</v>
      </c>
      <c r="D186" s="73">
        <f>ROUND(D185*'Scope2 Electricity'!$B192,1)</f>
        <v>0</v>
      </c>
      <c r="E186" s="73">
        <f>ROUND(E185*'Scope2 Electricity'!$B192,1)</f>
        <v>811.7</v>
      </c>
    </row>
    <row r="187" ht="12.75" customHeight="1">
      <c r="A187" s="78">
        <f>ROUND(A185*'Scope2 Electricity'!$B224,1)</f>
        <v>0</v>
      </c>
      <c r="B187" s="78">
        <f>ROUND(B185*'Scope2 Electricity'!$B224,1)</f>
        <v>0</v>
      </c>
      <c r="C187" s="78">
        <f>ROUND(C185*'Scope2 Electricity'!$B224,1)</f>
        <v>0</v>
      </c>
      <c r="D187" s="78">
        <f>ROUND(D185*'Scope2 Electricity'!$B224,1)</f>
        <v>0</v>
      </c>
      <c r="E187" s="78">
        <f>ROUND(E185*'Scope2 Electricity'!$B224,1)</f>
        <v>63.3</v>
      </c>
    </row>
    <row r="188" ht="12.75" customHeight="1">
      <c r="A188" s="128">
        <f>('Scope2 Electricity'!$B225*A186*'Scope2 Electricity'!$B194)</f>
        <v>0</v>
      </c>
      <c r="B188" s="128">
        <f>('Scope2 Electricity'!$B225*B186*'Scope2 Electricity'!$B194)</f>
        <v>0</v>
      </c>
      <c r="C188" s="128">
        <f>('Scope2 Electricity'!$B225*C186*'Scope2 Electricity'!$B194)</f>
        <v>0</v>
      </c>
      <c r="D188" s="128">
        <f>('Scope2 Electricity'!$B225*D186*'Scope2 Electricity'!$B194)</f>
        <v>0</v>
      </c>
      <c r="E188" s="128">
        <f>('Scope2 Electricity'!$B225*E186*'Scope2 Electricity'!$B194)</f>
        <v>0.002443217</v>
      </c>
    </row>
    <row r="189" ht="12.75" customHeight="1">
      <c r="A189" s="93">
        <f>A186*'Scope2 Electricity'!$B225*'Scope2 Electricity'!$B194*'Scope2 Electricity'!$B196</f>
        <v>0</v>
      </c>
      <c r="B189" s="93">
        <f>B186*'Scope2 Electricity'!$B225*'Scope2 Electricity'!$B194*'Scope2 Electricity'!$B196</f>
        <v>0</v>
      </c>
      <c r="C189" s="93">
        <f>C186*'Scope2 Electricity'!$B225*'Scope2 Electricity'!$B194*'Scope2 Electricity'!$B196</f>
        <v>0</v>
      </c>
      <c r="D189" s="93">
        <f>D186*'Scope2 Electricity'!$B225*'Scope2 Electricity'!$B194*'Scope2 Electricity'!$B196</f>
        <v>0</v>
      </c>
      <c r="E189" s="93">
        <f>E186*'Scope2 Electricity'!$B225*'Scope2 Electricity'!$B194*'Scope2 Electricity'!$B196</f>
        <v>0.051307557</v>
      </c>
    </row>
    <row r="190" ht="12.75" customHeight="1">
      <c r="A190" s="128">
        <f>('Scope2 Electricity'!$B226*A186*'Scope2 Electricity'!$B194)</f>
        <v>0</v>
      </c>
      <c r="B190" s="128">
        <f>('Scope2 Electricity'!$B226*B186*'Scope2 Electricity'!$B194)</f>
        <v>0</v>
      </c>
      <c r="C190" s="128">
        <f>('Scope2 Electricity'!$B226*C186*'Scope2 Electricity'!$B194)</f>
        <v>0</v>
      </c>
      <c r="D190" s="128">
        <f>('Scope2 Electricity'!$B226*D186*'Scope2 Electricity'!$B194)</f>
        <v>0</v>
      </c>
      <c r="E190" s="128">
        <f>('Scope2 Electricity'!$B226*E186*'Scope2 Electricity'!$B194)</f>
        <v>0.0004878317</v>
      </c>
    </row>
    <row r="191" ht="12.75" customHeight="1">
      <c r="A191" s="93">
        <f>A186*'Scope2 Electricity'!$B226*'Scope2 Electricity'!$B194*'Scope2 Electricity'!$B197</f>
        <v>0</v>
      </c>
      <c r="B191" s="93">
        <f>B186*'Scope2 Electricity'!$B226*'Scope2 Electricity'!$B194*'Scope2 Electricity'!$B197</f>
        <v>0</v>
      </c>
      <c r="C191" s="93">
        <f>C186*'Scope2 Electricity'!$B226*'Scope2 Electricity'!$B194*'Scope2 Electricity'!$B197</f>
        <v>0</v>
      </c>
      <c r="D191" s="93">
        <f>D186*'Scope2 Electricity'!$B226*'Scope2 Electricity'!$B194*'Scope2 Electricity'!$B197</f>
        <v>0</v>
      </c>
      <c r="E191" s="93">
        <f>E186*'Scope2 Electricity'!$B226*'Scope2 Electricity'!$B194*'Scope2 Electricity'!$B197</f>
        <v>0.151227827</v>
      </c>
    </row>
    <row r="192" ht="12.75" customHeight="1">
      <c r="A192" s="121">
        <f t="shared" ref="A192:E192" si="58">ROUND(A187+A189+A191,1)</f>
        <v>0</v>
      </c>
      <c r="B192" s="121">
        <f t="shared" si="58"/>
        <v>0</v>
      </c>
      <c r="C192" s="121">
        <f t="shared" si="58"/>
        <v>0</v>
      </c>
      <c r="D192" s="121">
        <f t="shared" si="58"/>
        <v>0</v>
      </c>
      <c r="E192" s="121">
        <f t="shared" si="58"/>
        <v>63.5</v>
      </c>
    </row>
    <row r="193" ht="12.75" customHeight="1"/>
    <row r="194" ht="12.75" customHeight="1"/>
    <row r="195" ht="12.75" customHeight="1">
      <c r="A195" s="65" t="s">
        <v>55</v>
      </c>
    </row>
    <row r="196" ht="12.75" customHeight="1">
      <c r="A196" s="85" t="s">
        <v>1512</v>
      </c>
      <c r="B196" s="85" t="s">
        <v>1513</v>
      </c>
      <c r="C196" s="85" t="s">
        <v>1514</v>
      </c>
      <c r="D196" s="85" t="s">
        <v>1515</v>
      </c>
      <c r="E196" s="85" t="s">
        <v>1516</v>
      </c>
    </row>
    <row r="197" ht="12.75" customHeight="1">
      <c r="A197" s="97">
        <f t="shared" ref="A197:E197" si="59">A125</f>
        <v>0</v>
      </c>
      <c r="B197" s="97">
        <f t="shared" si="59"/>
        <v>0</v>
      </c>
      <c r="C197" s="97">
        <f t="shared" si="59"/>
        <v>0</v>
      </c>
      <c r="D197" s="97">
        <f t="shared" si="59"/>
        <v>0</v>
      </c>
      <c r="E197" s="97">
        <f t="shared" si="59"/>
        <v>2088788.112</v>
      </c>
    </row>
    <row r="198" ht="12.75" customHeight="1">
      <c r="A198" s="73">
        <f>ROUND(A197*'Scope2 Electricity'!$B192,1)</f>
        <v>0</v>
      </c>
      <c r="B198" s="73">
        <f>ROUND(B197*'Scope2 Electricity'!$B192,1)</f>
        <v>0</v>
      </c>
      <c r="C198" s="73">
        <f>ROUND(C197*'Scope2 Electricity'!$B192,1)</f>
        <v>0</v>
      </c>
      <c r="D198" s="73">
        <f>ROUND(D197*'Scope2 Electricity'!$B192,1)</f>
        <v>0</v>
      </c>
      <c r="E198" s="73">
        <f>ROUND(E197*'Scope2 Electricity'!$B192,1)</f>
        <v>7127.2</v>
      </c>
    </row>
    <row r="199" ht="12.75" customHeight="1">
      <c r="A199" s="78">
        <f>ROUND(A197*'Scope2 Electricity'!$B232,1)</f>
        <v>0</v>
      </c>
      <c r="B199" s="78">
        <f>ROUND(B197*'Scope2 Electricity'!$B232,1)</f>
        <v>0</v>
      </c>
      <c r="C199" s="78">
        <f>ROUND(C197*'Scope2 Electricity'!$B232,1)</f>
        <v>0</v>
      </c>
      <c r="D199" s="78">
        <f>ROUND(D197*'Scope2 Electricity'!$B232,1)</f>
        <v>0</v>
      </c>
      <c r="E199" s="78">
        <f>ROUND(E197*'Scope2 Electricity'!$B232,1)</f>
        <v>850</v>
      </c>
    </row>
    <row r="200" ht="12.75" customHeight="1">
      <c r="A200" s="112">
        <f>('Scope2 Electricity'!$B234*A198*'Scope2 Electricity'!$B195)</f>
        <v>0</v>
      </c>
      <c r="B200" s="112">
        <f>('Scope2 Electricity'!$B234*B198*'Scope2 Electricity'!$B195)</f>
        <v>0</v>
      </c>
      <c r="C200" s="112">
        <f>('Scope2 Electricity'!$B234*C198*'Scope2 Electricity'!$B195)</f>
        <v>0</v>
      </c>
      <c r="D200" s="112">
        <f>('Scope2 Electricity'!$B234*D198*'Scope2 Electricity'!$B195)</f>
        <v>0</v>
      </c>
      <c r="E200" s="112">
        <f>('Scope2 Electricity'!$B234*E198*'Scope2 Electricity'!$B195)</f>
        <v>0.2476358176</v>
      </c>
    </row>
    <row r="201" ht="12.75" customHeight="1">
      <c r="A201" s="126">
        <f>A198*'Scope2 Electricity'!$B234*'Scope2 Electricity'!$B195*'Scope2 Electricity'!$B196</f>
        <v>0</v>
      </c>
      <c r="B201" s="126">
        <f>B198*'Scope2 Electricity'!$B234*'Scope2 Electricity'!$B195*'Scope2 Electricity'!$B196</f>
        <v>0</v>
      </c>
      <c r="C201" s="126">
        <f>C198*'Scope2 Electricity'!$B234*'Scope2 Electricity'!$B195*'Scope2 Electricity'!$B196</f>
        <v>0</v>
      </c>
      <c r="D201" s="126">
        <f>D198*'Scope2 Electricity'!$B234*'Scope2 Electricity'!$B195*'Scope2 Electricity'!$B196</f>
        <v>0</v>
      </c>
      <c r="E201" s="126">
        <f>E198*'Scope2 Electricity'!$B234*'Scope2 Electricity'!$B195*'Scope2 Electricity'!$B196</f>
        <v>5.200352169</v>
      </c>
    </row>
    <row r="202" ht="12.75" customHeight="1">
      <c r="A202" s="112">
        <f>('Scope2 Electricity'!$B235*A198*'Scope2 Electricity'!$B195)</f>
        <v>0</v>
      </c>
      <c r="B202" s="112">
        <f>('Scope2 Electricity'!$B235*B198*'Scope2 Electricity'!$B195)</f>
        <v>0</v>
      </c>
      <c r="C202" s="112">
        <f>('Scope2 Electricity'!$B235*C198*'Scope2 Electricity'!$B195)</f>
        <v>0</v>
      </c>
      <c r="D202" s="112">
        <f>('Scope2 Electricity'!$B235*D198*'Scope2 Electricity'!$B195)</f>
        <v>0</v>
      </c>
      <c r="E202" s="112">
        <f>('Scope2 Electricity'!$B235*E198*'Scope2 Electricity'!$B195)</f>
        <v>0.05140221279</v>
      </c>
    </row>
    <row r="203" ht="12.75" customHeight="1">
      <c r="A203" s="119">
        <f>A198*'Scope2 Electricity'!$B235*'Scope2 Electricity'!$B195*'Scope2 Electricity'!$B197</f>
        <v>0</v>
      </c>
      <c r="B203" s="119">
        <f>B198*'Scope2 Electricity'!$B235*'Scope2 Electricity'!$B195*'Scope2 Electricity'!$B197</f>
        <v>0</v>
      </c>
      <c r="C203" s="119">
        <f>C198*'Scope2 Electricity'!$B235*'Scope2 Electricity'!$B195*'Scope2 Electricity'!$B197</f>
        <v>0</v>
      </c>
      <c r="D203" s="119">
        <f>D198*'Scope2 Electricity'!$B235*'Scope2 Electricity'!$B195*'Scope2 Electricity'!$B197</f>
        <v>0</v>
      </c>
      <c r="E203" s="119">
        <f>E198*'Scope2 Electricity'!$B235*'Scope2 Electricity'!$B195*'Scope2 Electricity'!$B197</f>
        <v>15.93468596</v>
      </c>
    </row>
    <row r="204" ht="12.75" customHeight="1">
      <c r="A204" s="121">
        <f t="shared" ref="A204:E204" si="60">ROUND(A199+A201+A203,1)</f>
        <v>0</v>
      </c>
      <c r="B204" s="121">
        <f t="shared" si="60"/>
        <v>0</v>
      </c>
      <c r="C204" s="121">
        <f t="shared" si="60"/>
        <v>0</v>
      </c>
      <c r="D204" s="121">
        <f t="shared" si="60"/>
        <v>0</v>
      </c>
      <c r="E204" s="121">
        <f t="shared" si="60"/>
        <v>871.1</v>
      </c>
    </row>
    <row r="205" ht="12.75" customHeight="1"/>
    <row r="206" ht="12.75" customHeight="1"/>
    <row r="207" ht="12.75" customHeight="1">
      <c r="A207" s="65" t="s">
        <v>55</v>
      </c>
    </row>
    <row r="208" ht="12.75" customHeight="1">
      <c r="A208" s="85" t="s">
        <v>1512</v>
      </c>
      <c r="B208" s="85" t="s">
        <v>1513</v>
      </c>
      <c r="C208" s="85" t="s">
        <v>1514</v>
      </c>
      <c r="D208" s="85" t="s">
        <v>1515</v>
      </c>
      <c r="E208" s="85" t="s">
        <v>1516</v>
      </c>
    </row>
    <row r="209" ht="12.75" customHeight="1">
      <c r="A209" s="97">
        <v>0.0</v>
      </c>
      <c r="B209" s="97">
        <v>0.0</v>
      </c>
      <c r="C209" s="97">
        <v>0.0</v>
      </c>
      <c r="D209" s="97">
        <v>0.0</v>
      </c>
      <c r="E209" s="97">
        <v>0.0</v>
      </c>
    </row>
    <row r="210" ht="12.75" customHeight="1">
      <c r="A210" s="97">
        <v>0.0</v>
      </c>
      <c r="B210" s="97">
        <v>0.0</v>
      </c>
      <c r="C210" s="97">
        <v>0.0</v>
      </c>
      <c r="D210" s="97">
        <v>0.0</v>
      </c>
      <c r="E210" s="97">
        <v>0.0</v>
      </c>
    </row>
    <row r="211" ht="12.75" customHeight="1">
      <c r="A211" s="97">
        <v>0.0</v>
      </c>
      <c r="B211" s="97">
        <v>0.0</v>
      </c>
      <c r="C211" s="97">
        <v>0.0</v>
      </c>
      <c r="D211" s="97">
        <v>0.0</v>
      </c>
      <c r="E211" s="97">
        <v>0.0</v>
      </c>
    </row>
    <row r="212" ht="12.75" customHeight="1">
      <c r="A212" s="97">
        <v>0.0</v>
      </c>
      <c r="B212" s="97">
        <v>0.0</v>
      </c>
      <c r="C212" s="97">
        <v>0.0</v>
      </c>
      <c r="D212" s="97">
        <v>0.0</v>
      </c>
      <c r="E212" s="97">
        <v>0.0</v>
      </c>
    </row>
    <row r="213" ht="12.75" customHeight="1">
      <c r="A213" s="97">
        <v>0.0</v>
      </c>
      <c r="B213" s="97">
        <v>0.0</v>
      </c>
      <c r="C213" s="97">
        <v>0.0</v>
      </c>
      <c r="D213" s="97">
        <v>0.0</v>
      </c>
      <c r="E213" s="97">
        <v>0.0</v>
      </c>
    </row>
    <row r="214" ht="12.75" customHeight="1">
      <c r="A214" s="97">
        <v>0.0</v>
      </c>
      <c r="B214" s="97">
        <v>0.0</v>
      </c>
      <c r="C214" s="97">
        <v>0.0</v>
      </c>
      <c r="D214" s="97">
        <v>0.0</v>
      </c>
      <c r="E214" s="97">
        <v>0.0</v>
      </c>
    </row>
    <row r="215" ht="12.75" customHeight="1">
      <c r="A215" s="97">
        <v>0.0</v>
      </c>
      <c r="B215" s="97">
        <v>0.0</v>
      </c>
      <c r="C215" s="97">
        <v>0.0</v>
      </c>
      <c r="D215" s="97">
        <v>0.0</v>
      </c>
      <c r="E215" s="97">
        <v>0.0</v>
      </c>
    </row>
    <row r="216" ht="12.75" customHeight="1">
      <c r="A216" s="97">
        <f t="shared" ref="A216:E216" si="61">A156</f>
        <v>0</v>
      </c>
      <c r="B216" s="97">
        <f t="shared" si="61"/>
        <v>0</v>
      </c>
      <c r="C216" s="97">
        <f t="shared" si="61"/>
        <v>0</v>
      </c>
      <c r="D216" s="97">
        <f t="shared" si="61"/>
        <v>0</v>
      </c>
      <c r="E216" s="97">
        <f t="shared" si="61"/>
        <v>49.5</v>
      </c>
    </row>
    <row r="217" ht="12.75" customHeight="1">
      <c r="A217" s="97">
        <f t="shared" ref="A217:E217" si="62">A168</f>
        <v>0</v>
      </c>
      <c r="B217" s="97">
        <f t="shared" si="62"/>
        <v>0</v>
      </c>
      <c r="C217" s="97">
        <f t="shared" si="62"/>
        <v>0</v>
      </c>
      <c r="D217" s="97">
        <f t="shared" si="62"/>
        <v>0</v>
      </c>
      <c r="E217" s="97">
        <f t="shared" si="62"/>
        <v>47</v>
      </c>
    </row>
    <row r="218" ht="12.75" customHeight="1">
      <c r="A218" s="97">
        <f t="shared" ref="A218:E218" si="63">A180</f>
        <v>0</v>
      </c>
      <c r="B218" s="97">
        <f t="shared" si="63"/>
        <v>0</v>
      </c>
      <c r="C218" s="97">
        <f t="shared" si="63"/>
        <v>0</v>
      </c>
      <c r="D218" s="97">
        <f t="shared" si="63"/>
        <v>0</v>
      </c>
      <c r="E218" s="97">
        <f t="shared" si="63"/>
        <v>3.3</v>
      </c>
    </row>
    <row r="219" ht="12.75" customHeight="1">
      <c r="A219" s="97">
        <f t="shared" ref="A219:E219" si="64">A192</f>
        <v>0</v>
      </c>
      <c r="B219" s="97">
        <f t="shared" si="64"/>
        <v>0</v>
      </c>
      <c r="C219" s="97">
        <f t="shared" si="64"/>
        <v>0</v>
      </c>
      <c r="D219" s="97">
        <f t="shared" si="64"/>
        <v>0</v>
      </c>
      <c r="E219" s="97">
        <f t="shared" si="64"/>
        <v>63.5</v>
      </c>
    </row>
    <row r="220" ht="12.75" customHeight="1">
      <c r="A220" s="97">
        <f t="shared" ref="A220:E220" si="65">A204</f>
        <v>0</v>
      </c>
      <c r="B220" s="97">
        <f t="shared" si="65"/>
        <v>0</v>
      </c>
      <c r="C220" s="97">
        <f t="shared" si="65"/>
        <v>0</v>
      </c>
      <c r="D220" s="97">
        <f t="shared" si="65"/>
        <v>0</v>
      </c>
      <c r="E220" s="97">
        <f t="shared" si="65"/>
        <v>871.1</v>
      </c>
    </row>
    <row r="221" ht="12.75" customHeight="1">
      <c r="A221" s="98">
        <f t="shared" ref="A221:D221" si="66">SUM(A213:A220)</f>
        <v>0</v>
      </c>
      <c r="B221" s="98">
        <f t="shared" si="66"/>
        <v>0</v>
      </c>
      <c r="C221" s="98">
        <f t="shared" si="66"/>
        <v>0</v>
      </c>
      <c r="D221" s="98">
        <f t="shared" si="66"/>
        <v>0</v>
      </c>
      <c r="E221" s="98">
        <f>SUM(E209:E220)</f>
        <v>1034.4</v>
      </c>
    </row>
    <row r="222" ht="12.75" customHeight="1"/>
    <row r="223" ht="12.75" customHeight="1">
      <c r="A223" s="85"/>
      <c r="B223" s="85"/>
      <c r="C223" s="85"/>
      <c r="D223" s="85"/>
      <c r="E223" s="85"/>
    </row>
    <row r="224" ht="12.75" customHeight="1">
      <c r="A224" s="79">
        <v>0.0</v>
      </c>
      <c r="B224" s="79">
        <v>0.0</v>
      </c>
      <c r="C224" s="79">
        <v>0.0</v>
      </c>
      <c r="D224" s="79">
        <v>0.0</v>
      </c>
      <c r="E224" s="79">
        <v>0.0</v>
      </c>
    </row>
    <row r="225" ht="12.75" customHeight="1">
      <c r="A225" s="79">
        <v>0.0</v>
      </c>
      <c r="B225" s="79">
        <v>0.0</v>
      </c>
      <c r="C225" s="79">
        <v>0.0</v>
      </c>
      <c r="D225" s="79">
        <v>0.0</v>
      </c>
      <c r="E225" s="79">
        <v>0.0</v>
      </c>
    </row>
    <row r="226" ht="12.75" customHeight="1">
      <c r="A226" s="79">
        <v>0.0</v>
      </c>
      <c r="B226" s="79">
        <v>0.0</v>
      </c>
      <c r="C226" s="79">
        <v>0.0</v>
      </c>
      <c r="D226" s="79">
        <v>0.0</v>
      </c>
      <c r="E226" s="79">
        <v>0.0</v>
      </c>
    </row>
    <row r="227" ht="12.75" customHeight="1">
      <c r="A227" s="79">
        <v>0.0</v>
      </c>
      <c r="B227" s="79">
        <v>0.0</v>
      </c>
      <c r="C227" s="79">
        <v>0.0</v>
      </c>
      <c r="D227" s="79">
        <v>0.0</v>
      </c>
      <c r="E227" s="79">
        <v>0.0</v>
      </c>
    </row>
    <row r="228" ht="12.75" customHeight="1">
      <c r="A228" s="79">
        <v>0.0</v>
      </c>
      <c r="B228" s="79">
        <v>0.0</v>
      </c>
      <c r="C228" s="79">
        <v>0.0</v>
      </c>
      <c r="D228" s="79">
        <v>0.0</v>
      </c>
      <c r="E228" s="79">
        <v>0.0</v>
      </c>
    </row>
    <row r="229" ht="12.75" customHeight="1">
      <c r="A229" s="79">
        <v>0.0</v>
      </c>
      <c r="B229" s="79">
        <v>0.0</v>
      </c>
      <c r="C229" s="79">
        <v>0.0</v>
      </c>
      <c r="D229" s="79">
        <v>0.0</v>
      </c>
      <c r="E229" s="79">
        <v>0.0</v>
      </c>
    </row>
    <row r="230" ht="12.75" customHeight="1">
      <c r="A230" s="79">
        <v>0.0</v>
      </c>
      <c r="B230" s="79">
        <v>0.0</v>
      </c>
      <c r="C230" s="79">
        <v>0.0</v>
      </c>
      <c r="D230" s="79">
        <v>0.0</v>
      </c>
      <c r="E230" s="79">
        <v>0.0</v>
      </c>
    </row>
    <row r="231" ht="12.75" customHeight="1">
      <c r="A231" s="79" t="str">
        <f t="shared" ref="A231:E231" si="67">A216/A221</f>
        <v>#DIV/0!</v>
      </c>
      <c r="B231" s="79" t="str">
        <f t="shared" si="67"/>
        <v>#DIV/0!</v>
      </c>
      <c r="C231" s="79" t="str">
        <f t="shared" si="67"/>
        <v>#DIV/0!</v>
      </c>
      <c r="D231" s="79" t="str">
        <f t="shared" si="67"/>
        <v>#DIV/0!</v>
      </c>
      <c r="E231" s="79">
        <f t="shared" si="67"/>
        <v>0.04785382831</v>
      </c>
    </row>
    <row r="232" ht="12.75" customHeight="1">
      <c r="A232" s="79" t="str">
        <f t="shared" ref="A232:E232" si="68">A217/A221</f>
        <v>#DIV/0!</v>
      </c>
      <c r="B232" s="79" t="str">
        <f t="shared" si="68"/>
        <v>#DIV/0!</v>
      </c>
      <c r="C232" s="79" t="str">
        <f t="shared" si="68"/>
        <v>#DIV/0!</v>
      </c>
      <c r="D232" s="79" t="str">
        <f t="shared" si="68"/>
        <v>#DIV/0!</v>
      </c>
      <c r="E232" s="79">
        <f t="shared" si="68"/>
        <v>0.04543696829</v>
      </c>
    </row>
    <row r="233" ht="12.75" customHeight="1">
      <c r="A233" s="79" t="str">
        <f t="shared" ref="A233:E233" si="69">A218/A221</f>
        <v>#DIV/0!</v>
      </c>
      <c r="B233" s="79" t="str">
        <f t="shared" si="69"/>
        <v>#DIV/0!</v>
      </c>
      <c r="C233" s="79" t="str">
        <f t="shared" si="69"/>
        <v>#DIV/0!</v>
      </c>
      <c r="D233" s="79" t="str">
        <f t="shared" si="69"/>
        <v>#DIV/0!</v>
      </c>
      <c r="E233" s="79">
        <f t="shared" si="69"/>
        <v>0.00319025522</v>
      </c>
    </row>
    <row r="234" ht="12.75" customHeight="1">
      <c r="A234" s="79" t="str">
        <f t="shared" ref="A234:E234" si="70">A219/A221</f>
        <v>#DIV/0!</v>
      </c>
      <c r="B234" s="79" t="str">
        <f t="shared" si="70"/>
        <v>#DIV/0!</v>
      </c>
      <c r="C234" s="79" t="str">
        <f t="shared" si="70"/>
        <v>#DIV/0!</v>
      </c>
      <c r="D234" s="79" t="str">
        <f t="shared" si="70"/>
        <v>#DIV/0!</v>
      </c>
      <c r="E234" s="79">
        <f t="shared" si="70"/>
        <v>0.06138824439</v>
      </c>
    </row>
    <row r="235" ht="12.75" customHeight="1">
      <c r="A235" s="79" t="str">
        <f t="shared" ref="A235:E235" si="71">A220/A221</f>
        <v>#DIV/0!</v>
      </c>
      <c r="B235" s="79" t="str">
        <f t="shared" si="71"/>
        <v>#DIV/0!</v>
      </c>
      <c r="C235" s="79" t="str">
        <f t="shared" si="71"/>
        <v>#DIV/0!</v>
      </c>
      <c r="D235" s="79" t="str">
        <f t="shared" si="71"/>
        <v>#DIV/0!</v>
      </c>
      <c r="E235" s="79">
        <f t="shared" si="71"/>
        <v>0.8421307038</v>
      </c>
    </row>
    <row r="236" ht="12.75" customHeight="1">
      <c r="A236" s="281" t="str">
        <f t="shared" ref="A236:D236" si="72">SUM(A228:A235)</f>
        <v>#DIV/0!</v>
      </c>
      <c r="B236" s="281" t="str">
        <f t="shared" si="72"/>
        <v>#DIV/0!</v>
      </c>
      <c r="C236" s="281" t="str">
        <f t="shared" si="72"/>
        <v>#DIV/0!</v>
      </c>
      <c r="D236" s="281" t="str">
        <f t="shared" si="72"/>
        <v>#DIV/0!</v>
      </c>
      <c r="E236" s="281">
        <f>SUM(E224:E235)</f>
        <v>1</v>
      </c>
    </row>
    <row r="237" ht="12.75" customHeight="1"/>
    <row r="238" ht="12.75" customHeight="1"/>
    <row r="239" ht="12.75" customHeight="1">
      <c r="A239" s="72" t="s">
        <v>99</v>
      </c>
    </row>
    <row r="240" ht="12.75" customHeight="1">
      <c r="A240" s="86" t="s">
        <v>1512</v>
      </c>
      <c r="B240" s="86" t="s">
        <v>1513</v>
      </c>
      <c r="C240" s="86" t="s">
        <v>1514</v>
      </c>
      <c r="D240" s="86" t="s">
        <v>1515</v>
      </c>
      <c r="E240" s="86" t="s">
        <v>1516</v>
      </c>
    </row>
    <row r="241" ht="12.75" customHeight="1">
      <c r="A241" s="97">
        <f t="shared" ref="A241:E241" si="73">A262</f>
        <v>1399.8</v>
      </c>
      <c r="B241" s="97">
        <f t="shared" si="73"/>
        <v>1152.3</v>
      </c>
      <c r="C241" s="97">
        <f t="shared" si="73"/>
        <v>1112.8</v>
      </c>
      <c r="D241" s="97">
        <f t="shared" si="73"/>
        <v>1093.3</v>
      </c>
      <c r="E241" s="73">
        <f t="shared" si="73"/>
        <v>870</v>
      </c>
    </row>
    <row r="242" ht="12.75" customHeight="1">
      <c r="A242" s="73">
        <f t="shared" ref="A242:E242" si="74">A282</f>
        <v>15.2</v>
      </c>
      <c r="B242" s="73">
        <f t="shared" si="74"/>
        <v>12.3</v>
      </c>
      <c r="C242" s="73">
        <f t="shared" si="74"/>
        <v>12.1</v>
      </c>
      <c r="D242" s="73">
        <f t="shared" si="74"/>
        <v>17.5</v>
      </c>
      <c r="E242" s="73">
        <f t="shared" si="74"/>
        <v>18.3</v>
      </c>
    </row>
    <row r="243" ht="12.75" customHeight="1">
      <c r="A243" s="97">
        <f>'FY 02-06 reference'!A304</f>
        <v>34.9</v>
      </c>
      <c r="B243" s="97">
        <f>'FY 02-06 reference'!B304</f>
        <v>36.9</v>
      </c>
      <c r="C243" s="97">
        <f>'FY 02-06 reference'!C304</f>
        <v>40</v>
      </c>
      <c r="D243" s="97">
        <f>'FY 02-06 reference'!D304</f>
        <v>41.8</v>
      </c>
      <c r="E243" s="97">
        <f>'FY 02-06 reference'!E304</f>
        <v>59.3</v>
      </c>
    </row>
    <row r="244" ht="12.75" customHeight="1">
      <c r="A244" s="73">
        <f>'FY 02-06 reference'!A335</f>
        <v>1416.7</v>
      </c>
      <c r="B244" s="73">
        <f>'FY 02-06 reference'!B335</f>
        <v>1446.1</v>
      </c>
      <c r="C244" s="73">
        <f>'FY 02-06 reference'!C335</f>
        <v>1322.7</v>
      </c>
      <c r="D244" s="73">
        <f>'FY 02-06 reference'!D335</f>
        <v>1377.7</v>
      </c>
      <c r="E244" s="73">
        <f>'FY 02-06 reference'!E335</f>
        <v>1331.3</v>
      </c>
    </row>
    <row r="245" ht="12.75" customHeight="1">
      <c r="A245" s="73">
        <f>'FY 02-06 reference'!G307</f>
        <v>18.2</v>
      </c>
      <c r="B245" s="73">
        <f>'FY 02-06 reference'!H307</f>
        <v>15.4</v>
      </c>
      <c r="C245" s="73">
        <f>'FY 02-06 reference'!I307</f>
        <v>12.8</v>
      </c>
      <c r="D245" s="73">
        <f>'FY 02-06 reference'!J307</f>
        <v>20</v>
      </c>
      <c r="E245" s="73">
        <f>'FY 02-06 reference'!K307</f>
        <v>23</v>
      </c>
    </row>
    <row r="246" ht="12.75" customHeight="1">
      <c r="A246" s="285">
        <f t="shared" ref="A246:E246" si="75">SUM(A241:A245)</f>
        <v>2884.8</v>
      </c>
      <c r="B246" s="285">
        <f t="shared" si="75"/>
        <v>2663</v>
      </c>
      <c r="C246" s="285">
        <f t="shared" si="75"/>
        <v>2500.4</v>
      </c>
      <c r="D246" s="285">
        <f t="shared" si="75"/>
        <v>2550.3</v>
      </c>
      <c r="E246" s="285">
        <f t="shared" si="75"/>
        <v>2301.9</v>
      </c>
    </row>
    <row r="247" ht="12.75" customHeight="1">
      <c r="A247" s="25"/>
      <c r="B247" s="25"/>
      <c r="C247" s="25"/>
      <c r="D247" s="25"/>
      <c r="E247" s="25"/>
    </row>
    <row r="248" ht="12.75" customHeight="1">
      <c r="A248" s="25"/>
      <c r="B248" s="25"/>
      <c r="C248" s="25"/>
      <c r="D248" s="25"/>
      <c r="E248" s="25"/>
    </row>
    <row r="249" ht="12.75" customHeight="1">
      <c r="A249" s="65" t="s">
        <v>55</v>
      </c>
      <c r="B249" s="25"/>
      <c r="C249" s="25"/>
      <c r="D249" s="25"/>
      <c r="E249" s="25"/>
    </row>
    <row r="250" ht="12.75" customHeight="1">
      <c r="A250" s="85" t="s">
        <v>1512</v>
      </c>
      <c r="B250" s="85" t="s">
        <v>1513</v>
      </c>
      <c r="C250" s="85" t="s">
        <v>1514</v>
      </c>
      <c r="D250" s="85" t="s">
        <v>1515</v>
      </c>
      <c r="E250" s="85" t="s">
        <v>1516</v>
      </c>
    </row>
    <row r="251" ht="12.75" customHeight="1">
      <c r="A251" s="286">
        <v>192376.0</v>
      </c>
      <c r="B251" s="286">
        <v>180823.0</v>
      </c>
      <c r="C251" s="286">
        <v>197095.0</v>
      </c>
      <c r="D251" s="286">
        <v>230155.0</v>
      </c>
      <c r="E251" s="286">
        <v>233292.0</v>
      </c>
    </row>
    <row r="252" ht="12.75" customHeight="1">
      <c r="A252" s="291">
        <v>129.8</v>
      </c>
      <c r="B252" s="291">
        <v>148.21</v>
      </c>
      <c r="C252" s="291">
        <v>167.27</v>
      </c>
      <c r="D252" s="291">
        <v>198.82</v>
      </c>
      <c r="E252" s="291">
        <v>253.27</v>
      </c>
    </row>
    <row r="253" ht="12.75" customHeight="1">
      <c r="A253" s="97">
        <f>A251/('Scope3 Travel'!$B149*A252)</f>
        <v>148209.5532</v>
      </c>
      <c r="B253" s="97">
        <f>B251/('Scope3 Travel'!$B149*B252)</f>
        <v>122004.5881</v>
      </c>
      <c r="C253" s="97">
        <f>C251/('Scope3 Travel'!$B149*C252)</f>
        <v>117830.4538</v>
      </c>
      <c r="D253" s="97">
        <f>D251/('Scope3 Travel'!$B149*D252)</f>
        <v>115760.4869</v>
      </c>
      <c r="E253" s="97">
        <f>E251/('Scope3 Travel'!$B149*E252)</f>
        <v>92111.97536</v>
      </c>
    </row>
    <row r="254" ht="12.75" customHeight="1">
      <c r="A254" s="73">
        <f>ROUND(A253*'Scope3 Travel'!$B155,1)</f>
        <v>18536.8</v>
      </c>
      <c r="B254" s="73">
        <f>ROUND(B253*'Scope3 Travel'!$B155,1)</f>
        <v>15259.3</v>
      </c>
      <c r="C254" s="73">
        <f>ROUND(C253*'Scope3 Travel'!$B155,1)</f>
        <v>14737.2</v>
      </c>
      <c r="D254" s="73">
        <f>ROUND(D253*'Scope3 Travel'!$B155,1)</f>
        <v>14478.3</v>
      </c>
      <c r="E254" s="73">
        <f>ROUND(E253*'Scope3 Travel'!$B155,1)</f>
        <v>11520.6</v>
      </c>
    </row>
    <row r="255" ht="12.75" customHeight="1">
      <c r="A255" s="78">
        <f>ROUND(A253*'Scope3 Travel'!$B156,1)</f>
        <v>1300.5</v>
      </c>
      <c r="B255" s="78">
        <f>ROUND(B253*'Scope3 Travel'!$B156,1)</f>
        <v>1070.6</v>
      </c>
      <c r="C255" s="78">
        <f>ROUND(C253*'Scope3 Travel'!$B156,1)</f>
        <v>1033.9</v>
      </c>
      <c r="D255" s="78">
        <f>ROUND(D253*'Scope3 Travel'!$B156,1)</f>
        <v>1015.8</v>
      </c>
      <c r="E255" s="78">
        <f>ROUND(E253*'Scope3 Travel'!$B156,1)</f>
        <v>808.3</v>
      </c>
    </row>
    <row r="256" ht="12.75" customHeight="1">
      <c r="A256" s="220">
        <v>20.0</v>
      </c>
      <c r="B256" s="220">
        <v>20.0</v>
      </c>
      <c r="C256" s="220">
        <v>20.0</v>
      </c>
      <c r="D256" s="220">
        <v>20.0</v>
      </c>
      <c r="E256" s="220">
        <v>20.0</v>
      </c>
    </row>
    <row r="257" ht="12.75" customHeight="1">
      <c r="A257" s="97">
        <f t="shared" ref="A257:E257" si="76">A253*A256</f>
        <v>2964191.063</v>
      </c>
      <c r="B257" s="97">
        <f t="shared" si="76"/>
        <v>2440091.762</v>
      </c>
      <c r="C257" s="97">
        <f t="shared" si="76"/>
        <v>2356609.075</v>
      </c>
      <c r="D257" s="97">
        <f t="shared" si="76"/>
        <v>2315209.737</v>
      </c>
      <c r="E257" s="97">
        <f t="shared" si="76"/>
        <v>1842239.507</v>
      </c>
    </row>
    <row r="258" ht="12.75" customHeight="1">
      <c r="A258" s="112">
        <f>('Scope3 Travel'!$B157*A257*'Scope3 Travel'!$B148)</f>
        <v>0.3388070385</v>
      </c>
      <c r="B258" s="112">
        <f>('Scope3 Travel'!$B157*B257*'Scope3 Travel'!$B148)</f>
        <v>0.2789024884</v>
      </c>
      <c r="C258" s="112">
        <f>('Scope3 Travel'!$B157*C257*'Scope3 Travel'!$B148)</f>
        <v>0.2693604173</v>
      </c>
      <c r="D258" s="112">
        <f>('Scope3 Travel'!$B157*D257*'Scope3 Travel'!$B148)</f>
        <v>0.264628473</v>
      </c>
      <c r="E258" s="112">
        <f>('Scope3 Travel'!$B157*E257*'Scope3 Travel'!$B148)</f>
        <v>0.2105679757</v>
      </c>
    </row>
    <row r="259" ht="12.75" customHeight="1">
      <c r="A259" s="126">
        <f>A257*'Scope3 Travel'!$B157*'Scope3 Travel'!$B148*'Scope3 Travel'!$B151</f>
        <v>7.114947809</v>
      </c>
      <c r="B259" s="126">
        <f>B257*'Scope3 Travel'!$B157*'Scope3 Travel'!$B148*'Scope3 Travel'!$B151</f>
        <v>5.856952256</v>
      </c>
      <c r="C259" s="126">
        <f>C257*'Scope3 Travel'!$B157*'Scope3 Travel'!$B148*'Scope3 Travel'!$B151</f>
        <v>5.656568763</v>
      </c>
      <c r="D259" s="126">
        <f>D257*'Scope3 Travel'!$B157*'Scope3 Travel'!$B148*'Scope3 Travel'!$B151</f>
        <v>5.557197933</v>
      </c>
      <c r="E259" s="126">
        <f>E257*'Scope3 Travel'!$B157*'Scope3 Travel'!$B148*'Scope3 Travel'!$B151</f>
        <v>4.421927489</v>
      </c>
    </row>
    <row r="260" ht="12.75" customHeight="1">
      <c r="A260" s="112">
        <f>('Scope3 Travel'!$B158*A257*'Scope3 Travel'!$B148)</f>
        <v>0.2973083636</v>
      </c>
      <c r="B260" s="112">
        <f>('Scope3 Travel'!$B158*B257*'Scope3 Travel'!$B148)</f>
        <v>0.2447412037</v>
      </c>
      <c r="C260" s="112">
        <f>('Scope3 Travel'!$B158*C257*'Scope3 Travel'!$B148)</f>
        <v>0.2363678902</v>
      </c>
      <c r="D260" s="112">
        <f>('Scope3 Travel'!$B158*D257*'Scope3 Travel'!$B148)</f>
        <v>0.2322155367</v>
      </c>
      <c r="E260" s="112">
        <f>('Scope3 Travel'!$B158*E257*'Scope3 Travel'!$B148)</f>
        <v>0.1847766226</v>
      </c>
    </row>
    <row r="261" ht="12.75" customHeight="1">
      <c r="A261" s="119">
        <f>A257*'Scope3 Travel'!$B158*'Scope3 Travel'!$B148*'Scope3 Travel'!$B152</f>
        <v>92.16559273</v>
      </c>
      <c r="B261" s="119">
        <f>B257*'Scope3 Travel'!$B158*'Scope3 Travel'!$B148*'Scope3 Travel'!$B152</f>
        <v>75.86977315</v>
      </c>
      <c r="C261" s="119">
        <f>C257*'Scope3 Travel'!$B158*'Scope3 Travel'!$B148*'Scope3 Travel'!$B152</f>
        <v>73.27404597</v>
      </c>
      <c r="D261" s="119">
        <f>D257*'Scope3 Travel'!$B158*'Scope3 Travel'!$B148*'Scope3 Travel'!$B152</f>
        <v>71.98681637</v>
      </c>
      <c r="E261" s="119">
        <f>E257*'Scope3 Travel'!$B158*'Scope3 Travel'!$B148*'Scope3 Travel'!$B152</f>
        <v>57.280753</v>
      </c>
    </row>
    <row r="262" ht="12.75" customHeight="1">
      <c r="A262" s="121">
        <f t="shared" ref="A262:E262" si="77">ROUND(A255+A259+A261,1)</f>
        <v>1399.8</v>
      </c>
      <c r="B262" s="121">
        <f t="shared" si="77"/>
        <v>1152.3</v>
      </c>
      <c r="C262" s="121">
        <f t="shared" si="77"/>
        <v>1112.8</v>
      </c>
      <c r="D262" s="121">
        <f t="shared" si="77"/>
        <v>1093.3</v>
      </c>
      <c r="E262" s="121">
        <f t="shared" si="77"/>
        <v>870</v>
      </c>
    </row>
    <row r="263" ht="12.75" customHeight="1">
      <c r="A263" s="78"/>
      <c r="B263" s="78"/>
      <c r="C263" s="78"/>
      <c r="D263" s="78"/>
      <c r="E263" s="78"/>
    </row>
    <row r="264" ht="12.75" customHeight="1">
      <c r="A264" s="25"/>
      <c r="B264" s="25"/>
      <c r="C264" s="25"/>
      <c r="D264" s="25"/>
      <c r="E264" s="25"/>
    </row>
    <row r="265" ht="12.75" customHeight="1">
      <c r="A265" s="65" t="s">
        <v>55</v>
      </c>
      <c r="B265" s="25"/>
      <c r="C265" s="25"/>
      <c r="D265" s="25"/>
      <c r="E265" s="25"/>
    </row>
    <row r="266" ht="12.75" customHeight="1">
      <c r="A266" s="85" t="s">
        <v>1512</v>
      </c>
      <c r="B266" s="85" t="s">
        <v>1513</v>
      </c>
      <c r="C266" s="85" t="s">
        <v>1514</v>
      </c>
      <c r="D266" s="85" t="s">
        <v>1515</v>
      </c>
      <c r="E266" s="85" t="s">
        <v>1516</v>
      </c>
    </row>
    <row r="267" ht="12.75" customHeight="1">
      <c r="A267" s="286">
        <v>92173.0</v>
      </c>
      <c r="B267" s="286">
        <v>74059.0</v>
      </c>
      <c r="C267" s="286">
        <v>72888.0</v>
      </c>
      <c r="D267" s="286">
        <v>105753.0</v>
      </c>
      <c r="E267" s="286">
        <v>110544.0</v>
      </c>
    </row>
    <row r="268" ht="12.75" customHeight="1">
      <c r="A268" s="289"/>
      <c r="B268" s="289"/>
      <c r="C268" s="289"/>
      <c r="D268" s="289"/>
      <c r="E268" s="289"/>
    </row>
    <row r="269" ht="12.75" customHeight="1">
      <c r="A269" s="295">
        <v>25.0</v>
      </c>
      <c r="B269" s="295">
        <v>25.0</v>
      </c>
      <c r="C269" s="295">
        <v>25.0</v>
      </c>
      <c r="D269" s="295">
        <v>25.0</v>
      </c>
      <c r="E269" s="295">
        <v>25.0</v>
      </c>
    </row>
    <row r="270" ht="12.75" customHeight="1">
      <c r="A270" s="297">
        <v>6.0</v>
      </c>
      <c r="B270" s="297">
        <v>6.0</v>
      </c>
      <c r="C270" s="297">
        <v>6.0</v>
      </c>
      <c r="D270" s="297">
        <v>6.0</v>
      </c>
      <c r="E270" s="297">
        <v>6.0</v>
      </c>
    </row>
    <row r="271" ht="12.75" customHeight="1">
      <c r="A271" s="298">
        <f t="shared" ref="A271:E271" si="78">A269*A270</f>
        <v>150</v>
      </c>
      <c r="B271" s="298">
        <f t="shared" si="78"/>
        <v>150</v>
      </c>
      <c r="C271" s="298">
        <f t="shared" si="78"/>
        <v>150</v>
      </c>
      <c r="D271" s="298">
        <f t="shared" si="78"/>
        <v>150</v>
      </c>
      <c r="E271" s="298">
        <f t="shared" si="78"/>
        <v>150</v>
      </c>
    </row>
    <row r="272" ht="12.75" customHeight="1">
      <c r="A272" s="97">
        <v>39.0</v>
      </c>
      <c r="B272" s="97">
        <v>39.0</v>
      </c>
      <c r="C272" s="97">
        <v>39.0</v>
      </c>
      <c r="D272" s="97">
        <v>39.0</v>
      </c>
      <c r="E272" s="97">
        <v>39.0</v>
      </c>
    </row>
    <row r="273" ht="12.75" customHeight="1">
      <c r="A273" s="97">
        <f t="shared" ref="A273:E273" si="79">(A267/A271)*A272</f>
        <v>23964.98</v>
      </c>
      <c r="B273" s="97">
        <f t="shared" si="79"/>
        <v>19255.34</v>
      </c>
      <c r="C273" s="97">
        <f t="shared" si="79"/>
        <v>18950.88</v>
      </c>
      <c r="D273" s="97">
        <f t="shared" si="79"/>
        <v>27495.78</v>
      </c>
      <c r="E273" s="97">
        <f t="shared" si="79"/>
        <v>28741.44</v>
      </c>
    </row>
    <row r="274" ht="12.75" customHeight="1">
      <c r="A274" s="297">
        <v>15.0</v>
      </c>
      <c r="B274" s="297">
        <v>15.0</v>
      </c>
      <c r="C274" s="297">
        <v>15.0</v>
      </c>
      <c r="D274" s="297">
        <v>15.0</v>
      </c>
      <c r="E274" s="297">
        <v>15.0</v>
      </c>
    </row>
    <row r="275" ht="12.75" customHeight="1">
      <c r="A275" s="97">
        <f t="shared" ref="A275:E275" si="80">A273/A274</f>
        <v>1597.665333</v>
      </c>
      <c r="B275" s="97">
        <f t="shared" si="80"/>
        <v>1283.689333</v>
      </c>
      <c r="C275" s="97">
        <f t="shared" si="80"/>
        <v>1263.392</v>
      </c>
      <c r="D275" s="97">
        <f t="shared" si="80"/>
        <v>1833.052</v>
      </c>
      <c r="E275" s="97">
        <f t="shared" si="80"/>
        <v>1916.096</v>
      </c>
    </row>
    <row r="276" ht="12.75" customHeight="1">
      <c r="A276" s="73">
        <f>ROUND(A275*'Scope3 Travel'!$B165,1)</f>
        <v>199.8</v>
      </c>
      <c r="B276" s="73">
        <f>ROUND(B275*'Scope3 Travel'!$B165,1)</f>
        <v>160.6</v>
      </c>
      <c r="C276" s="73">
        <f>ROUND(C275*'Scope3 Travel'!$B165,1)</f>
        <v>158</v>
      </c>
      <c r="D276" s="73">
        <f>ROUND(D275*'Scope3 Travel'!$B165,1)</f>
        <v>229.3</v>
      </c>
      <c r="E276" s="73">
        <f>ROUND(E275*'Scope3 Travel'!$B165,1)</f>
        <v>239.6</v>
      </c>
    </row>
    <row r="277" ht="12.75" customHeight="1">
      <c r="A277" s="78">
        <f>ROUND(A275*'Scope3 Travel'!$B166,1)</f>
        <v>14</v>
      </c>
      <c r="B277" s="78">
        <f>ROUND(B275*'Scope3 Travel'!$B166,1)</f>
        <v>11.3</v>
      </c>
      <c r="C277" s="78">
        <f>ROUND(C275*'Scope3 Travel'!$B166,1)</f>
        <v>11.1</v>
      </c>
      <c r="D277" s="78">
        <f>ROUND(D275*'Scope3 Travel'!$B166,1)</f>
        <v>16.1</v>
      </c>
      <c r="E277" s="78">
        <f>ROUND(E275*'Scope3 Travel'!$B166,1)</f>
        <v>16.8</v>
      </c>
    </row>
    <row r="278" ht="12.75" customHeight="1">
      <c r="A278" s="112">
        <f>('Scope3 Travel'!$B167*A273*'Scope3 Travel'!$B148)</f>
        <v>0.004754652032</v>
      </c>
      <c r="B278" s="112">
        <f>('Scope3 Travel'!$B167*B273*'Scope3 Travel'!$B148)</f>
        <v>0.003820259456</v>
      </c>
      <c r="C278" s="112">
        <f>('Scope3 Travel'!$B167*C273*'Scope3 Travel'!$B148)</f>
        <v>0.003759854592</v>
      </c>
      <c r="D278" s="112">
        <f>('Scope3 Travel'!$B167*D273*'Scope3 Travel'!$B148)</f>
        <v>0.005455162752</v>
      </c>
      <c r="E278" s="112">
        <f>('Scope3 Travel'!$B167*E273*'Scope3 Travel'!$B148)</f>
        <v>0.005702301696</v>
      </c>
    </row>
    <row r="279" ht="12.75" customHeight="1">
      <c r="A279" s="126">
        <f>A273*'Scope3 Travel'!$B167*'Scope3 Travel'!$B148*'Scope3 Travel'!$B151</f>
        <v>0.09984769267</v>
      </c>
      <c r="B279" s="126">
        <f>B273*'Scope3 Travel'!$B167*'Scope3 Travel'!$B148*'Scope3 Travel'!$B151</f>
        <v>0.08022544858</v>
      </c>
      <c r="C279" s="126">
        <f>C273*'Scope3 Travel'!$B167*'Scope3 Travel'!$B148*'Scope3 Travel'!$B151</f>
        <v>0.07895694643</v>
      </c>
      <c r="D279" s="126">
        <f>D273*'Scope3 Travel'!$B167*'Scope3 Travel'!$B148*'Scope3 Travel'!$B151</f>
        <v>0.1145584178</v>
      </c>
      <c r="E279" s="126">
        <f>E273*'Scope3 Travel'!$B167*'Scope3 Travel'!$B148*'Scope3 Travel'!$B151</f>
        <v>0.1197483356</v>
      </c>
    </row>
    <row r="280" ht="12.75" customHeight="1">
      <c r="A280" s="112">
        <f>('Scope3 Travel'!$B168*A273*'Scope3 Travel'!$B148)</f>
        <v>0.003635487466</v>
      </c>
      <c r="B280" s="112">
        <f>('Scope3 Travel'!$B168*B273*'Scope3 Travel'!$B148)</f>
        <v>0.002921035078</v>
      </c>
      <c r="C280" s="112">
        <f>('Scope3 Travel'!$B168*C273*'Scope3 Travel'!$B148)</f>
        <v>0.002874848496</v>
      </c>
      <c r="D280" s="112">
        <f>('Scope3 Travel'!$B168*D273*'Scope3 Travel'!$B148)</f>
        <v>0.004171109826</v>
      </c>
      <c r="E280" s="112">
        <f>('Scope3 Travel'!$B168*E273*'Scope3 Travel'!$B148)</f>
        <v>0.004360076448</v>
      </c>
    </row>
    <row r="281" ht="12.75" customHeight="1">
      <c r="A281" s="119">
        <f>A273*'Scope3 Travel'!$B168*'Scope3 Travel'!$B148*'Scope3 Travel'!$B152</f>
        <v>1.127001114</v>
      </c>
      <c r="B281" s="119">
        <f>B273*'Scope3 Travel'!$B168*'Scope3 Travel'!$B148*'Scope3 Travel'!$B152</f>
        <v>0.9055208742</v>
      </c>
      <c r="C281" s="119">
        <f>C273*'Scope3 Travel'!$B168*'Scope3 Travel'!$B148*'Scope3 Travel'!$B152</f>
        <v>0.8912030338</v>
      </c>
      <c r="D281" s="119">
        <f>D273*'Scope3 Travel'!$B168*'Scope3 Travel'!$B148*'Scope3 Travel'!$B152</f>
        <v>1.293044046</v>
      </c>
      <c r="E281" s="119">
        <f>E273*'Scope3 Travel'!$B168*'Scope3 Travel'!$B148*'Scope3 Travel'!$B152</f>
        <v>1.351623699</v>
      </c>
    </row>
    <row r="282" ht="12.75" customHeight="1">
      <c r="A282" s="300">
        <f t="shared" ref="A282:E282" si="81">ROUND(A277+A279+A281,1)</f>
        <v>15.2</v>
      </c>
      <c r="B282" s="300">
        <f t="shared" si="81"/>
        <v>12.3</v>
      </c>
      <c r="C282" s="300">
        <f t="shared" si="81"/>
        <v>12.1</v>
      </c>
      <c r="D282" s="300">
        <f t="shared" si="81"/>
        <v>17.5</v>
      </c>
      <c r="E282" s="300">
        <f t="shared" si="81"/>
        <v>18.3</v>
      </c>
    </row>
    <row r="283" ht="12.75" customHeight="1">
      <c r="G283" s="65" t="s">
        <v>1629</v>
      </c>
    </row>
    <row r="284" ht="12.75" customHeight="1">
      <c r="A284" s="85" t="s">
        <v>1512</v>
      </c>
      <c r="B284" s="85" t="s">
        <v>1513</v>
      </c>
      <c r="C284" s="85" t="s">
        <v>1514</v>
      </c>
      <c r="D284" s="85" t="s">
        <v>1515</v>
      </c>
      <c r="E284" s="85" t="s">
        <v>1516</v>
      </c>
      <c r="G284" s="85" t="s">
        <v>1512</v>
      </c>
      <c r="H284" s="85" t="s">
        <v>1513</v>
      </c>
      <c r="I284" s="85" t="s">
        <v>1514</v>
      </c>
      <c r="J284" s="85" t="s">
        <v>1515</v>
      </c>
      <c r="K284" s="85" t="s">
        <v>1516</v>
      </c>
    </row>
    <row r="285" ht="12.75" customHeight="1">
      <c r="A285" s="286">
        <v>138300.0</v>
      </c>
      <c r="B285" s="286">
        <v>150667.0</v>
      </c>
      <c r="C285" s="286">
        <v>163203.0</v>
      </c>
      <c r="D285" s="286">
        <v>170627.0</v>
      </c>
      <c r="E285" s="286">
        <v>241951.0</v>
      </c>
      <c r="G285" s="286">
        <v>23864.0</v>
      </c>
      <c r="H285" s="286">
        <v>20113.0</v>
      </c>
      <c r="I285" s="286">
        <v>16791.0</v>
      </c>
      <c r="J285" s="286">
        <v>26169.0</v>
      </c>
      <c r="K285" s="286">
        <v>30134.0</v>
      </c>
    </row>
    <row r="286" ht="12.75" customHeight="1">
      <c r="A286" s="481">
        <v>55.0</v>
      </c>
      <c r="B286" s="298">
        <v>55.0</v>
      </c>
      <c r="C286" s="298">
        <v>55.0</v>
      </c>
      <c r="D286" s="298">
        <v>55.0</v>
      </c>
      <c r="E286" s="298">
        <v>55.0</v>
      </c>
      <c r="G286" s="298">
        <v>18.0</v>
      </c>
      <c r="H286" s="298">
        <v>18.0</v>
      </c>
      <c r="I286" s="298">
        <v>18.0</v>
      </c>
      <c r="J286" s="298">
        <v>18.0</v>
      </c>
      <c r="K286" s="298">
        <v>18.0</v>
      </c>
    </row>
    <row r="287" ht="12.75" customHeight="1">
      <c r="A287" s="298">
        <v>101.0</v>
      </c>
      <c r="B287" s="298">
        <v>101.0</v>
      </c>
      <c r="C287" s="298">
        <v>101.0</v>
      </c>
      <c r="D287" s="298">
        <v>101.0</v>
      </c>
      <c r="E287" s="298">
        <v>101.0</v>
      </c>
      <c r="G287" s="221">
        <f t="shared" ref="G287:K287" si="82">2*29.5</f>
        <v>59</v>
      </c>
      <c r="H287" s="221">
        <f t="shared" si="82"/>
        <v>59</v>
      </c>
      <c r="I287" s="221">
        <f t="shared" si="82"/>
        <v>59</v>
      </c>
      <c r="J287" s="221">
        <f t="shared" si="82"/>
        <v>59</v>
      </c>
      <c r="K287" s="221">
        <f t="shared" si="82"/>
        <v>59</v>
      </c>
    </row>
    <row r="288" ht="12.75" customHeight="1">
      <c r="A288" s="295">
        <v>3.55</v>
      </c>
      <c r="B288" s="295">
        <v>3.55</v>
      </c>
      <c r="C288" s="295">
        <v>3.55</v>
      </c>
      <c r="D288" s="295">
        <v>3.55</v>
      </c>
      <c r="E288" s="295">
        <v>3.55</v>
      </c>
      <c r="G288" s="319">
        <f t="shared" ref="G288:K288" si="83">G286/G287</f>
        <v>0.3050847458</v>
      </c>
      <c r="H288" s="319">
        <f t="shared" si="83"/>
        <v>0.3050847458</v>
      </c>
      <c r="I288" s="319">
        <f t="shared" si="83"/>
        <v>0.3050847458</v>
      </c>
      <c r="J288" s="319">
        <f t="shared" si="83"/>
        <v>0.3050847458</v>
      </c>
      <c r="K288" s="319">
        <f t="shared" si="83"/>
        <v>0.3050847458</v>
      </c>
    </row>
    <row r="289" ht="12.75" customHeight="1">
      <c r="A289" s="295">
        <v>1.75</v>
      </c>
      <c r="B289" s="295">
        <v>3.55</v>
      </c>
      <c r="C289" s="295">
        <v>3.55</v>
      </c>
      <c r="D289" s="295">
        <v>3.55</v>
      </c>
      <c r="E289" s="295">
        <v>3.55</v>
      </c>
      <c r="G289" s="298">
        <v>88.0</v>
      </c>
      <c r="H289" s="298">
        <v>88.0</v>
      </c>
      <c r="I289" s="298">
        <v>88.0</v>
      </c>
      <c r="J289" s="298">
        <v>88.0</v>
      </c>
      <c r="K289" s="298">
        <v>88.0</v>
      </c>
    </row>
    <row r="290" ht="12.75" customHeight="1">
      <c r="A290" s="307"/>
      <c r="B290" s="307"/>
      <c r="C290" s="307"/>
      <c r="D290" s="307"/>
      <c r="E290" s="307"/>
      <c r="G290" s="221">
        <f t="shared" ref="G290:K290" si="84">2*310.1</f>
        <v>620.2</v>
      </c>
      <c r="H290" s="221">
        <f t="shared" si="84"/>
        <v>620.2</v>
      </c>
      <c r="I290" s="221">
        <f t="shared" si="84"/>
        <v>620.2</v>
      </c>
      <c r="J290" s="221">
        <f t="shared" si="84"/>
        <v>620.2</v>
      </c>
      <c r="K290" s="221">
        <f t="shared" si="84"/>
        <v>620.2</v>
      </c>
    </row>
    <row r="291" ht="12.75" customHeight="1">
      <c r="A291" s="106">
        <f>'Scope3 Travel'!$B183/'Scope3 Travel'!$B185</f>
        <v>56.18181818</v>
      </c>
      <c r="B291" s="106">
        <f>'Scope3 Travel'!$B183/'Scope3 Travel'!$B185</f>
        <v>56.18181818</v>
      </c>
      <c r="C291" s="106">
        <f>'Scope3 Travel'!$B183/'Scope3 Travel'!$B185</f>
        <v>56.18181818</v>
      </c>
      <c r="D291" s="106">
        <f>'Scope3 Travel'!$B183/'Scope3 Travel'!$B185</f>
        <v>56.18181818</v>
      </c>
      <c r="E291" s="106">
        <f>'Scope3 Travel'!$B183/'Scope3 Travel'!$B185</f>
        <v>56.18181818</v>
      </c>
      <c r="G291" s="319">
        <f t="shared" ref="G291:K291" si="85">G289/G290</f>
        <v>0.141889713</v>
      </c>
      <c r="H291" s="319">
        <f t="shared" si="85"/>
        <v>0.141889713</v>
      </c>
      <c r="I291" s="319">
        <f t="shared" si="85"/>
        <v>0.141889713</v>
      </c>
      <c r="J291" s="319">
        <f t="shared" si="85"/>
        <v>0.141889713</v>
      </c>
      <c r="K291" s="319">
        <f t="shared" si="85"/>
        <v>0.141889713</v>
      </c>
    </row>
    <row r="292" ht="12.75" customHeight="1">
      <c r="A292" s="106">
        <f>'Scope3 Travel'!$B184/'Scope3 Travel'!$B186</f>
        <v>40.43346539</v>
      </c>
      <c r="B292" s="106">
        <f>'Scope3 Travel'!$B184/'Scope3 Travel'!$B186</f>
        <v>40.43346539</v>
      </c>
      <c r="C292" s="106">
        <f>'Scope3 Travel'!$B184/'Scope3 Travel'!$B186</f>
        <v>40.43346539</v>
      </c>
      <c r="D292" s="106">
        <f>'Scope3 Travel'!$B184/'Scope3 Travel'!$B186</f>
        <v>40.43346539</v>
      </c>
      <c r="E292" s="106">
        <f>'Scope3 Travel'!$B184/'Scope3 Travel'!$B186</f>
        <v>40.43346539</v>
      </c>
      <c r="G292" s="298">
        <v>142.0</v>
      </c>
      <c r="H292" s="298">
        <v>142.0</v>
      </c>
      <c r="I292" s="298">
        <v>142.0</v>
      </c>
      <c r="J292" s="298">
        <v>142.0</v>
      </c>
      <c r="K292" s="298">
        <v>142.0</v>
      </c>
    </row>
    <row r="293" ht="12.75" customHeight="1">
      <c r="A293" s="289">
        <f>((SUM('Scope3 Travel'!$B185:$B187))*A287+('Scope3 Travel'!$B183*A288)+('Scope3 Travel'!$B184*A289))</f>
        <v>4003.7064</v>
      </c>
      <c r="B293" s="289">
        <f>((SUM('Scope3 Travel'!$B185:$B187))*B287+('Scope3 Travel'!$B183*B288)+('Scope3 Travel'!$B184*B289))</f>
        <v>4128.6264</v>
      </c>
      <c r="C293" s="289">
        <f>((SUM('Scope3 Travel'!$B185:$B187))*C287+('Scope3 Travel'!$B183*C288)+('Scope3 Travel'!$B184*C289))</f>
        <v>4128.6264</v>
      </c>
      <c r="D293" s="289">
        <f>((SUM('Scope3 Travel'!$B185:$B187))*D287+('Scope3 Travel'!$B183*D288)+('Scope3 Travel'!$B184*D289))</f>
        <v>4128.6264</v>
      </c>
      <c r="E293" s="289">
        <f>((SUM('Scope3 Travel'!$B185:$B187))*E287+('Scope3 Travel'!$B183*E288)+('Scope3 Travel'!$B184*E289))</f>
        <v>4128.6264</v>
      </c>
      <c r="G293" s="221">
        <f t="shared" ref="G293:K293" si="86">2*526</f>
        <v>1052</v>
      </c>
      <c r="H293" s="221">
        <f t="shared" si="86"/>
        <v>1052</v>
      </c>
      <c r="I293" s="221">
        <f t="shared" si="86"/>
        <v>1052</v>
      </c>
      <c r="J293" s="221">
        <f t="shared" si="86"/>
        <v>1052</v>
      </c>
      <c r="K293" s="221">
        <f t="shared" si="86"/>
        <v>1052</v>
      </c>
    </row>
    <row r="294" ht="12.75" customHeight="1">
      <c r="A294" s="73">
        <f>(SUM('Scope3 Travel'!$B183:$B184))*'Scope3 Travel'!$B188</f>
        <v>99.60426</v>
      </c>
      <c r="B294" s="73">
        <f>(SUM('Scope3 Travel'!$B183:$B184))*'Scope3 Travel'!$B188</f>
        <v>99.60426</v>
      </c>
      <c r="C294" s="73">
        <f>(SUM('Scope3 Travel'!$B183:$B184))*'Scope3 Travel'!$B188</f>
        <v>99.60426</v>
      </c>
      <c r="D294" s="73">
        <f>(SUM('Scope3 Travel'!$B183:$B184))*'Scope3 Travel'!$B188</f>
        <v>99.60426</v>
      </c>
      <c r="E294" s="73">
        <f>(SUM('Scope3 Travel'!$B183:$B184))*'Scope3 Travel'!$B188</f>
        <v>99.60426</v>
      </c>
      <c r="G294" s="319">
        <f t="shared" ref="G294:K294" si="87">G292/G293</f>
        <v>0.1349809886</v>
      </c>
      <c r="H294" s="319">
        <f t="shared" si="87"/>
        <v>0.1349809886</v>
      </c>
      <c r="I294" s="319">
        <f t="shared" si="87"/>
        <v>0.1349809886</v>
      </c>
      <c r="J294" s="319">
        <f t="shared" si="87"/>
        <v>0.1349809886</v>
      </c>
      <c r="K294" s="319">
        <f t="shared" si="87"/>
        <v>0.1349809886</v>
      </c>
    </row>
    <row r="295" ht="12.75" customHeight="1">
      <c r="A295" s="308">
        <f t="shared" ref="A295:E295" si="88">A294/A293</f>
        <v>0.02487801303</v>
      </c>
      <c r="B295" s="308">
        <f t="shared" si="88"/>
        <v>0.02412527808</v>
      </c>
      <c r="C295" s="308">
        <f t="shared" si="88"/>
        <v>0.02412527808</v>
      </c>
      <c r="D295" s="308">
        <f t="shared" si="88"/>
        <v>0.02412527808</v>
      </c>
      <c r="E295" s="308">
        <f t="shared" si="88"/>
        <v>0.02412527808</v>
      </c>
      <c r="G295" s="319">
        <f t="shared" ref="G295:K295" si="89">AVERAGE(G288,G291,G294)</f>
        <v>0.1939851491</v>
      </c>
      <c r="H295" s="319">
        <f t="shared" si="89"/>
        <v>0.1939851491</v>
      </c>
      <c r="I295" s="319">
        <f t="shared" si="89"/>
        <v>0.1939851491</v>
      </c>
      <c r="J295" s="319">
        <f t="shared" si="89"/>
        <v>0.1939851491</v>
      </c>
      <c r="K295" s="319">
        <f t="shared" si="89"/>
        <v>0.1939851491</v>
      </c>
    </row>
    <row r="296" ht="12.75" customHeight="1">
      <c r="A296" s="97">
        <f t="shared" ref="A296:E296" si="90">A285*A295</f>
        <v>3440.629202</v>
      </c>
      <c r="B296" s="97">
        <f t="shared" si="90"/>
        <v>3634.883273</v>
      </c>
      <c r="C296" s="97">
        <f t="shared" si="90"/>
        <v>3937.317759</v>
      </c>
      <c r="D296" s="97">
        <f t="shared" si="90"/>
        <v>4116.423823</v>
      </c>
      <c r="E296" s="97">
        <f t="shared" si="90"/>
        <v>5837.135157</v>
      </c>
      <c r="G296" s="97">
        <f t="shared" ref="G296:K296" si="91">ROUND((G285)/G295,-1)</f>
        <v>123020</v>
      </c>
      <c r="H296" s="97">
        <f t="shared" si="91"/>
        <v>103680</v>
      </c>
      <c r="I296" s="97">
        <f t="shared" si="91"/>
        <v>86560</v>
      </c>
      <c r="J296" s="97">
        <f t="shared" si="91"/>
        <v>134900</v>
      </c>
      <c r="K296" s="97">
        <f t="shared" si="91"/>
        <v>155340</v>
      </c>
    </row>
    <row r="297" ht="12.75" customHeight="1">
      <c r="A297" s="73">
        <f>ROUND(A296*'Scope3 Travel'!$B175,1)</f>
        <v>477.2</v>
      </c>
      <c r="B297" s="73">
        <f>ROUND(B296*'Scope3 Travel'!$B175,1)</f>
        <v>504.1</v>
      </c>
      <c r="C297" s="73">
        <f>ROUND(C296*'Scope3 Travel'!$B175,1)</f>
        <v>546.1</v>
      </c>
      <c r="D297" s="73">
        <f>ROUND(D296*'Scope3 Travel'!$B175,1)</f>
        <v>570.9</v>
      </c>
      <c r="E297" s="73">
        <f>ROUND(E296*'Scope3 Travel'!$B175,1)</f>
        <v>809.6</v>
      </c>
      <c r="G297" s="321">
        <v>2100.0</v>
      </c>
      <c r="H297" s="321">
        <v>2100.0</v>
      </c>
      <c r="I297" s="321">
        <v>2100.0</v>
      </c>
      <c r="J297" s="321">
        <v>2100.0</v>
      </c>
      <c r="K297" s="321">
        <v>2100.0</v>
      </c>
    </row>
    <row r="298" ht="12.75" customHeight="1">
      <c r="A298" s="78">
        <f>ROUND(A296*'Scope3 Travel'!$B176,1)</f>
        <v>34.5</v>
      </c>
      <c r="B298" s="78">
        <f>ROUND(B296*'Scope3 Travel'!$B176,1)</f>
        <v>36.5</v>
      </c>
      <c r="C298" s="78">
        <f>ROUND(C296*'Scope3 Travel'!$B176,1)</f>
        <v>39.5</v>
      </c>
      <c r="D298" s="78">
        <f>ROUND(D296*'Scope3 Travel'!$B176,1)</f>
        <v>41.3</v>
      </c>
      <c r="E298" s="78">
        <f>ROUND(E296*'Scope3 Travel'!$B176,1)</f>
        <v>58.6</v>
      </c>
      <c r="G298" s="112">
        <f>((G296*G297*'Scope3 Travel'!$B145)/G285)</f>
        <v>0.01082559504</v>
      </c>
      <c r="H298" s="112">
        <f>((H296*H297*'Scope3 Travel'!$B145)/H285)</f>
        <v>0.01082523741</v>
      </c>
      <c r="I298" s="112">
        <f>((I296*I297*'Scope3 Travel'!$B145)/I285)</f>
        <v>0.01082579954</v>
      </c>
      <c r="J298" s="112">
        <f>((J296*J297*'Scope3 Travel'!$B145)/J285)</f>
        <v>0.0108254041</v>
      </c>
      <c r="K298" s="112">
        <f>((K296*K297*'Scope3 Travel'!$B145)/K285)</f>
        <v>0.01082544634</v>
      </c>
    </row>
    <row r="299" ht="12.75" customHeight="1">
      <c r="A299" s="97">
        <f>A296*'Scope3 Travel'!$B189</f>
        <v>23744.85302</v>
      </c>
      <c r="B299" s="97">
        <f>B296*'Scope3 Travel'!$B189</f>
        <v>25085.46082</v>
      </c>
      <c r="C299" s="97">
        <f>C296*'Scope3 Travel'!$B189</f>
        <v>27172.65534</v>
      </c>
      <c r="D299" s="97">
        <f>D296*'Scope3 Travel'!$B189</f>
        <v>28408.72204</v>
      </c>
      <c r="E299" s="97">
        <f>E296*'Scope3 Travel'!$B189</f>
        <v>40283.88652</v>
      </c>
      <c r="G299" s="25">
        <f>(G300*'Scope3 Travel'!$B205*'Scope3 Travel'!$B206*'Scope3 Travel'!$B207*'Scope3 Travel'!$B147)/G285</f>
        <v>0.0007589799163</v>
      </c>
      <c r="H299" s="25">
        <f>(H300*'Scope3 Travel'!$B205*'Scope3 Travel'!$B206*'Scope3 Travel'!$B207*'Scope3 Travel'!$B147)/H285</f>
        <v>0.0007589806322</v>
      </c>
      <c r="I299" s="25">
        <f>(I300*'Scope3 Travel'!$B205*'Scope3 Travel'!$B206*'Scope3 Travel'!$B207*'Scope3 Travel'!$B147)/I285</f>
        <v>0.0007592178941</v>
      </c>
      <c r="J299" s="25">
        <f>(J300*'Scope3 Travel'!$B205*'Scope3 Travel'!$B206*'Scope3 Travel'!$B207*'Scope3 Travel'!$B147)/J285</f>
        <v>0.0007591167347</v>
      </c>
      <c r="K299" s="25">
        <f>(K300*'Scope3 Travel'!$B205*'Scope3 Travel'!$B206*'Scope3 Travel'!$B207*'Scope3 Travel'!$B147)/K285</f>
        <v>0.0007590603231</v>
      </c>
    </row>
    <row r="300" ht="12.75" customHeight="1">
      <c r="A300" s="112">
        <f>('Scope3 Travel'!$B177*A299*'Scope3 Travel'!$B148)</f>
        <v>0.002293752802</v>
      </c>
      <c r="B300" s="112">
        <f>('Scope3 Travel'!$B177*B299*'Scope3 Travel'!$B148)</f>
        <v>0.002423255515</v>
      </c>
      <c r="C300" s="112">
        <f>('Scope3 Travel'!$B177*C299*'Scope3 Travel'!$B148)</f>
        <v>0.002624878506</v>
      </c>
      <c r="D300" s="112">
        <f>('Scope3 Travel'!$B177*D299*'Scope3 Travel'!$B148)</f>
        <v>0.002744282549</v>
      </c>
      <c r="E300" s="112">
        <f>('Scope3 Travel'!$B177*E299*'Scope3 Travel'!$B148)</f>
        <v>0.003891423438</v>
      </c>
      <c r="G300" s="73">
        <f>ROUND((G296*G297*'Scope3 Travel'!$B145),1)</f>
        <v>258.3</v>
      </c>
      <c r="H300" s="73">
        <f>ROUND((H296*H297*'Scope3 Travel'!$B145),1)</f>
        <v>217.7</v>
      </c>
      <c r="I300" s="73">
        <f>ROUND((I296*I297*'Scope3 Travel'!$B145),1)</f>
        <v>181.8</v>
      </c>
      <c r="J300" s="73">
        <f>ROUND((J296*J297*'Scope3 Travel'!$B145),1)</f>
        <v>283.3</v>
      </c>
      <c r="K300" s="73">
        <f>ROUND((K296*K297*'Scope3 Travel'!$B145),1)</f>
        <v>326.2</v>
      </c>
    </row>
    <row r="301" ht="12.75" customHeight="1">
      <c r="A301" s="93">
        <f>A299*'Scope3 Travel'!$B177*'Scope3 Travel'!$B148*'Scope3 Travel'!$B151</f>
        <v>0.04816880883</v>
      </c>
      <c r="B301" s="93">
        <f>B299*'Scope3 Travel'!$B177*'Scope3 Travel'!$B148*'Scope3 Travel'!$B151</f>
        <v>0.05088836582</v>
      </c>
      <c r="C301" s="93">
        <f>C299*'Scope3 Travel'!$B177*'Scope3 Travel'!$B148*'Scope3 Travel'!$B151</f>
        <v>0.05512244863</v>
      </c>
      <c r="D301" s="93">
        <f>D299*'Scope3 Travel'!$B177*'Scope3 Travel'!$B148*'Scope3 Travel'!$B151</f>
        <v>0.05762993353</v>
      </c>
      <c r="E301" s="93">
        <f>E299*'Scope3 Travel'!$B177*'Scope3 Travel'!$B148*'Scope3 Travel'!$B151</f>
        <v>0.0817198922</v>
      </c>
      <c r="G301" s="78">
        <f>ROUND(G300*'Scope3 Travel'!$B205*'Scope3 Travel'!$B206*'Scope3 Travel'!$B207*'Scope3 Travel'!$B147,1)</f>
        <v>18.1</v>
      </c>
      <c r="H301" s="78">
        <f>ROUND(H300*'Scope3 Travel'!$B205*'Scope3 Travel'!$B206*'Scope3 Travel'!$B207*'Scope3 Travel'!$B147,1)</f>
        <v>15.3</v>
      </c>
      <c r="I301" s="78">
        <f>ROUND(I300*'Scope3 Travel'!$B205*'Scope3 Travel'!$B206*'Scope3 Travel'!$B207*'Scope3 Travel'!$B147,1)</f>
        <v>12.7</v>
      </c>
      <c r="J301" s="78">
        <f>ROUND(J300*'Scope3 Travel'!$B205*'Scope3 Travel'!$B206*'Scope3 Travel'!$B207*'Scope3 Travel'!$B147,1)</f>
        <v>19.9</v>
      </c>
      <c r="K301" s="78">
        <f>ROUND(K300*'Scope3 Travel'!$B205*'Scope3 Travel'!$B206*'Scope3 Travel'!$B207*'Scope3 Travel'!$B147,1)</f>
        <v>22.9</v>
      </c>
    </row>
    <row r="302" ht="12.75" customHeight="1">
      <c r="A302" s="112">
        <f>('Scope3 Travel'!$B178*A299*'Scope3 Travel'!$B148)</f>
        <v>0.001146876401</v>
      </c>
      <c r="B302" s="112">
        <f>('Scope3 Travel'!$B178*B299*'Scope3 Travel'!$B148)</f>
        <v>0.001211627758</v>
      </c>
      <c r="C302" s="112">
        <f>('Scope3 Travel'!$B178*C299*'Scope3 Travel'!$B148)</f>
        <v>0.001312439253</v>
      </c>
      <c r="D302" s="112">
        <f>('Scope3 Travel'!$B178*D299*'Scope3 Travel'!$B148)</f>
        <v>0.001372141274</v>
      </c>
      <c r="E302" s="112">
        <f>('Scope3 Travel'!$B178*E299*'Scope3 Travel'!$B148)</f>
        <v>0.001945711719</v>
      </c>
      <c r="G302" s="97">
        <f>(G300/'Scope3 Travel'!$B204)/'Scope3 Travel'!$B146</f>
        <v>1862.420601</v>
      </c>
      <c r="H302" s="97">
        <f>(H300/'Scope3 Travel'!$B204)/'Scope3 Travel'!$B146</f>
        <v>1569.682403</v>
      </c>
      <c r="I302" s="97">
        <f>(I300/'Scope3 Travel'!$B204)/'Scope3 Travel'!$B146</f>
        <v>1310.832618</v>
      </c>
      <c r="J302" s="97">
        <f>(J300/'Scope3 Travel'!$B204)/'Scope3 Travel'!$B146</f>
        <v>2042.678112</v>
      </c>
      <c r="K302" s="97">
        <f>(K300/'Scope3 Travel'!$B204)/'Scope3 Travel'!$B146</f>
        <v>2352</v>
      </c>
    </row>
    <row r="303" ht="12.75" customHeight="1">
      <c r="A303" s="126">
        <f>A299*'Scope3 Travel'!$B178*'Scope3 Travel'!$B148*'Scope3 Travel'!$B152</f>
        <v>0.3555316843</v>
      </c>
      <c r="B303" s="126">
        <f>B299*'Scope3 Travel'!$B178*'Scope3 Travel'!$B148*'Scope3 Travel'!$B152</f>
        <v>0.3756046049</v>
      </c>
      <c r="C303" s="126">
        <f>C299*'Scope3 Travel'!$B178*'Scope3 Travel'!$B148*'Scope3 Travel'!$B152</f>
        <v>0.4068561684</v>
      </c>
      <c r="D303" s="126">
        <f>D299*'Scope3 Travel'!$B178*'Scope3 Travel'!$B148*'Scope3 Travel'!$B152</f>
        <v>0.4253637951</v>
      </c>
      <c r="E303" s="126">
        <f>E299*'Scope3 Travel'!$B178*'Scope3 Travel'!$B148*'Scope3 Travel'!$B152</f>
        <v>0.6031706329</v>
      </c>
      <c r="G303" s="326">
        <f>('Scope3 Travel'!$B202*'Scope3 Travel'!$B201*G302*'Scope3 Travel'!$B148)</f>
        <v>0.001485280429</v>
      </c>
      <c r="H303" s="326">
        <f>('Scope3 Travel'!$B202*'Scope3 Travel'!$B201*H302*'Scope3 Travel'!$B148)</f>
        <v>0.001251821717</v>
      </c>
      <c r="I303" s="326">
        <f>('Scope3 Travel'!$B202*'Scope3 Travel'!$B201*I302*'Scope3 Travel'!$B148)</f>
        <v>0.001045389013</v>
      </c>
      <c r="J303" s="326">
        <f>('Scope3 Travel'!$B202*'Scope3 Travel'!$B201*J302*'Scope3 Travel'!$B148)</f>
        <v>0.001629035794</v>
      </c>
      <c r="K303" s="326">
        <f>('Scope3 Travel'!$B202*'Scope3 Travel'!$B201*K302*'Scope3 Travel'!$B148)</f>
        <v>0.00187572</v>
      </c>
    </row>
    <row r="304" ht="12.75" customHeight="1">
      <c r="A304" s="121">
        <f t="shared" ref="A304:E304" si="92">ROUND(A298+A301+A303,1)</f>
        <v>34.9</v>
      </c>
      <c r="B304" s="121">
        <f t="shared" si="92"/>
        <v>36.9</v>
      </c>
      <c r="C304" s="121">
        <f t="shared" si="92"/>
        <v>40</v>
      </c>
      <c r="D304" s="121">
        <f t="shared" si="92"/>
        <v>41.8</v>
      </c>
      <c r="E304" s="121">
        <f t="shared" si="92"/>
        <v>59.3</v>
      </c>
      <c r="G304" s="93">
        <f>G302*'Scope3 Travel'!$B201*'Scope3 Travel'!$B202*'Scope3 Travel'!$B148*'Scope3 Travel'!$B151</f>
        <v>0.03119088901</v>
      </c>
      <c r="H304" s="93">
        <f>H302*'Scope3 Travel'!$B201*'Scope3 Travel'!$B202*'Scope3 Travel'!$B148*'Scope3 Travel'!$B151</f>
        <v>0.02628825605</v>
      </c>
      <c r="I304" s="93">
        <f>I302*'Scope3 Travel'!$B201*'Scope3 Travel'!$B202*'Scope3 Travel'!$B148*'Scope3 Travel'!$B151</f>
        <v>0.02195316927</v>
      </c>
      <c r="J304" s="93">
        <f>J302*'Scope3 Travel'!$B201*'Scope3 Travel'!$B202*'Scope3 Travel'!$B148*'Scope3 Travel'!$B151</f>
        <v>0.03420975167</v>
      </c>
      <c r="K304" s="93">
        <f>K302*'Scope3 Travel'!$B201*'Scope3 Travel'!$B202*'Scope3 Travel'!$B148*'Scope3 Travel'!$B151</f>
        <v>0.03939012</v>
      </c>
    </row>
    <row r="305" ht="12.75" customHeight="1">
      <c r="A305" s="85" t="s">
        <v>1512</v>
      </c>
      <c r="B305" s="85" t="s">
        <v>1513</v>
      </c>
      <c r="C305" s="85" t="s">
        <v>1514</v>
      </c>
      <c r="D305" s="85" t="s">
        <v>1515</v>
      </c>
      <c r="E305" s="85" t="s">
        <v>1516</v>
      </c>
      <c r="G305" s="128">
        <f>('Scope3 Travel'!$B203*'Scope3 Travel'!$B201*G302*'Scope3 Travel'!$B148)</f>
        <v>0.0004752897373</v>
      </c>
      <c r="H305" s="128">
        <f>('Scope3 Travel'!$B203*'Scope3 Travel'!$B201*H302*'Scope3 Travel'!$B148)</f>
        <v>0.0004005829494</v>
      </c>
      <c r="I305" s="128">
        <f>('Scope3 Travel'!$B203*'Scope3 Travel'!$B201*I302*'Scope3 Travel'!$B148)</f>
        <v>0.0003345244841</v>
      </c>
      <c r="J305" s="128">
        <f>('Scope3 Travel'!$B203*'Scope3 Travel'!$B201*J302*'Scope3 Travel'!$B148)</f>
        <v>0.0005212914541</v>
      </c>
      <c r="K305" s="128">
        <f>('Scope3 Travel'!$B203*'Scope3 Travel'!$B201*K302*'Scope3 Travel'!$B148)</f>
        <v>0.0006002304</v>
      </c>
    </row>
    <row r="306" ht="12.75" customHeight="1">
      <c r="A306" s="286">
        <v>968332.0</v>
      </c>
      <c r="B306" s="286">
        <v>1049171.0</v>
      </c>
      <c r="C306" s="286">
        <v>989202.0</v>
      </c>
      <c r="D306" s="286">
        <v>1104816.0</v>
      </c>
      <c r="E306" s="286">
        <v>1092186.0</v>
      </c>
      <c r="G306" s="93">
        <f>G302*'Scope3 Travel'!$B203*'Scope3 Travel'!$B148*'Scope3 Travel'!$B152</f>
        <v>0.0461880309</v>
      </c>
      <c r="H306" s="93">
        <f>H302*'Scope3 Travel'!$B203*'Scope3 Travel'!$B148*'Scope3 Travel'!$B152</f>
        <v>0.03892812361</v>
      </c>
      <c r="I306" s="93">
        <f>I302*'Scope3 Travel'!$B203*'Scope3 Travel'!$B148*'Scope3 Travel'!$B152</f>
        <v>0.03250864893</v>
      </c>
      <c r="J306" s="93">
        <f>J302*'Scope3 Travel'!$B203*'Scope3 Travel'!$B148*'Scope3 Travel'!$B152</f>
        <v>0.05065841717</v>
      </c>
      <c r="K306" s="93">
        <f>K302*'Scope3 Travel'!$B203*'Scope3 Travel'!$B148*'Scope3 Travel'!$B152</f>
        <v>0.0583296</v>
      </c>
    </row>
    <row r="307" ht="12.75" customHeight="1">
      <c r="A307" s="318">
        <v>0.9</v>
      </c>
      <c r="B307" s="318">
        <v>0.9</v>
      </c>
      <c r="C307" s="318">
        <v>0.9</v>
      </c>
      <c r="D307" s="318">
        <v>0.9</v>
      </c>
      <c r="E307" s="318">
        <v>0.9</v>
      </c>
      <c r="G307" s="121">
        <f t="shared" ref="G307:K307" si="93">ROUND(G301+G304+G306,1)</f>
        <v>18.2</v>
      </c>
      <c r="H307" s="121">
        <f t="shared" si="93"/>
        <v>15.4</v>
      </c>
      <c r="I307" s="121">
        <f t="shared" si="93"/>
        <v>12.8</v>
      </c>
      <c r="J307" s="121">
        <f t="shared" si="93"/>
        <v>20</v>
      </c>
      <c r="K307" s="121">
        <f t="shared" si="93"/>
        <v>23</v>
      </c>
    </row>
    <row r="308" ht="12.75" customHeight="1">
      <c r="A308" s="298">
        <v>289.0</v>
      </c>
      <c r="B308" s="298">
        <v>289.0</v>
      </c>
      <c r="C308" s="298">
        <v>289.0</v>
      </c>
      <c r="D308" s="298">
        <v>289.0</v>
      </c>
      <c r="E308" s="298">
        <v>289.0</v>
      </c>
    </row>
    <row r="309" ht="12.75" customHeight="1">
      <c r="A309" s="57">
        <v>304.0</v>
      </c>
      <c r="B309" s="57">
        <v>304.0</v>
      </c>
      <c r="C309" s="57">
        <v>304.0</v>
      </c>
      <c r="D309" s="57">
        <v>304.0</v>
      </c>
      <c r="E309" s="57">
        <v>304.0</v>
      </c>
    </row>
    <row r="310" ht="12.75" customHeight="1">
      <c r="A310" s="319">
        <f t="shared" ref="A310:E310" si="94">A308/A309</f>
        <v>0.9506578947</v>
      </c>
      <c r="B310" s="319">
        <f t="shared" si="94"/>
        <v>0.9506578947</v>
      </c>
      <c r="C310" s="319">
        <f t="shared" si="94"/>
        <v>0.9506578947</v>
      </c>
      <c r="D310" s="319">
        <f t="shared" si="94"/>
        <v>0.9506578947</v>
      </c>
      <c r="E310" s="319">
        <f t="shared" si="94"/>
        <v>0.9506578947</v>
      </c>
    </row>
    <row r="311" ht="12.75" customHeight="1">
      <c r="A311" s="298">
        <v>641.0</v>
      </c>
      <c r="B311" s="298">
        <v>641.0</v>
      </c>
      <c r="C311" s="298">
        <v>641.0</v>
      </c>
      <c r="D311" s="298">
        <v>641.0</v>
      </c>
      <c r="E311" s="298">
        <v>641.0</v>
      </c>
    </row>
    <row r="312" ht="12.75" customHeight="1">
      <c r="A312" s="297">
        <v>2870.0</v>
      </c>
      <c r="B312" s="297">
        <v>2870.0</v>
      </c>
      <c r="C312" s="297">
        <v>2870.0</v>
      </c>
      <c r="D312" s="297">
        <v>2870.0</v>
      </c>
      <c r="E312" s="297">
        <v>2870.0</v>
      </c>
    </row>
    <row r="313" ht="12.75" customHeight="1">
      <c r="A313" s="319">
        <f t="shared" ref="A313:E313" si="95">A311/A312</f>
        <v>0.2233449477</v>
      </c>
      <c r="B313" s="319">
        <f t="shared" si="95"/>
        <v>0.2233449477</v>
      </c>
      <c r="C313" s="319">
        <f t="shared" si="95"/>
        <v>0.2233449477</v>
      </c>
      <c r="D313" s="319">
        <f t="shared" si="95"/>
        <v>0.2233449477</v>
      </c>
      <c r="E313" s="319">
        <f t="shared" si="95"/>
        <v>0.2233449477</v>
      </c>
    </row>
    <row r="314" ht="12.75" customHeight="1">
      <c r="A314" s="298">
        <v>945.0</v>
      </c>
      <c r="B314" s="298">
        <v>945.0</v>
      </c>
      <c r="C314" s="298">
        <v>945.0</v>
      </c>
      <c r="D314" s="298">
        <v>945.0</v>
      </c>
      <c r="E314" s="298">
        <v>945.0</v>
      </c>
    </row>
    <row r="315" ht="12.75" customHeight="1">
      <c r="A315" s="297">
        <v>4180.0</v>
      </c>
      <c r="B315" s="297">
        <v>4180.0</v>
      </c>
      <c r="C315" s="297">
        <v>4180.0</v>
      </c>
      <c r="D315" s="297">
        <v>4180.0</v>
      </c>
      <c r="E315" s="297">
        <v>4180.0</v>
      </c>
    </row>
    <row r="316" ht="12.75" customHeight="1">
      <c r="A316" s="319">
        <f t="shared" ref="A316:E316" si="96">A314/A315</f>
        <v>0.226076555</v>
      </c>
      <c r="B316" s="319">
        <f t="shared" si="96"/>
        <v>0.226076555</v>
      </c>
      <c r="C316" s="319">
        <f t="shared" si="96"/>
        <v>0.226076555</v>
      </c>
      <c r="D316" s="319">
        <f t="shared" si="96"/>
        <v>0.226076555</v>
      </c>
      <c r="E316" s="319">
        <f t="shared" si="96"/>
        <v>0.226076555</v>
      </c>
    </row>
    <row r="317" ht="12.75" customHeight="1">
      <c r="A317" s="319">
        <f t="shared" ref="A317:E317" si="97">AVERAGE(A310,A313)</f>
        <v>0.5870014212</v>
      </c>
      <c r="B317" s="319">
        <f t="shared" si="97"/>
        <v>0.5870014212</v>
      </c>
      <c r="C317" s="319">
        <f t="shared" si="97"/>
        <v>0.5870014212</v>
      </c>
      <c r="D317" s="319">
        <f t="shared" si="97"/>
        <v>0.5870014212</v>
      </c>
      <c r="E317" s="319">
        <f t="shared" si="97"/>
        <v>0.5870014212</v>
      </c>
    </row>
    <row r="318" ht="12.75" customHeight="1">
      <c r="A318" s="319">
        <f t="shared" ref="A318:E318" si="98">A316</f>
        <v>0.226076555</v>
      </c>
      <c r="B318" s="319">
        <f t="shared" si="98"/>
        <v>0.226076555</v>
      </c>
      <c r="C318" s="319">
        <f t="shared" si="98"/>
        <v>0.226076555</v>
      </c>
      <c r="D318" s="319">
        <f t="shared" si="98"/>
        <v>0.226076555</v>
      </c>
      <c r="E318" s="319">
        <f t="shared" si="98"/>
        <v>0.226076555</v>
      </c>
    </row>
    <row r="319" ht="12.75" customHeight="1">
      <c r="A319" s="97">
        <f t="shared" ref="A319:E319" si="99">ROUND((A307*A306)/A317,-4)</f>
        <v>1480000</v>
      </c>
      <c r="B319" s="97">
        <f t="shared" si="99"/>
        <v>1610000</v>
      </c>
      <c r="C319" s="97">
        <f t="shared" si="99"/>
        <v>1520000</v>
      </c>
      <c r="D319" s="97">
        <f t="shared" si="99"/>
        <v>1690000</v>
      </c>
      <c r="E319" s="97">
        <f t="shared" si="99"/>
        <v>1670000</v>
      </c>
    </row>
    <row r="320" ht="12.75" customHeight="1">
      <c r="A320" s="97">
        <f t="shared" ref="A320:D320" si="100">ROUND((A306*(1-A307))/A318,-3)</f>
        <v>428000</v>
      </c>
      <c r="B320" s="97">
        <f t="shared" si="100"/>
        <v>464000</v>
      </c>
      <c r="C320" s="97">
        <f t="shared" si="100"/>
        <v>438000</v>
      </c>
      <c r="D320" s="97">
        <f t="shared" si="100"/>
        <v>489000</v>
      </c>
      <c r="E320" s="97">
        <f>ROUND((E306*(1-E307))/E318,-4)</f>
        <v>480000</v>
      </c>
    </row>
    <row r="321" ht="12.75" customHeight="1">
      <c r="A321" s="97">
        <f t="shared" ref="A321:D321" si="101">ROUND(SUM(A319:A320),-4)</f>
        <v>1910000</v>
      </c>
      <c r="B321" s="97">
        <f t="shared" si="101"/>
        <v>2070000</v>
      </c>
      <c r="C321" s="97">
        <f t="shared" si="101"/>
        <v>1960000</v>
      </c>
      <c r="D321" s="97">
        <f t="shared" si="101"/>
        <v>2180000</v>
      </c>
      <c r="E321" s="97">
        <f>ROUND(SUM(E319:E320),-3)</f>
        <v>2150000</v>
      </c>
    </row>
    <row r="322" ht="12.75" customHeight="1">
      <c r="A322" s="321">
        <v>3890.0</v>
      </c>
      <c r="B322" s="321">
        <v>3596.0</v>
      </c>
      <c r="C322" s="321">
        <v>3463.0</v>
      </c>
      <c r="D322" s="321">
        <v>3297.0</v>
      </c>
      <c r="E322" s="321">
        <v>3182.0</v>
      </c>
    </row>
    <row r="323" ht="12.75" customHeight="1">
      <c r="A323" s="321">
        <v>3965.0</v>
      </c>
      <c r="B323" s="321">
        <v>3920.0</v>
      </c>
      <c r="C323" s="321">
        <v>3872.0</v>
      </c>
      <c r="D323" s="321">
        <v>3428.0</v>
      </c>
      <c r="E323" s="321">
        <v>3523.0</v>
      </c>
    </row>
    <row r="324" ht="12.75" customHeight="1">
      <c r="A324" s="307">
        <f>((A319*A322*'Scope3 Travel'!$B145)+(A320*A323*'Scope3 Travel'!$B145))/A306</f>
        <v>0.007698000273</v>
      </c>
      <c r="B324" s="307">
        <f>((B319*B322*'Scope3 Travel'!$B145)+(B320*B323*'Scope3 Travel'!$B145))/B306</f>
        <v>0.007251858849</v>
      </c>
      <c r="C324" s="307">
        <f>((C319*C322*'Scope3 Travel'!$B145)+(C320*C323*'Scope3 Travel'!$B145))/C306</f>
        <v>0.007035667134</v>
      </c>
      <c r="D324" s="307">
        <f>((D319*D322*'Scope3 Travel'!$B145)+(D320*D323*'Scope3 Travel'!$B145))/D306</f>
        <v>0.006560569362</v>
      </c>
      <c r="E324" s="307">
        <f>((E319*E322*'Scope3 Travel'!$B145)+(E320*E323*'Scope3 Travel'!$B145))/E306</f>
        <v>0.006413724402</v>
      </c>
    </row>
    <row r="325" ht="12.75" customHeight="1">
      <c r="A325" s="307">
        <f>(A326*'Scope3 Travel'!$B195*'Scope3 Travel'!$B196*'Scope3 Travel'!$B197*'Scope3 Travel'!$B147)/A306</f>
        <v>0.0005397912932</v>
      </c>
      <c r="B325" s="307">
        <f>(B326*'Scope3 Travel'!$B195*'Scope3 Travel'!$B196*'Scope3 Travel'!$B197*'Scope3 Travel'!$B147)/B306</f>
        <v>0.000508506112</v>
      </c>
      <c r="C325" s="307">
        <f>(C326*'Scope3 Travel'!$B195*'Scope3 Travel'!$B196*'Scope3 Travel'!$B197*'Scope3 Travel'!$B147)/C306</f>
        <v>0.0004933494542</v>
      </c>
      <c r="D325" s="307">
        <f>(D326*'Scope3 Travel'!$B195*'Scope3 Travel'!$B196*'Scope3 Travel'!$B197*'Scope3 Travel'!$B147)/D306</f>
        <v>0.0004600333654</v>
      </c>
      <c r="E325" s="307">
        <f>(E326*'Scope3 Travel'!$B195*'Scope3 Travel'!$B196*'Scope3 Travel'!$B197*'Scope3 Travel'!$B147)/E306</f>
        <v>0.0004497391063</v>
      </c>
    </row>
    <row r="326" ht="12.75" customHeight="1">
      <c r="A326" s="73">
        <f>ROUND((A319*A322*'Scope3 Travel'!$B145)+(A320*A323*'Scope3 Travel'!$B145),1)</f>
        <v>7454.2</v>
      </c>
      <c r="B326" s="73">
        <f>ROUND((B319*B322*'Scope3 Travel'!$B145)+(B320*B323*'Scope3 Travel'!$B145),1)</f>
        <v>7608.4</v>
      </c>
      <c r="C326" s="73">
        <f>ROUND((C319*C322*'Scope3 Travel'!$B145)+(C320*C323*'Scope3 Travel'!$B145),1)</f>
        <v>6959.7</v>
      </c>
      <c r="D326" s="73">
        <f>ROUND((D319*D322*'Scope3 Travel'!$B145)+(D320*D323*'Scope3 Travel'!$B145),1)</f>
        <v>7248.2</v>
      </c>
      <c r="E326" s="73">
        <f>ROUND((E319*E322*'Scope3 Travel'!$B145)+(E320*E323*'Scope3 Travel'!$B145),1)</f>
        <v>7005</v>
      </c>
    </row>
    <row r="327" ht="12.75" customHeight="1">
      <c r="A327" s="78">
        <f>ROUND(A326*'Scope3 Travel'!$B195*'Scope3 Travel'!$B196*'Scope3 Travel'!$B197*'Scope3 Travel'!$B147,1)</f>
        <v>522.7</v>
      </c>
      <c r="B327" s="78">
        <f>ROUND(B326*'Scope3 Travel'!$B195*'Scope3 Travel'!$B196*'Scope3 Travel'!$B197*'Scope3 Travel'!$B147,1)</f>
        <v>533.5</v>
      </c>
      <c r="C327" s="78">
        <f>ROUND(C326*'Scope3 Travel'!$B195*'Scope3 Travel'!$B196*'Scope3 Travel'!$B197*'Scope3 Travel'!$B147,1)</f>
        <v>488</v>
      </c>
      <c r="D327" s="78">
        <f>ROUND(D326*'Scope3 Travel'!$B195*'Scope3 Travel'!$B196*'Scope3 Travel'!$B197*'Scope3 Travel'!$B147,1)</f>
        <v>508.3</v>
      </c>
      <c r="E327" s="78">
        <f>ROUND(E326*'Scope3 Travel'!$B195*'Scope3 Travel'!$B196*'Scope3 Travel'!$B197*'Scope3 Travel'!$B147,1)</f>
        <v>491.2</v>
      </c>
    </row>
    <row r="328" ht="12.75" customHeight="1">
      <c r="A328" s="322">
        <v>2.7</v>
      </c>
      <c r="B328" s="322">
        <v>2.7</v>
      </c>
      <c r="C328" s="322">
        <v>2.7</v>
      </c>
      <c r="D328" s="322">
        <v>2.7</v>
      </c>
      <c r="E328" s="322">
        <v>2.7</v>
      </c>
    </row>
    <row r="329" ht="12.75" customHeight="1">
      <c r="A329" s="78">
        <f t="shared" ref="A329:E329" si="102">ROUND(A327*A328,1)</f>
        <v>1411.3</v>
      </c>
      <c r="B329" s="78">
        <f t="shared" si="102"/>
        <v>1440.5</v>
      </c>
      <c r="C329" s="78">
        <f t="shared" si="102"/>
        <v>1317.6</v>
      </c>
      <c r="D329" s="78">
        <f t="shared" si="102"/>
        <v>1372.4</v>
      </c>
      <c r="E329" s="78">
        <f t="shared" si="102"/>
        <v>1326.2</v>
      </c>
    </row>
    <row r="330" ht="12.75" customHeight="1">
      <c r="A330" s="97">
        <f>(A326/'Scope3 Travel'!$B194)/'Scope3 Travel'!$B146</f>
        <v>55216.2963</v>
      </c>
      <c r="B330" s="97">
        <f>(B326/'Scope3 Travel'!$B194)/'Scope3 Travel'!$B146</f>
        <v>56358.51852</v>
      </c>
      <c r="C330" s="97">
        <f>(C326/'Scope3 Travel'!$B194)/'Scope3 Travel'!$B146</f>
        <v>51553.33333</v>
      </c>
      <c r="D330" s="97">
        <f>(D326/'Scope3 Travel'!$B194)/'Scope3 Travel'!$B146</f>
        <v>53690.37037</v>
      </c>
      <c r="E330" s="97">
        <f>(E326/'Scope3 Travel'!$B194)/'Scope3 Travel'!$B146</f>
        <v>51888.88889</v>
      </c>
    </row>
    <row r="331" ht="12.75" customHeight="1">
      <c r="A331" s="112">
        <f>(A326/'Scope3 Travel'!$B194)*'Scope3 Travel'!$B198*'Scope3 Travel'!$B150*'Scope3 Travel'!$B192*'Scope3 Travel'!$B148</f>
        <v>0.01442328042</v>
      </c>
      <c r="B331" s="112">
        <f>(B326/'Scope3 Travel'!$B194)*'Scope3 Travel'!$B198*'Scope3 Travel'!$B150*'Scope3 Travel'!$B192*'Scope3 Travel'!$B148</f>
        <v>0.01472164508</v>
      </c>
      <c r="C331" s="112">
        <f>(C326/'Scope3 Travel'!$B194)*'Scope3 Travel'!$B198*'Scope3 Travel'!$B150*'Scope3 Travel'!$B192*'Scope3 Travel'!$B148</f>
        <v>0.0134664625</v>
      </c>
      <c r="D331" s="112">
        <f>(D326/'Scope3 Travel'!$B194)*'Scope3 Travel'!$B198*'Scope3 Travel'!$B150*'Scope3 Travel'!$B192*'Scope3 Travel'!$B148</f>
        <v>0.01402468691</v>
      </c>
      <c r="E331" s="112">
        <f>(E326/'Scope3 Travel'!$B194)*'Scope3 Travel'!$B198*'Scope3 Travel'!$B150*'Scope3 Travel'!$B192*'Scope3 Travel'!$B148</f>
        <v>0.01355411437</v>
      </c>
    </row>
    <row r="332" ht="12.75" customHeight="1">
      <c r="A332" s="126">
        <f>'Scope3 Travel'!$B151*A331</f>
        <v>0.3028888889</v>
      </c>
      <c r="B332" s="126">
        <f>'Scope3 Travel'!$B151*B331</f>
        <v>0.3091545467</v>
      </c>
      <c r="C332" s="126">
        <f>'Scope3 Travel'!$B151*C331</f>
        <v>0.2827957125</v>
      </c>
      <c r="D332" s="126">
        <f>'Scope3 Travel'!$B151*D331</f>
        <v>0.2945184251</v>
      </c>
      <c r="E332" s="126">
        <f>'Scope3 Travel'!$B151*E331</f>
        <v>0.2846364018</v>
      </c>
    </row>
    <row r="333" ht="12.75" customHeight="1">
      <c r="A333" s="112">
        <f>(A326/'Scope3 Travel'!$B194)*'Scope3 Travel'!$B198*'Scope3 Travel'!$B150*'Scope3 Travel'!$B193*'Scope3 Travel'!$B148</f>
        <v>0.01657848325</v>
      </c>
      <c r="B333" s="112">
        <f>(B326/'Scope3 Travel'!$B194)*'Scope3 Travel'!$B198*'Scope3 Travel'!$B150*'Scope3 Travel'!$B193*'Scope3 Travel'!$B148</f>
        <v>0.01692143113</v>
      </c>
      <c r="C333" s="112">
        <f>(C326/'Scope3 Travel'!$B194)*'Scope3 Travel'!$B198*'Scope3 Travel'!$B150*'Scope3 Travel'!$B193*'Scope3 Travel'!$B148</f>
        <v>0.01547869253</v>
      </c>
      <c r="D333" s="112">
        <f>(D326/'Scope3 Travel'!$B194)*'Scope3 Travel'!$B198*'Scope3 Travel'!$B150*'Scope3 Travel'!$B193*'Scope3 Travel'!$B148</f>
        <v>0.01612032978</v>
      </c>
      <c r="E333" s="112">
        <f>(E326/'Scope3 Travel'!$B194)*'Scope3 Travel'!$B198*'Scope3 Travel'!$B150*'Scope3 Travel'!$B193*'Scope3 Travel'!$B148</f>
        <v>0.01557944181</v>
      </c>
    </row>
    <row r="334" ht="12.75" customHeight="1">
      <c r="A334" s="119">
        <f>'Scope3 Travel'!$B152*A333</f>
        <v>5.139329806</v>
      </c>
      <c r="B334" s="119">
        <f>'Scope3 Travel'!$B152*B333</f>
        <v>5.24564365</v>
      </c>
      <c r="C334" s="119">
        <f>'Scope3 Travel'!$B152*C333</f>
        <v>4.798394684</v>
      </c>
      <c r="D334" s="119">
        <f>'Scope3 Travel'!$B152*D333</f>
        <v>4.997302232</v>
      </c>
      <c r="E334" s="119">
        <f>'Scope3 Travel'!$B152*E333</f>
        <v>4.829626961</v>
      </c>
    </row>
    <row r="335" ht="12.75" customHeight="1">
      <c r="A335" s="121">
        <f t="shared" ref="A335:E335" si="103">ROUND(A329+A332+A334,1)</f>
        <v>1416.7</v>
      </c>
      <c r="B335" s="121">
        <f t="shared" si="103"/>
        <v>1446.1</v>
      </c>
      <c r="C335" s="121">
        <f t="shared" si="103"/>
        <v>1322.7</v>
      </c>
      <c r="D335" s="121">
        <f t="shared" si="103"/>
        <v>1377.7</v>
      </c>
      <c r="E335" s="121">
        <f t="shared" si="103"/>
        <v>1331.3</v>
      </c>
    </row>
    <row r="336" ht="12.75" customHeight="1">
      <c r="A336" s="55"/>
      <c r="B336" s="55"/>
      <c r="C336" s="55"/>
      <c r="D336" s="55"/>
      <c r="E336" s="55"/>
    </row>
    <row r="337" ht="12.75" customHeight="1">
      <c r="A337" s="55"/>
      <c r="B337" s="55"/>
      <c r="C337" s="55"/>
      <c r="D337" s="55"/>
      <c r="E337" s="55"/>
    </row>
    <row r="338" ht="12.75" customHeight="1">
      <c r="A338" s="55"/>
      <c r="B338" s="55"/>
      <c r="C338" s="55"/>
      <c r="D338" s="55"/>
      <c r="E338" s="55"/>
    </row>
    <row r="339" ht="12.75" customHeight="1">
      <c r="A339" s="55"/>
      <c r="B339" s="390"/>
      <c r="C339" s="390"/>
      <c r="D339" s="390"/>
      <c r="E339" s="390"/>
    </row>
    <row r="340" ht="12.75" customHeight="1">
      <c r="A340" s="55"/>
      <c r="B340" s="390"/>
      <c r="C340" s="390"/>
      <c r="D340" s="390"/>
      <c r="E340" s="390"/>
    </row>
    <row r="341" ht="12.75" customHeight="1">
      <c r="A341" s="120">
        <f t="shared" ref="A341:E341" si="104">SUM(A336:A339)</f>
        <v>0</v>
      </c>
      <c r="B341" s="120">
        <f t="shared" si="104"/>
        <v>0</v>
      </c>
      <c r="C341" s="120">
        <f t="shared" si="104"/>
        <v>0</v>
      </c>
      <c r="D341" s="120">
        <f t="shared" si="104"/>
        <v>0</v>
      </c>
      <c r="E341" s="120">
        <f t="shared" si="104"/>
        <v>0</v>
      </c>
    </row>
    <row r="342" ht="12.75" customHeight="1"/>
    <row r="343" ht="12.75" customHeight="1">
      <c r="A343" s="391" t="s">
        <v>1512</v>
      </c>
      <c r="B343" s="391" t="s">
        <v>1513</v>
      </c>
      <c r="C343" s="391" t="s">
        <v>1514</v>
      </c>
      <c r="D343" s="391" t="s">
        <v>1515</v>
      </c>
      <c r="E343" s="391" t="s">
        <v>1516</v>
      </c>
    </row>
    <row r="344" ht="12.75" customHeight="1">
      <c r="A344" s="25"/>
      <c r="B344" s="25"/>
      <c r="C344" s="25"/>
      <c r="D344" s="25"/>
      <c r="E344" s="25"/>
    </row>
    <row r="345" ht="12.75" customHeight="1">
      <c r="A345" s="55"/>
      <c r="B345" s="390"/>
      <c r="C345" s="390"/>
      <c r="D345" s="390"/>
      <c r="E345" s="390"/>
    </row>
    <row r="346" ht="12.75" customHeight="1">
      <c r="A346" s="55"/>
      <c r="B346" s="390"/>
      <c r="C346" s="390"/>
      <c r="D346" s="390"/>
      <c r="E346" s="390"/>
    </row>
    <row r="347" ht="12.75" customHeight="1">
      <c r="A347" s="55"/>
      <c r="B347" s="390"/>
      <c r="C347" s="390"/>
      <c r="D347" s="390"/>
      <c r="E347" s="390"/>
    </row>
    <row r="348" ht="12.75" customHeight="1">
      <c r="A348" s="55"/>
      <c r="B348" s="390"/>
      <c r="C348" s="390"/>
      <c r="D348" s="390"/>
      <c r="E348" s="390"/>
    </row>
    <row r="349" ht="12.75" customHeight="1">
      <c r="A349" s="55"/>
      <c r="B349" s="390"/>
      <c r="C349" s="390"/>
      <c r="D349" s="390"/>
      <c r="E349" s="390"/>
    </row>
    <row r="350" ht="12.75" customHeight="1">
      <c r="A350" s="120">
        <f t="shared" ref="A350:D350" si="105">SUM(A345:A349)</f>
        <v>0</v>
      </c>
      <c r="B350" s="393">
        <f t="shared" si="105"/>
        <v>0</v>
      </c>
      <c r="C350" s="393">
        <f t="shared" si="105"/>
        <v>0</v>
      </c>
      <c r="D350" s="393">
        <f t="shared" si="105"/>
        <v>0</v>
      </c>
      <c r="E350" s="120">
        <v>0.0</v>
      </c>
    </row>
    <row r="351" ht="12.75" customHeight="1"/>
    <row r="352" ht="12.75" customHeight="1"/>
    <row r="353" ht="12.75" customHeight="1">
      <c r="A353" s="72" t="s">
        <v>1630</v>
      </c>
    </row>
    <row r="354" ht="12.75" customHeight="1">
      <c r="A354" s="86" t="s">
        <v>1512</v>
      </c>
      <c r="B354" s="86" t="s">
        <v>1513</v>
      </c>
      <c r="C354" s="86" t="s">
        <v>1514</v>
      </c>
      <c r="D354" s="400" t="s">
        <v>1631</v>
      </c>
      <c r="E354" s="482"/>
      <c r="F354" s="402" t="s">
        <v>1632</v>
      </c>
      <c r="G354" s="483"/>
    </row>
    <row r="355" ht="12.75" customHeight="1">
      <c r="D355" s="401" t="s">
        <v>1215</v>
      </c>
      <c r="E355" s="401" t="s">
        <v>1216</v>
      </c>
      <c r="F355" s="59" t="s">
        <v>1215</v>
      </c>
      <c r="G355" s="59" t="s">
        <v>1216</v>
      </c>
    </row>
    <row r="356" ht="12.75" customHeight="1">
      <c r="A356" s="335"/>
      <c r="B356" s="335"/>
      <c r="C356" s="335"/>
      <c r="D356" s="335"/>
      <c r="E356" s="335"/>
      <c r="F356" s="335"/>
      <c r="G356" s="335"/>
    </row>
    <row r="357" ht="12.75" customHeight="1">
      <c r="A357" s="58"/>
      <c r="B357" s="58"/>
      <c r="C357" s="58"/>
      <c r="D357" s="408">
        <v>3.36</v>
      </c>
      <c r="E357" s="401">
        <v>70.02239999999998</v>
      </c>
      <c r="F357" s="409">
        <v>5.6</v>
      </c>
      <c r="G357" s="409">
        <v>116.704</v>
      </c>
    </row>
    <row r="358" ht="12.75" customHeight="1">
      <c r="A358" s="58"/>
      <c r="B358" s="58"/>
      <c r="C358" s="58"/>
      <c r="D358" s="408">
        <v>0.67</v>
      </c>
      <c r="E358" s="408">
        <v>271.216</v>
      </c>
      <c r="F358" s="59">
        <v>0.0</v>
      </c>
      <c r="G358" s="409">
        <v>0.0</v>
      </c>
    </row>
    <row r="359" ht="12.75" customHeight="1">
      <c r="A359" s="58"/>
      <c r="B359" s="58"/>
      <c r="C359" s="58"/>
      <c r="D359" s="408">
        <v>2.02</v>
      </c>
      <c r="E359" s="401">
        <v>588.2644</v>
      </c>
      <c r="F359" s="409">
        <v>0.934</v>
      </c>
      <c r="G359" s="409">
        <v>271.9994800000001</v>
      </c>
    </row>
    <row r="360" ht="12.75" customHeight="1">
      <c r="A360" s="58"/>
      <c r="B360" s="58"/>
      <c r="C360" s="58"/>
      <c r="D360" s="408">
        <v>0.67</v>
      </c>
      <c r="E360" s="408">
        <v>607.69</v>
      </c>
      <c r="F360" s="59">
        <v>0.0</v>
      </c>
      <c r="G360" s="409">
        <v>0.0</v>
      </c>
    </row>
    <row r="361" ht="12.75" customHeight="1">
      <c r="A361" s="58"/>
      <c r="B361" s="58"/>
      <c r="C361" s="58"/>
      <c r="D361" s="401">
        <v>0.0</v>
      </c>
      <c r="E361" s="401">
        <v>0.0</v>
      </c>
      <c r="F361" s="59">
        <v>0.0</v>
      </c>
      <c r="G361" s="409">
        <v>0.0</v>
      </c>
    </row>
    <row r="362" ht="12.75" customHeight="1">
      <c r="A362" s="58"/>
      <c r="B362" s="58"/>
      <c r="C362" s="58"/>
      <c r="D362" s="401">
        <v>0.0</v>
      </c>
      <c r="E362" s="408">
        <v>0.0</v>
      </c>
      <c r="F362" s="59">
        <v>0.0</v>
      </c>
      <c r="G362" s="409">
        <v>0.0</v>
      </c>
    </row>
    <row r="363" ht="12.75" customHeight="1">
      <c r="A363" s="58"/>
      <c r="B363" s="58"/>
      <c r="C363" s="58"/>
      <c r="D363" s="408">
        <v>0.67</v>
      </c>
      <c r="E363" s="401">
        <v>35.108</v>
      </c>
      <c r="F363" s="409">
        <v>0.93</v>
      </c>
      <c r="G363" s="409">
        <v>48.732</v>
      </c>
    </row>
    <row r="364" ht="12.75" customHeight="1">
      <c r="A364" s="58"/>
      <c r="B364" s="58"/>
      <c r="C364" s="58"/>
      <c r="D364" s="401">
        <v>0.0</v>
      </c>
      <c r="E364" s="408">
        <v>0.0</v>
      </c>
      <c r="F364" s="409">
        <v>0.93</v>
      </c>
      <c r="G364" s="409">
        <v>661.1742</v>
      </c>
    </row>
    <row r="365" ht="12.75" customHeight="1">
      <c r="A365" s="58"/>
      <c r="B365" s="58"/>
      <c r="C365" s="58"/>
      <c r="D365" s="408">
        <v>0.67</v>
      </c>
      <c r="E365" s="401">
        <v>37.7344</v>
      </c>
      <c r="F365" s="59">
        <v>0.0</v>
      </c>
      <c r="G365" s="409">
        <v>0.0</v>
      </c>
    </row>
    <row r="366" ht="12.75" customHeight="1">
      <c r="A366" s="58"/>
      <c r="B366" s="58"/>
      <c r="C366" s="58"/>
      <c r="D366" s="408">
        <v>2.7</v>
      </c>
      <c r="E366" s="408">
        <v>1051.326</v>
      </c>
      <c r="F366" s="409">
        <v>1.9</v>
      </c>
      <c r="G366" s="409">
        <v>739.822</v>
      </c>
    </row>
    <row r="367" ht="12.75" customHeight="1">
      <c r="A367" s="58"/>
      <c r="B367" s="58"/>
      <c r="C367" s="58"/>
      <c r="D367" s="408">
        <v>10.77</v>
      </c>
      <c r="E367" s="401">
        <v>370.48799999999983</v>
      </c>
      <c r="F367" s="409">
        <v>13.1</v>
      </c>
      <c r="G367" s="409">
        <v>450.64</v>
      </c>
    </row>
    <row r="368" ht="12.75" customHeight="1">
      <c r="A368" s="58"/>
      <c r="B368" s="58"/>
      <c r="C368" s="58"/>
      <c r="D368" s="408">
        <v>6.06</v>
      </c>
      <c r="E368" s="408">
        <v>97.20239999999998</v>
      </c>
      <c r="F368" s="409">
        <v>11.2</v>
      </c>
      <c r="G368" s="409">
        <v>179.648</v>
      </c>
    </row>
    <row r="369" ht="12.75" customHeight="1">
      <c r="A369" s="58"/>
      <c r="B369" s="58"/>
      <c r="C369" s="58"/>
      <c r="D369" s="408">
        <v>0.67</v>
      </c>
      <c r="E369" s="401">
        <v>267.1558</v>
      </c>
      <c r="F369" s="409">
        <v>0.93</v>
      </c>
      <c r="G369" s="409">
        <v>370.8282</v>
      </c>
    </row>
    <row r="370" ht="12.75" customHeight="1">
      <c r="A370" s="58"/>
      <c r="B370" s="58"/>
      <c r="C370" s="58"/>
      <c r="D370" s="408">
        <v>9.420000000000002</v>
      </c>
      <c r="E370" s="408">
        <v>224.5728</v>
      </c>
      <c r="F370" s="409">
        <v>12.14</v>
      </c>
      <c r="G370" s="409">
        <v>289.4176</v>
      </c>
    </row>
    <row r="371" ht="12.75" customHeight="1">
      <c r="A371" s="58"/>
      <c r="B371" s="58"/>
      <c r="C371" s="58"/>
      <c r="D371" s="408">
        <v>0.67</v>
      </c>
      <c r="E371" s="401">
        <v>350.3162</v>
      </c>
      <c r="F371" s="409">
        <v>0.93</v>
      </c>
      <c r="G371" s="409">
        <v>486.2598</v>
      </c>
    </row>
    <row r="372" ht="12.75" customHeight="1">
      <c r="A372" s="58"/>
      <c r="B372" s="58"/>
      <c r="C372" s="58"/>
      <c r="D372" s="401">
        <v>0.0</v>
      </c>
      <c r="E372" s="408">
        <v>0.0</v>
      </c>
      <c r="F372" s="409">
        <v>0.93</v>
      </c>
      <c r="G372" s="409">
        <v>367.9266</v>
      </c>
    </row>
    <row r="373" ht="12.75" customHeight="1">
      <c r="A373" s="58"/>
      <c r="B373" s="58"/>
      <c r="C373" s="58"/>
      <c r="D373" s="401">
        <v>0.0</v>
      </c>
      <c r="E373" s="401">
        <v>0.0</v>
      </c>
      <c r="F373" s="409">
        <v>1.9</v>
      </c>
      <c r="G373" s="409">
        <v>1047.85</v>
      </c>
    </row>
    <row r="374" ht="12.75" customHeight="1">
      <c r="A374" s="58"/>
      <c r="B374" s="58"/>
      <c r="C374" s="58"/>
      <c r="D374" s="408">
        <v>4.04</v>
      </c>
      <c r="E374" s="408">
        <v>285.224</v>
      </c>
      <c r="F374" s="409">
        <v>4.67</v>
      </c>
      <c r="G374" s="409">
        <v>329.7019999999998</v>
      </c>
    </row>
    <row r="375" ht="12.75" customHeight="1">
      <c r="A375" s="58"/>
      <c r="B375" s="58"/>
      <c r="C375" s="58"/>
      <c r="D375" s="401">
        <v>0.0</v>
      </c>
      <c r="E375" s="401">
        <v>0.0</v>
      </c>
      <c r="F375" s="409">
        <v>0.93</v>
      </c>
      <c r="G375" s="409">
        <v>359.7612</v>
      </c>
    </row>
    <row r="376" ht="12.75" customHeight="1">
      <c r="A376" s="58"/>
      <c r="B376" s="58"/>
      <c r="C376" s="58"/>
      <c r="D376" s="408">
        <v>2.02</v>
      </c>
      <c r="E376" s="408">
        <v>1734.978</v>
      </c>
      <c r="F376" s="409">
        <v>2.8</v>
      </c>
      <c r="G376" s="409">
        <v>2404.92</v>
      </c>
    </row>
    <row r="377" ht="12.75" customHeight="1">
      <c r="A377" s="58"/>
      <c r="B377" s="58"/>
      <c r="C377" s="58"/>
      <c r="D377" s="408">
        <v>0.67</v>
      </c>
      <c r="E377" s="401">
        <v>41.3256</v>
      </c>
      <c r="F377" s="409">
        <v>1.86</v>
      </c>
      <c r="G377" s="409">
        <v>114.7248</v>
      </c>
    </row>
    <row r="378" ht="12.75" customHeight="1">
      <c r="A378" s="58"/>
      <c r="B378" s="58"/>
      <c r="C378" s="58"/>
      <c r="D378" s="401">
        <v>0.0</v>
      </c>
      <c r="E378" s="408">
        <v>0.0</v>
      </c>
      <c r="F378" s="59">
        <v>0.0</v>
      </c>
      <c r="G378" s="409">
        <v>0.0</v>
      </c>
    </row>
    <row r="379" ht="12.75" customHeight="1">
      <c r="A379" s="58"/>
      <c r="B379" s="58"/>
      <c r="C379" s="58"/>
      <c r="D379" s="408">
        <v>0.67</v>
      </c>
      <c r="E379" s="401">
        <v>418.616</v>
      </c>
      <c r="F379" s="409">
        <v>0.93</v>
      </c>
      <c r="G379" s="409">
        <v>581.064</v>
      </c>
    </row>
    <row r="380" ht="12.75" customHeight="1">
      <c r="A380" s="58"/>
      <c r="B380" s="58"/>
      <c r="C380" s="58"/>
      <c r="D380" s="408">
        <v>0.67</v>
      </c>
      <c r="E380" s="408">
        <v>258.6066</v>
      </c>
      <c r="F380" s="59">
        <v>0.0</v>
      </c>
      <c r="G380" s="409">
        <v>0.0</v>
      </c>
    </row>
    <row r="381" ht="12.75" customHeight="1">
      <c r="A381" s="58"/>
      <c r="B381" s="58"/>
      <c r="C381" s="58"/>
      <c r="D381" s="408">
        <v>0.67</v>
      </c>
      <c r="E381" s="401">
        <v>31.9322</v>
      </c>
      <c r="F381" s="409">
        <v>0.93</v>
      </c>
      <c r="G381" s="409">
        <v>44.3238</v>
      </c>
    </row>
    <row r="382" ht="12.75" customHeight="1">
      <c r="A382" s="58"/>
      <c r="B382" s="58"/>
      <c r="C382" s="58"/>
      <c r="D382" s="401">
        <v>0.0</v>
      </c>
      <c r="E382" s="408">
        <v>0.0</v>
      </c>
      <c r="F382" s="59">
        <v>0.0</v>
      </c>
      <c r="G382" s="409">
        <v>0.0</v>
      </c>
    </row>
    <row r="383" ht="12.75" customHeight="1">
      <c r="A383" s="58"/>
      <c r="B383" s="58"/>
      <c r="C383" s="58"/>
      <c r="D383" s="408">
        <v>0.67</v>
      </c>
      <c r="E383" s="408">
        <v>614.8188</v>
      </c>
      <c r="F383" s="59">
        <v>0.0</v>
      </c>
      <c r="G383" s="409">
        <v>0.0</v>
      </c>
    </row>
    <row r="384" ht="12.75" customHeight="1">
      <c r="A384" s="58"/>
      <c r="B384" s="58"/>
      <c r="C384" s="58"/>
      <c r="D384" s="401">
        <v>0.0</v>
      </c>
      <c r="E384" s="408">
        <v>0.0</v>
      </c>
      <c r="F384" s="59">
        <v>0.0</v>
      </c>
      <c r="G384" s="409">
        <v>0.0</v>
      </c>
    </row>
    <row r="385" ht="12.75" customHeight="1">
      <c r="A385" s="58"/>
      <c r="B385" s="58"/>
      <c r="C385" s="58"/>
      <c r="D385" s="408">
        <v>0.67</v>
      </c>
      <c r="E385" s="408">
        <v>179.4394</v>
      </c>
      <c r="F385" s="59">
        <v>0.0</v>
      </c>
      <c r="G385" s="409">
        <v>0.0</v>
      </c>
    </row>
    <row r="386" ht="12.75" customHeight="1">
      <c r="A386" s="58"/>
      <c r="B386" s="58"/>
      <c r="C386" s="58"/>
      <c r="D386" s="408">
        <v>1.0</v>
      </c>
      <c r="E386" s="408">
        <v>325.42</v>
      </c>
      <c r="F386" s="409">
        <v>1.0</v>
      </c>
      <c r="G386" s="409">
        <v>325.42</v>
      </c>
    </row>
    <row r="387" ht="12.75" customHeight="1">
      <c r="A387" s="58"/>
      <c r="B387" s="58"/>
      <c r="C387" s="58"/>
      <c r="D387" s="401">
        <v>0.0</v>
      </c>
      <c r="E387" s="408">
        <v>0.0</v>
      </c>
      <c r="F387" s="59">
        <v>0.0</v>
      </c>
      <c r="G387" s="409">
        <v>0.0</v>
      </c>
    </row>
    <row r="388" ht="12.75" customHeight="1">
      <c r="A388" s="58"/>
      <c r="B388" s="58"/>
      <c r="C388" s="58"/>
      <c r="D388" s="408">
        <v>4.71</v>
      </c>
      <c r="E388" s="408">
        <v>38.7162</v>
      </c>
      <c r="F388" s="409">
        <v>12.14</v>
      </c>
      <c r="G388" s="409">
        <v>99.79080000000002</v>
      </c>
    </row>
    <row r="389" ht="12.75" customHeight="1">
      <c r="A389" s="58"/>
      <c r="B389" s="58"/>
      <c r="C389" s="58"/>
      <c r="D389" s="408">
        <v>1.35</v>
      </c>
      <c r="E389" s="408">
        <v>47.574000000000005</v>
      </c>
      <c r="F389" s="409">
        <v>0.93</v>
      </c>
      <c r="G389" s="409">
        <v>32.7732</v>
      </c>
    </row>
    <row r="390" ht="12.75" customHeight="1">
      <c r="A390" s="58"/>
      <c r="B390" s="58"/>
      <c r="C390" s="58"/>
      <c r="D390" s="401">
        <v>0.0</v>
      </c>
      <c r="E390" s="408">
        <v>0.0</v>
      </c>
      <c r="F390" s="59">
        <v>0.0</v>
      </c>
      <c r="G390" s="409">
        <v>0.0</v>
      </c>
    </row>
    <row r="391" ht="12.75" customHeight="1">
      <c r="A391" s="58"/>
      <c r="B391" s="58"/>
      <c r="C391" s="58"/>
      <c r="D391" s="401">
        <v>0.0</v>
      </c>
      <c r="E391" s="408">
        <v>0.0</v>
      </c>
      <c r="F391" s="409">
        <v>0.93</v>
      </c>
      <c r="G391" s="409">
        <v>161.8758</v>
      </c>
    </row>
    <row r="392" ht="12.75" customHeight="1">
      <c r="A392" s="58"/>
      <c r="B392" s="58"/>
      <c r="C392" s="58"/>
      <c r="D392" s="408">
        <v>0.67</v>
      </c>
      <c r="E392" s="408">
        <v>346.0818</v>
      </c>
      <c r="F392" s="59">
        <v>0.0</v>
      </c>
      <c r="G392" s="409">
        <v>0.0</v>
      </c>
    </row>
    <row r="393" ht="12.75" customHeight="1">
      <c r="A393" s="58"/>
      <c r="B393" s="58"/>
      <c r="C393" s="58"/>
      <c r="D393" s="408">
        <v>6.06</v>
      </c>
      <c r="E393" s="408">
        <v>60.4788</v>
      </c>
      <c r="F393" s="409">
        <v>12.14</v>
      </c>
      <c r="G393" s="409">
        <v>121.1572</v>
      </c>
    </row>
    <row r="394" ht="12.75" customHeight="1">
      <c r="A394" s="58"/>
      <c r="B394" s="58"/>
      <c r="C394" s="58"/>
      <c r="D394" s="408">
        <v>0.0</v>
      </c>
      <c r="E394" s="408">
        <v>0.0</v>
      </c>
      <c r="F394" s="409">
        <v>0.0</v>
      </c>
      <c r="G394" s="409">
        <v>0.0</v>
      </c>
    </row>
    <row r="395" ht="12.75" customHeight="1">
      <c r="A395" s="58"/>
      <c r="B395" s="58"/>
      <c r="C395" s="58"/>
      <c r="D395" s="408">
        <v>0.67</v>
      </c>
      <c r="E395" s="408">
        <v>202.005</v>
      </c>
      <c r="F395" s="59">
        <v>0.0</v>
      </c>
      <c r="G395" s="409">
        <v>0.0</v>
      </c>
    </row>
    <row r="396" ht="12.75" customHeight="1">
      <c r="A396" s="58"/>
      <c r="B396" s="58"/>
      <c r="C396" s="58"/>
      <c r="D396" s="408">
        <v>0.67</v>
      </c>
      <c r="E396" s="408">
        <v>359.79</v>
      </c>
      <c r="F396" s="409">
        <v>0.93</v>
      </c>
      <c r="G396" s="409">
        <v>499.41</v>
      </c>
    </row>
    <row r="397" ht="12.75" customHeight="1">
      <c r="A397" s="58"/>
      <c r="B397" s="58"/>
      <c r="C397" s="58"/>
      <c r="D397" s="401">
        <v>0.0</v>
      </c>
      <c r="E397" s="408">
        <v>0.0</v>
      </c>
      <c r="F397" s="59">
        <v>0.0</v>
      </c>
      <c r="G397" s="409">
        <v>0.0</v>
      </c>
    </row>
    <row r="398" ht="12.75" customHeight="1">
      <c r="A398" s="58"/>
      <c r="B398" s="58"/>
      <c r="C398" s="58"/>
      <c r="D398" s="401">
        <v>0.0</v>
      </c>
      <c r="E398" s="408">
        <v>0.0</v>
      </c>
      <c r="F398" s="59">
        <v>0.0</v>
      </c>
      <c r="G398" s="409">
        <v>0.0</v>
      </c>
    </row>
    <row r="399" ht="12.75" customHeight="1">
      <c r="A399" s="58"/>
      <c r="B399" s="58"/>
      <c r="C399" s="58"/>
      <c r="D399" s="401">
        <v>0.0</v>
      </c>
      <c r="E399" s="408">
        <v>0.0</v>
      </c>
      <c r="F399" s="59">
        <v>0.0</v>
      </c>
      <c r="G399" s="409">
        <v>0.0</v>
      </c>
    </row>
    <row r="400" ht="12.75" customHeight="1">
      <c r="A400" s="58"/>
      <c r="B400" s="58"/>
      <c r="C400" s="58"/>
      <c r="D400" s="401">
        <v>0.0</v>
      </c>
      <c r="E400" s="408">
        <v>0.0</v>
      </c>
      <c r="F400" s="409">
        <v>0.93</v>
      </c>
      <c r="G400" s="409">
        <v>317.4462</v>
      </c>
    </row>
    <row r="401" ht="12.75" customHeight="1">
      <c r="A401" s="58"/>
      <c r="B401" s="58"/>
      <c r="C401" s="58"/>
      <c r="D401" s="408">
        <v>0.67</v>
      </c>
      <c r="E401" s="408">
        <v>43.55</v>
      </c>
      <c r="F401" s="409">
        <v>0.93</v>
      </c>
      <c r="G401" s="409">
        <v>60.45</v>
      </c>
    </row>
    <row r="402" ht="12.75" customHeight="1">
      <c r="A402" s="58"/>
      <c r="B402" s="58"/>
      <c r="C402" s="58"/>
      <c r="D402" s="401">
        <v>0.0</v>
      </c>
      <c r="E402" s="408">
        <v>0.0</v>
      </c>
      <c r="F402" s="409">
        <v>0.93</v>
      </c>
      <c r="G402" s="409">
        <v>500.74920000000014</v>
      </c>
    </row>
    <row r="403" ht="12.75" customHeight="1">
      <c r="A403" s="58"/>
      <c r="B403" s="58"/>
      <c r="C403" s="58"/>
      <c r="D403" s="401">
        <v>0.0</v>
      </c>
      <c r="E403" s="408">
        <v>0.0</v>
      </c>
      <c r="F403" s="409">
        <v>2.8</v>
      </c>
      <c r="G403" s="409">
        <v>86.85599999999998</v>
      </c>
    </row>
    <row r="404" ht="12.75" customHeight="1">
      <c r="A404" s="58"/>
      <c r="B404" s="58"/>
      <c r="C404" s="58"/>
      <c r="D404" s="408">
        <v>3.36</v>
      </c>
      <c r="E404" s="408">
        <v>112.2912</v>
      </c>
      <c r="F404" s="409">
        <v>1.87</v>
      </c>
      <c r="G404" s="409">
        <v>62.4954</v>
      </c>
    </row>
    <row r="405" ht="12.75" customHeight="1">
      <c r="A405" s="58"/>
      <c r="B405" s="58"/>
      <c r="C405" s="58"/>
      <c r="D405" s="408">
        <v>0.67</v>
      </c>
      <c r="E405" s="408">
        <v>282.2308</v>
      </c>
      <c r="F405" s="59">
        <v>0.0</v>
      </c>
      <c r="G405" s="409">
        <v>0.0</v>
      </c>
    </row>
    <row r="406" ht="12.75" customHeight="1">
      <c r="A406" s="58"/>
      <c r="B406" s="58"/>
      <c r="C406" s="58"/>
      <c r="D406" s="401">
        <v>0.0</v>
      </c>
      <c r="E406" s="408">
        <v>0.0</v>
      </c>
      <c r="F406" s="59">
        <v>0.0</v>
      </c>
      <c r="G406" s="409">
        <v>0.0</v>
      </c>
    </row>
    <row r="407" ht="12.75" customHeight="1">
      <c r="A407" s="58"/>
      <c r="B407" s="58"/>
      <c r="C407" s="58"/>
      <c r="D407" s="401">
        <v>0.0</v>
      </c>
      <c r="E407" s="408">
        <v>0.0</v>
      </c>
      <c r="F407" s="59">
        <v>0.0</v>
      </c>
      <c r="G407" s="409">
        <v>0.0</v>
      </c>
    </row>
    <row r="408" ht="12.75" customHeight="1">
      <c r="A408" s="58"/>
      <c r="B408" s="58"/>
      <c r="C408" s="58"/>
      <c r="D408" s="408">
        <v>0.67</v>
      </c>
      <c r="E408" s="408">
        <v>637.3978000000001</v>
      </c>
      <c r="F408" s="59">
        <v>0.0</v>
      </c>
      <c r="G408" s="409">
        <v>0.0</v>
      </c>
    </row>
    <row r="409" ht="12.75" customHeight="1">
      <c r="A409" s="58"/>
      <c r="B409" s="58"/>
      <c r="C409" s="58"/>
      <c r="D409" s="401">
        <v>0.0</v>
      </c>
      <c r="E409" s="408">
        <v>0.0</v>
      </c>
      <c r="F409" s="59">
        <v>0.0</v>
      </c>
      <c r="G409" s="409">
        <v>0.0</v>
      </c>
    </row>
    <row r="410" ht="12.75" customHeight="1">
      <c r="A410" s="58"/>
      <c r="B410" s="58"/>
      <c r="C410" s="58"/>
      <c r="D410" s="408">
        <v>0.67</v>
      </c>
      <c r="E410" s="408">
        <v>93.8402</v>
      </c>
      <c r="F410" s="59">
        <v>0.0</v>
      </c>
      <c r="G410" s="409">
        <v>0.0</v>
      </c>
    </row>
    <row r="411" ht="12.75" customHeight="1">
      <c r="A411" s="58"/>
      <c r="B411" s="58"/>
      <c r="C411" s="58"/>
      <c r="D411" s="401">
        <v>0.0</v>
      </c>
      <c r="E411" s="408">
        <v>0.0</v>
      </c>
      <c r="F411" s="59">
        <v>0.0</v>
      </c>
      <c r="G411" s="409">
        <v>0.0</v>
      </c>
    </row>
    <row r="412" ht="12.75" customHeight="1">
      <c r="A412" s="58"/>
      <c r="B412" s="58"/>
      <c r="C412" s="58"/>
      <c r="D412" s="401">
        <v>0.0</v>
      </c>
      <c r="E412" s="408">
        <v>0.0</v>
      </c>
      <c r="F412" s="59">
        <v>0.0</v>
      </c>
      <c r="G412" s="409">
        <v>0.0</v>
      </c>
    </row>
    <row r="413" ht="12.75" customHeight="1">
      <c r="A413" s="58"/>
      <c r="B413" s="58"/>
      <c r="C413" s="58"/>
      <c r="D413" s="401">
        <v>0.0</v>
      </c>
      <c r="E413" s="408">
        <v>0.0</v>
      </c>
      <c r="F413" s="59">
        <v>0.0</v>
      </c>
      <c r="G413" s="409">
        <v>0.0</v>
      </c>
    </row>
    <row r="414" ht="12.75" customHeight="1">
      <c r="A414" s="58"/>
      <c r="B414" s="58"/>
      <c r="C414" s="58"/>
      <c r="D414" s="401">
        <v>0.0</v>
      </c>
      <c r="E414" s="408">
        <v>0.0</v>
      </c>
      <c r="F414" s="59">
        <v>0.0</v>
      </c>
      <c r="G414" s="409">
        <v>0.0</v>
      </c>
    </row>
    <row r="415" ht="12.75" customHeight="1">
      <c r="A415" s="58"/>
      <c r="B415" s="58"/>
      <c r="C415" s="58"/>
      <c r="D415" s="408">
        <v>0.67</v>
      </c>
      <c r="E415" s="408">
        <v>41.6338</v>
      </c>
      <c r="F415" s="409">
        <v>0.934</v>
      </c>
      <c r="G415" s="409">
        <v>58.03876</v>
      </c>
    </row>
    <row r="416" ht="12.75" customHeight="1">
      <c r="A416" s="58"/>
      <c r="B416" s="58"/>
      <c r="C416" s="58"/>
      <c r="D416" s="408">
        <v>0.67</v>
      </c>
      <c r="E416" s="408">
        <v>270.3852</v>
      </c>
      <c r="F416" s="59">
        <v>0.0</v>
      </c>
      <c r="G416" s="409">
        <v>0.0</v>
      </c>
    </row>
    <row r="417" ht="12.75" customHeight="1">
      <c r="A417" s="58"/>
      <c r="B417" s="58"/>
      <c r="C417" s="58"/>
      <c r="D417" s="401">
        <v>0.0</v>
      </c>
      <c r="E417" s="408">
        <v>0.0</v>
      </c>
      <c r="F417" s="59">
        <v>0.0</v>
      </c>
      <c r="G417" s="409">
        <v>0.0</v>
      </c>
    </row>
    <row r="418" ht="12.75" customHeight="1">
      <c r="A418" s="58"/>
      <c r="B418" s="58"/>
      <c r="C418" s="58"/>
      <c r="D418" s="401">
        <v>0.0</v>
      </c>
      <c r="E418" s="408">
        <v>0.0</v>
      </c>
      <c r="F418" s="59">
        <v>0.0</v>
      </c>
      <c r="G418" s="409">
        <v>0.0</v>
      </c>
    </row>
    <row r="419" ht="12.75" customHeight="1">
      <c r="A419" s="58"/>
      <c r="B419" s="58"/>
      <c r="C419" s="58"/>
      <c r="D419" s="401">
        <v>0.0</v>
      </c>
      <c r="E419" s="408">
        <v>0.0</v>
      </c>
      <c r="F419" s="409">
        <v>0.93</v>
      </c>
      <c r="G419" s="409">
        <v>422.9268</v>
      </c>
    </row>
    <row r="420" ht="12.75" customHeight="1">
      <c r="A420" s="58"/>
      <c r="B420" s="58"/>
      <c r="C420" s="58"/>
      <c r="D420" s="401">
        <v>0.0</v>
      </c>
      <c r="E420" s="408">
        <v>0.0</v>
      </c>
      <c r="F420" s="409">
        <v>0.0</v>
      </c>
      <c r="G420" s="409">
        <v>0.0</v>
      </c>
    </row>
    <row r="421" ht="12.75" customHeight="1">
      <c r="A421" s="58"/>
      <c r="B421" s="58"/>
      <c r="C421" s="58"/>
      <c r="D421" s="408">
        <v>0.67</v>
      </c>
      <c r="E421" s="408">
        <v>70.4438</v>
      </c>
      <c r="F421" s="409">
        <v>0.93</v>
      </c>
      <c r="G421" s="409">
        <v>97.7802</v>
      </c>
    </row>
    <row r="422" ht="12.75" customHeight="1">
      <c r="A422" s="58"/>
      <c r="B422" s="58"/>
      <c r="C422" s="58"/>
      <c r="D422" s="408">
        <v>0.67</v>
      </c>
      <c r="E422" s="408">
        <v>531.645</v>
      </c>
      <c r="F422" s="409">
        <v>0.93</v>
      </c>
      <c r="G422" s="409">
        <v>737.955</v>
      </c>
    </row>
    <row r="423" ht="12.75" customHeight="1">
      <c r="A423" s="58"/>
      <c r="B423" s="58"/>
      <c r="C423" s="58"/>
      <c r="D423" s="408">
        <v>0.0</v>
      </c>
      <c r="E423" s="408">
        <v>0.0</v>
      </c>
      <c r="F423" s="409">
        <v>0.0</v>
      </c>
      <c r="G423" s="409">
        <v>0.0</v>
      </c>
    </row>
    <row r="424" ht="12.75" customHeight="1">
      <c r="A424" s="58"/>
      <c r="B424" s="58"/>
      <c r="C424" s="58"/>
      <c r="D424" s="401">
        <v>0.0</v>
      </c>
      <c r="E424" s="408">
        <v>0.0</v>
      </c>
      <c r="F424" s="59">
        <v>0.0</v>
      </c>
      <c r="G424" s="409">
        <v>0.0</v>
      </c>
    </row>
    <row r="425" ht="12.75" customHeight="1">
      <c r="A425" s="58"/>
      <c r="B425" s="58"/>
      <c r="C425" s="58"/>
      <c r="D425" s="408">
        <v>0.67</v>
      </c>
      <c r="E425" s="408">
        <v>198.588</v>
      </c>
      <c r="F425" s="409">
        <v>0.93</v>
      </c>
      <c r="G425" s="409">
        <v>275.652</v>
      </c>
    </row>
    <row r="426" ht="12.75" customHeight="1">
      <c r="A426" s="58"/>
      <c r="B426" s="58"/>
      <c r="C426" s="58"/>
      <c r="D426" s="408">
        <v>1.35</v>
      </c>
      <c r="E426" s="408">
        <v>33.21</v>
      </c>
      <c r="F426" s="409">
        <v>1.87</v>
      </c>
      <c r="G426" s="409">
        <v>46.002</v>
      </c>
    </row>
    <row r="427" ht="12.75" customHeight="1">
      <c r="A427" s="58"/>
      <c r="B427" s="58"/>
      <c r="C427" s="58"/>
      <c r="D427" s="401">
        <v>0.0</v>
      </c>
      <c r="E427" s="408">
        <v>0.0</v>
      </c>
      <c r="F427" s="59">
        <v>0.0</v>
      </c>
      <c r="G427" s="409">
        <v>0.0</v>
      </c>
    </row>
    <row r="428" ht="12.75" customHeight="1">
      <c r="A428" s="58"/>
      <c r="B428" s="58"/>
      <c r="C428" s="58"/>
      <c r="D428" s="408">
        <v>4.04</v>
      </c>
      <c r="E428" s="408">
        <v>135.9864</v>
      </c>
      <c r="F428" s="409">
        <v>4.67</v>
      </c>
      <c r="G428" s="409">
        <v>157.1922</v>
      </c>
    </row>
    <row r="429" ht="12.75" customHeight="1">
      <c r="A429" s="58"/>
      <c r="B429" s="58"/>
      <c r="C429" s="58"/>
      <c r="D429" s="401">
        <v>0.0</v>
      </c>
      <c r="E429" s="408">
        <v>0.0</v>
      </c>
      <c r="F429" s="59">
        <v>0.0</v>
      </c>
      <c r="G429" s="409">
        <v>0.0</v>
      </c>
    </row>
    <row r="430" ht="12.75" customHeight="1">
      <c r="A430" s="58"/>
      <c r="B430" s="58"/>
      <c r="C430" s="58"/>
      <c r="D430" s="408">
        <v>0.67</v>
      </c>
      <c r="E430" s="408">
        <v>276.1204</v>
      </c>
      <c r="F430" s="59">
        <v>0.0</v>
      </c>
      <c r="G430" s="409">
        <v>0.0</v>
      </c>
    </row>
    <row r="431" ht="12.75" customHeight="1">
      <c r="A431" s="58"/>
      <c r="B431" s="58"/>
      <c r="C431" s="58"/>
      <c r="D431" s="408">
        <v>0.67</v>
      </c>
      <c r="E431" s="408">
        <v>320.8094</v>
      </c>
      <c r="F431" s="409">
        <v>0.93</v>
      </c>
      <c r="G431" s="409">
        <v>445.3026</v>
      </c>
    </row>
    <row r="432" ht="12.75" customHeight="1">
      <c r="A432" s="58"/>
      <c r="B432" s="58"/>
      <c r="C432" s="58"/>
      <c r="D432" s="401">
        <v>0.0</v>
      </c>
      <c r="E432" s="408">
        <v>0.0</v>
      </c>
      <c r="F432" s="409">
        <v>0.93</v>
      </c>
      <c r="G432" s="409">
        <v>487.5060000000001</v>
      </c>
    </row>
    <row r="433" ht="12.75" customHeight="1">
      <c r="A433" s="58"/>
      <c r="B433" s="58"/>
      <c r="C433" s="58"/>
      <c r="D433" s="401">
        <v>0.0</v>
      </c>
      <c r="E433" s="408">
        <v>0.0</v>
      </c>
      <c r="F433" s="59">
        <v>0.0</v>
      </c>
      <c r="G433" s="409">
        <v>0.0</v>
      </c>
    </row>
    <row r="434" ht="12.75" customHeight="1">
      <c r="A434" s="58"/>
      <c r="B434" s="58"/>
      <c r="C434" s="58"/>
      <c r="D434" s="408">
        <v>0.67</v>
      </c>
      <c r="E434" s="408">
        <v>255.4844</v>
      </c>
      <c r="F434" s="59">
        <v>0.0</v>
      </c>
      <c r="G434" s="409">
        <v>0.0</v>
      </c>
    </row>
    <row r="435" ht="12.75" customHeight="1">
      <c r="A435" s="58"/>
      <c r="B435" s="58"/>
      <c r="C435" s="58"/>
      <c r="D435" s="401">
        <v>0.0</v>
      </c>
      <c r="E435" s="408">
        <v>0.0</v>
      </c>
      <c r="F435" s="59">
        <v>0.0</v>
      </c>
      <c r="G435" s="409">
        <v>0.0</v>
      </c>
    </row>
    <row r="436" ht="12.75" customHeight="1">
      <c r="A436" s="58"/>
      <c r="B436" s="58"/>
      <c r="C436" s="58"/>
      <c r="D436" s="408">
        <v>0.67</v>
      </c>
      <c r="E436" s="408">
        <v>281.333</v>
      </c>
      <c r="F436" s="59">
        <v>0.0</v>
      </c>
      <c r="G436" s="409">
        <v>0.0</v>
      </c>
    </row>
    <row r="437" ht="12.75" customHeight="1">
      <c r="A437" s="58"/>
      <c r="B437" s="58"/>
      <c r="C437" s="58"/>
      <c r="D437" s="408">
        <v>741.36</v>
      </c>
      <c r="E437" s="408">
        <v>3706.8</v>
      </c>
      <c r="F437" s="409">
        <v>790.1</v>
      </c>
      <c r="G437" s="409">
        <v>3950.5</v>
      </c>
    </row>
    <row r="438" ht="12.75" customHeight="1">
      <c r="A438" s="58"/>
      <c r="B438" s="58"/>
      <c r="C438" s="58"/>
      <c r="D438" s="408">
        <v>0.67</v>
      </c>
      <c r="E438" s="408">
        <v>278.2376</v>
      </c>
      <c r="F438" s="59">
        <v>0.0</v>
      </c>
      <c r="G438" s="409">
        <v>0.0</v>
      </c>
    </row>
    <row r="439" ht="12.75" customHeight="1">
      <c r="A439" s="58"/>
      <c r="B439" s="58"/>
      <c r="C439" s="58"/>
      <c r="D439" s="401">
        <v>0.0</v>
      </c>
      <c r="E439" s="408">
        <v>0.0</v>
      </c>
      <c r="F439" s="59">
        <v>0.0</v>
      </c>
      <c r="G439" s="409">
        <v>0.0</v>
      </c>
    </row>
    <row r="440" ht="12.75" customHeight="1">
      <c r="A440" s="58"/>
      <c r="B440" s="58"/>
      <c r="C440" s="58"/>
      <c r="D440" s="401">
        <v>0.0</v>
      </c>
      <c r="E440" s="408">
        <v>0.0</v>
      </c>
      <c r="F440" s="409">
        <v>0.93</v>
      </c>
      <c r="G440" s="409">
        <v>409.3302</v>
      </c>
    </row>
    <row r="441" ht="12.75" customHeight="1">
      <c r="A441" s="58"/>
      <c r="B441" s="58"/>
      <c r="C441" s="58"/>
      <c r="D441" s="408">
        <v>0.67</v>
      </c>
      <c r="E441" s="408">
        <v>38.9538</v>
      </c>
      <c r="F441" s="409">
        <v>0.93</v>
      </c>
      <c r="G441" s="409">
        <v>54.0702</v>
      </c>
    </row>
    <row r="442" ht="12.75" customHeight="1">
      <c r="A442" s="58"/>
      <c r="B442" s="58"/>
      <c r="C442" s="58"/>
      <c r="D442" s="408">
        <v>0.0</v>
      </c>
      <c r="E442" s="408">
        <v>0.0</v>
      </c>
      <c r="F442" s="409">
        <v>0.0</v>
      </c>
      <c r="G442" s="409">
        <v>0.0</v>
      </c>
    </row>
    <row r="443" ht="12.75" customHeight="1">
      <c r="A443" s="58"/>
      <c r="B443" s="58"/>
      <c r="C443" s="58"/>
      <c r="D443" s="408">
        <v>0.67</v>
      </c>
      <c r="E443" s="408">
        <v>350.6512</v>
      </c>
      <c r="F443" s="409">
        <v>0.93</v>
      </c>
      <c r="G443" s="409">
        <v>486.7248</v>
      </c>
    </row>
    <row r="444" ht="12.75" customHeight="1">
      <c r="A444" s="58"/>
      <c r="B444" s="58"/>
      <c r="C444" s="58"/>
      <c r="D444" s="408">
        <v>0.0</v>
      </c>
      <c r="E444" s="408">
        <v>0.0</v>
      </c>
      <c r="F444" s="409">
        <v>0.0</v>
      </c>
      <c r="G444" s="409">
        <v>0.0</v>
      </c>
    </row>
    <row r="445" ht="12.75" customHeight="1">
      <c r="A445" s="58"/>
      <c r="B445" s="58"/>
      <c r="C445" s="58"/>
      <c r="D445" s="408">
        <v>0.67</v>
      </c>
      <c r="E445" s="408">
        <v>94.96580000000002</v>
      </c>
      <c r="F445" s="59">
        <v>0.0</v>
      </c>
      <c r="G445" s="409">
        <v>0.0</v>
      </c>
    </row>
    <row r="446" ht="12.75" customHeight="1">
      <c r="A446" s="58"/>
      <c r="B446" s="58"/>
      <c r="C446" s="58"/>
      <c r="D446" s="408">
        <v>0.0</v>
      </c>
      <c r="E446" s="408">
        <v>0.0</v>
      </c>
      <c r="F446" s="409">
        <v>0.0</v>
      </c>
      <c r="G446" s="409">
        <v>0.0</v>
      </c>
    </row>
    <row r="447" ht="12.75" customHeight="1">
      <c r="A447" s="58"/>
      <c r="B447" s="58"/>
      <c r="C447" s="58"/>
      <c r="D447" s="401">
        <v>0.0</v>
      </c>
      <c r="E447" s="408">
        <v>0.0</v>
      </c>
      <c r="F447" s="59">
        <v>0.0</v>
      </c>
      <c r="G447" s="409">
        <v>0.0</v>
      </c>
    </row>
    <row r="448" ht="12.75" customHeight="1">
      <c r="A448" s="58"/>
      <c r="B448" s="58"/>
      <c r="C448" s="58"/>
      <c r="D448" s="408">
        <v>0.67</v>
      </c>
      <c r="E448" s="408">
        <v>35.000800000000005</v>
      </c>
      <c r="F448" s="59">
        <v>0.0</v>
      </c>
      <c r="G448" s="409">
        <v>0.0</v>
      </c>
    </row>
    <row r="449" ht="12.75" customHeight="1">
      <c r="A449" s="58"/>
      <c r="B449" s="58"/>
      <c r="C449" s="58"/>
      <c r="D449" s="401">
        <v>0.0</v>
      </c>
      <c r="E449" s="408">
        <v>0.0</v>
      </c>
      <c r="F449" s="59">
        <v>0.0</v>
      </c>
      <c r="G449" s="409">
        <v>0.0</v>
      </c>
    </row>
    <row r="450" ht="12.75" customHeight="1">
      <c r="A450" s="58"/>
      <c r="B450" s="58"/>
      <c r="C450" s="58"/>
      <c r="D450" s="401">
        <v>0.0</v>
      </c>
      <c r="E450" s="408">
        <v>0.0</v>
      </c>
      <c r="F450" s="409">
        <v>0.93</v>
      </c>
      <c r="G450" s="409">
        <v>654.8874</v>
      </c>
    </row>
    <row r="451" ht="12.75" customHeight="1">
      <c r="A451" s="58"/>
      <c r="B451" s="58"/>
      <c r="C451" s="58"/>
      <c r="D451" s="408">
        <v>0.67</v>
      </c>
      <c r="E451" s="408">
        <v>337.9346</v>
      </c>
      <c r="F451" s="409">
        <v>0.93</v>
      </c>
      <c r="G451" s="409">
        <v>469.0734</v>
      </c>
    </row>
    <row r="452" ht="12.75" customHeight="1">
      <c r="A452" s="58"/>
      <c r="B452" s="58"/>
      <c r="C452" s="58"/>
      <c r="D452" s="408">
        <v>0.67</v>
      </c>
      <c r="E452" s="408">
        <v>399.0654</v>
      </c>
      <c r="F452" s="409">
        <v>0.93</v>
      </c>
      <c r="G452" s="409">
        <v>553.9266</v>
      </c>
    </row>
    <row r="453" ht="12.75" customHeight="1">
      <c r="A453" s="58"/>
      <c r="B453" s="58"/>
      <c r="C453" s="58"/>
      <c r="D453" s="401">
        <v>0.0</v>
      </c>
      <c r="E453" s="408">
        <v>0.0</v>
      </c>
      <c r="F453" s="59">
        <v>0.0</v>
      </c>
      <c r="G453" s="409">
        <v>0.0</v>
      </c>
    </row>
    <row r="454" ht="12.75" customHeight="1">
      <c r="A454" s="58"/>
      <c r="B454" s="58"/>
      <c r="C454" s="58"/>
      <c r="D454" s="408">
        <v>0.67</v>
      </c>
      <c r="E454" s="408">
        <v>243.344</v>
      </c>
      <c r="F454" s="59">
        <v>0.0</v>
      </c>
      <c r="G454" s="409">
        <v>0.0</v>
      </c>
    </row>
    <row r="455" ht="12.75" customHeight="1">
      <c r="A455" s="58"/>
      <c r="B455" s="58"/>
      <c r="C455" s="58"/>
      <c r="D455" s="408">
        <v>8.75</v>
      </c>
      <c r="E455" s="408">
        <v>171.325</v>
      </c>
      <c r="F455" s="409">
        <v>14.03</v>
      </c>
      <c r="G455" s="409">
        <v>274.7074</v>
      </c>
    </row>
    <row r="456" ht="12.75" customHeight="1">
      <c r="A456" s="58"/>
      <c r="B456" s="58"/>
      <c r="C456" s="58"/>
      <c r="D456" s="408">
        <v>4.71</v>
      </c>
      <c r="E456" s="408">
        <v>2525.1252</v>
      </c>
      <c r="F456" s="409">
        <v>2.8</v>
      </c>
      <c r="G456" s="409">
        <v>1501.136</v>
      </c>
    </row>
    <row r="457" ht="12.75" customHeight="1">
      <c r="A457" s="58"/>
      <c r="B457" s="58"/>
      <c r="C457" s="58"/>
      <c r="D457" s="408">
        <v>0.67</v>
      </c>
      <c r="E457" s="408">
        <v>231.7396</v>
      </c>
      <c r="F457" s="409">
        <v>0.93</v>
      </c>
      <c r="G457" s="409">
        <v>321.6684</v>
      </c>
    </row>
    <row r="458" ht="12.75" customHeight="1">
      <c r="A458" s="58"/>
      <c r="B458" s="58"/>
      <c r="C458" s="58"/>
      <c r="D458" s="408">
        <v>0.67</v>
      </c>
      <c r="E458" s="408">
        <v>355.3814</v>
      </c>
      <c r="F458" s="409">
        <v>0.93</v>
      </c>
      <c r="G458" s="409">
        <v>493.2906</v>
      </c>
    </row>
    <row r="459" ht="12.75" customHeight="1">
      <c r="A459" s="58"/>
      <c r="B459" s="58"/>
      <c r="C459" s="58"/>
      <c r="D459" s="408">
        <v>1.35</v>
      </c>
      <c r="E459" s="408">
        <v>554.958</v>
      </c>
      <c r="F459" s="409">
        <v>0.93</v>
      </c>
      <c r="G459" s="409">
        <v>382.3044</v>
      </c>
    </row>
    <row r="460" ht="12.75" customHeight="1">
      <c r="A460" s="58"/>
      <c r="B460" s="58"/>
      <c r="C460" s="58"/>
      <c r="D460" s="401">
        <v>0.0</v>
      </c>
      <c r="E460" s="408">
        <v>0.0</v>
      </c>
      <c r="F460" s="59">
        <v>0.0</v>
      </c>
      <c r="G460" s="409">
        <v>0.0</v>
      </c>
    </row>
    <row r="461" ht="12.75" customHeight="1">
      <c r="A461" s="58"/>
      <c r="B461" s="58"/>
      <c r="C461" s="58"/>
      <c r="D461" s="408">
        <v>0.67</v>
      </c>
      <c r="E461" s="408">
        <v>27.001</v>
      </c>
      <c r="F461" s="59">
        <v>0.0</v>
      </c>
      <c r="G461" s="409">
        <v>0.0</v>
      </c>
    </row>
    <row r="462" ht="12.75" customHeight="1">
      <c r="A462" s="58"/>
      <c r="B462" s="58"/>
      <c r="C462" s="58"/>
      <c r="D462" s="408">
        <v>0.67</v>
      </c>
      <c r="E462" s="408">
        <v>194.8494</v>
      </c>
      <c r="F462" s="409">
        <v>0.93</v>
      </c>
      <c r="G462" s="409">
        <v>270.4626</v>
      </c>
    </row>
    <row r="463" ht="12.75" customHeight="1">
      <c r="A463" s="58"/>
      <c r="B463" s="58"/>
      <c r="C463" s="58"/>
      <c r="D463" s="401">
        <v>0.0</v>
      </c>
      <c r="E463" s="408">
        <v>0.0</v>
      </c>
      <c r="F463" s="59">
        <v>0.0</v>
      </c>
      <c r="G463" s="409">
        <v>0.0</v>
      </c>
    </row>
    <row r="464" ht="12.75" customHeight="1">
      <c r="A464" s="58"/>
      <c r="B464" s="58"/>
      <c r="C464" s="58"/>
      <c r="D464" s="401">
        <v>0.0</v>
      </c>
      <c r="E464" s="408">
        <v>0.0</v>
      </c>
      <c r="F464" s="409">
        <v>0.93</v>
      </c>
      <c r="G464" s="409">
        <v>398.5608</v>
      </c>
    </row>
    <row r="465" ht="12.75" customHeight="1">
      <c r="A465" s="58"/>
      <c r="B465" s="58"/>
      <c r="C465" s="58"/>
      <c r="D465" s="408">
        <v>0.67</v>
      </c>
      <c r="E465" s="408">
        <v>536.0</v>
      </c>
      <c r="F465" s="59">
        <v>0.0</v>
      </c>
      <c r="G465" s="409">
        <v>0.0</v>
      </c>
    </row>
    <row r="466" ht="12.75" customHeight="1">
      <c r="A466" s="58"/>
      <c r="B466" s="58"/>
      <c r="C466" s="58"/>
      <c r="D466" s="408">
        <v>3.37</v>
      </c>
      <c r="E466" s="408">
        <v>139.7876</v>
      </c>
      <c r="F466" s="409">
        <v>5.6</v>
      </c>
      <c r="G466" s="409">
        <v>232.288</v>
      </c>
    </row>
    <row r="467" ht="12.75" customHeight="1">
      <c r="A467" s="58"/>
      <c r="B467" s="58"/>
      <c r="C467" s="58"/>
      <c r="D467" s="401">
        <v>0.0</v>
      </c>
      <c r="E467" s="408">
        <v>0.0</v>
      </c>
      <c r="F467" s="59">
        <v>0.0</v>
      </c>
      <c r="G467" s="409">
        <v>0.0</v>
      </c>
    </row>
    <row r="468" ht="12.75" customHeight="1">
      <c r="A468" s="58"/>
      <c r="B468" s="58"/>
      <c r="C468" s="58"/>
      <c r="D468" s="401">
        <v>0.0</v>
      </c>
      <c r="E468" s="408">
        <v>0.0</v>
      </c>
      <c r="F468" s="59">
        <v>0.0</v>
      </c>
      <c r="G468" s="409">
        <v>0.0</v>
      </c>
    </row>
    <row r="469" ht="12.75" customHeight="1">
      <c r="A469" s="58"/>
      <c r="B469" s="58"/>
      <c r="C469" s="58"/>
      <c r="D469" s="408">
        <v>1.35</v>
      </c>
      <c r="E469" s="408">
        <v>49.059</v>
      </c>
      <c r="F469" s="409">
        <v>0.93</v>
      </c>
      <c r="G469" s="409">
        <v>33.7962</v>
      </c>
    </row>
    <row r="470" ht="12.75" customHeight="1">
      <c r="A470" s="58"/>
      <c r="B470" s="58"/>
      <c r="C470" s="58"/>
      <c r="D470" s="408">
        <v>0.0</v>
      </c>
      <c r="E470" s="408">
        <v>0.0</v>
      </c>
      <c r="F470" s="409">
        <v>0.0</v>
      </c>
      <c r="G470" s="409">
        <v>0.0</v>
      </c>
    </row>
    <row r="471" ht="12.75" customHeight="1">
      <c r="A471" s="58"/>
      <c r="B471" s="58"/>
      <c r="C471" s="58"/>
      <c r="D471" s="401">
        <v>0.0</v>
      </c>
      <c r="E471" s="408">
        <v>0.0</v>
      </c>
      <c r="F471" s="59">
        <v>0.0</v>
      </c>
      <c r="G471" s="409">
        <v>0.0</v>
      </c>
    </row>
    <row r="472" ht="12.75" customHeight="1">
      <c r="A472" s="58"/>
      <c r="B472" s="58"/>
      <c r="C472" s="58"/>
      <c r="D472" s="408">
        <v>0.67</v>
      </c>
      <c r="E472" s="408">
        <v>33.1784</v>
      </c>
      <c r="F472" s="409">
        <v>0.93</v>
      </c>
      <c r="G472" s="409">
        <v>46.0536</v>
      </c>
    </row>
    <row r="473" ht="12.75" customHeight="1">
      <c r="A473" s="58"/>
      <c r="B473" s="58"/>
      <c r="C473" s="58"/>
      <c r="D473" s="401">
        <v>0.0</v>
      </c>
      <c r="E473" s="408">
        <v>0.0</v>
      </c>
      <c r="F473" s="59">
        <v>0.0</v>
      </c>
      <c r="G473" s="409">
        <v>0.0</v>
      </c>
    </row>
    <row r="474" ht="12.75" customHeight="1">
      <c r="A474" s="58"/>
      <c r="B474" s="58"/>
      <c r="C474" s="58"/>
      <c r="D474" s="408">
        <v>0.67</v>
      </c>
      <c r="E474" s="408">
        <v>31.557</v>
      </c>
      <c r="F474" s="409">
        <v>0.93</v>
      </c>
      <c r="G474" s="409">
        <v>43.803</v>
      </c>
    </row>
    <row r="475" ht="12.75" customHeight="1">
      <c r="A475" s="58"/>
      <c r="B475" s="58"/>
      <c r="C475" s="58"/>
      <c r="D475" s="408">
        <v>0.67</v>
      </c>
      <c r="E475" s="408">
        <v>48.374</v>
      </c>
      <c r="F475" s="409">
        <v>0.93</v>
      </c>
      <c r="G475" s="409">
        <v>67.146</v>
      </c>
    </row>
    <row r="476" ht="12.75" customHeight="1">
      <c r="A476" s="58"/>
      <c r="B476" s="58"/>
      <c r="C476" s="58"/>
      <c r="D476" s="408">
        <v>0.0</v>
      </c>
      <c r="E476" s="408">
        <v>0.0</v>
      </c>
      <c r="F476" s="409">
        <v>0.0</v>
      </c>
      <c r="G476" s="409">
        <v>0.0</v>
      </c>
    </row>
    <row r="477" ht="12.75" customHeight="1">
      <c r="A477" s="58"/>
      <c r="B477" s="58"/>
      <c r="C477" s="58"/>
      <c r="D477" s="401">
        <v>0.0</v>
      </c>
      <c r="E477" s="408">
        <v>0.0</v>
      </c>
      <c r="F477" s="59">
        <v>0.0</v>
      </c>
      <c r="G477" s="409">
        <v>0.0</v>
      </c>
    </row>
    <row r="478" ht="12.75" customHeight="1">
      <c r="A478" s="58"/>
      <c r="B478" s="58"/>
      <c r="C478" s="58"/>
      <c r="D478" s="408">
        <v>0.67</v>
      </c>
      <c r="E478" s="408">
        <v>267.6784</v>
      </c>
      <c r="F478" s="59">
        <v>0.0</v>
      </c>
      <c r="G478" s="409">
        <v>0.0</v>
      </c>
    </row>
    <row r="479" ht="12.75" customHeight="1">
      <c r="A479" s="58"/>
      <c r="B479" s="58"/>
      <c r="C479" s="58"/>
      <c r="D479" s="401">
        <v>0.0</v>
      </c>
      <c r="E479" s="408">
        <v>0.0</v>
      </c>
      <c r="F479" s="409">
        <v>0.93</v>
      </c>
      <c r="G479" s="409">
        <v>375.813</v>
      </c>
    </row>
    <row r="480" ht="12.75" customHeight="1">
      <c r="A480" s="58"/>
      <c r="B480" s="58"/>
      <c r="C480" s="58"/>
      <c r="D480" s="408">
        <v>0.67</v>
      </c>
      <c r="E480" s="408">
        <v>62.0822</v>
      </c>
      <c r="F480" s="409">
        <v>0.93</v>
      </c>
      <c r="G480" s="409">
        <v>86.1738</v>
      </c>
    </row>
    <row r="481" ht="12.75" customHeight="1">
      <c r="A481" s="58"/>
      <c r="B481" s="58"/>
      <c r="C481" s="58"/>
      <c r="D481" s="408">
        <v>1.35</v>
      </c>
      <c r="E481" s="408">
        <v>24.273</v>
      </c>
      <c r="F481" s="409">
        <v>2.8</v>
      </c>
      <c r="G481" s="409">
        <v>50.344</v>
      </c>
    </row>
    <row r="482" ht="12.75" customHeight="1">
      <c r="A482" s="58"/>
      <c r="B482" s="58"/>
      <c r="C482" s="58"/>
      <c r="D482" s="408">
        <v>0.67</v>
      </c>
      <c r="E482" s="408">
        <v>33.2454</v>
      </c>
      <c r="F482" s="59">
        <v>0.0</v>
      </c>
      <c r="G482" s="409">
        <v>0.0</v>
      </c>
    </row>
    <row r="483" ht="12.75" customHeight="1">
      <c r="A483" s="58"/>
      <c r="B483" s="58"/>
      <c r="C483" s="58"/>
      <c r="D483" s="408">
        <v>1.35</v>
      </c>
      <c r="E483" s="408">
        <v>830.952</v>
      </c>
      <c r="F483" s="409">
        <v>0.93</v>
      </c>
      <c r="G483" s="409">
        <v>572.4336000000001</v>
      </c>
    </row>
    <row r="484" ht="12.75" customHeight="1">
      <c r="A484" s="58"/>
      <c r="B484" s="58"/>
      <c r="C484" s="58"/>
      <c r="D484" s="401">
        <v>0.0</v>
      </c>
      <c r="E484" s="408">
        <v>0.0</v>
      </c>
      <c r="F484" s="59">
        <v>0.0</v>
      </c>
      <c r="G484" s="409">
        <v>0.0</v>
      </c>
    </row>
    <row r="485" ht="12.75" customHeight="1">
      <c r="A485" s="58"/>
      <c r="B485" s="58"/>
      <c r="C485" s="58"/>
      <c r="D485" s="408">
        <v>3.36</v>
      </c>
      <c r="E485" s="408">
        <v>220.8192</v>
      </c>
      <c r="F485" s="409">
        <v>4.67</v>
      </c>
      <c r="G485" s="409">
        <v>306.9124</v>
      </c>
    </row>
    <row r="486" ht="12.75" customHeight="1">
      <c r="A486" s="58"/>
      <c r="B486" s="58"/>
      <c r="C486" s="58"/>
      <c r="D486" s="408">
        <v>2.7</v>
      </c>
      <c r="E486" s="408">
        <v>47.736</v>
      </c>
      <c r="F486" s="409">
        <v>13.1</v>
      </c>
      <c r="G486" s="409">
        <v>231.608</v>
      </c>
    </row>
    <row r="487" ht="12.75" customHeight="1">
      <c r="A487" s="58"/>
      <c r="B487" s="58"/>
      <c r="C487" s="58"/>
      <c r="D487" s="401">
        <v>0.0</v>
      </c>
      <c r="E487" s="408">
        <v>0.0</v>
      </c>
      <c r="F487" s="59">
        <v>0.0</v>
      </c>
      <c r="G487" s="409">
        <v>0.0</v>
      </c>
    </row>
    <row r="488" ht="12.75" customHeight="1">
      <c r="A488" s="58"/>
      <c r="B488" s="58"/>
      <c r="C488" s="58"/>
      <c r="D488" s="401">
        <v>0.0</v>
      </c>
      <c r="E488" s="408">
        <v>0.0</v>
      </c>
      <c r="F488" s="59">
        <v>0.0</v>
      </c>
      <c r="G488" s="409">
        <v>0.0</v>
      </c>
    </row>
    <row r="489" ht="12.75" customHeight="1">
      <c r="A489" s="58"/>
      <c r="B489" s="58"/>
      <c r="C489" s="58"/>
      <c r="D489" s="401">
        <v>0.0</v>
      </c>
      <c r="E489" s="408">
        <v>0.0</v>
      </c>
      <c r="F489" s="409">
        <v>0.93</v>
      </c>
      <c r="G489" s="409">
        <v>157.0584</v>
      </c>
    </row>
    <row r="490" ht="12.75" customHeight="1">
      <c r="A490" s="58"/>
      <c r="B490" s="58"/>
      <c r="C490" s="58"/>
      <c r="D490" s="408">
        <v>1.37</v>
      </c>
      <c r="E490" s="408">
        <v>77.29540000000001</v>
      </c>
      <c r="F490" s="409">
        <v>0.93</v>
      </c>
      <c r="G490" s="409">
        <v>52.4706</v>
      </c>
    </row>
    <row r="491" ht="12.75" customHeight="1">
      <c r="A491" s="58"/>
      <c r="B491" s="58"/>
      <c r="C491" s="58"/>
      <c r="D491" s="408">
        <v>0.67</v>
      </c>
      <c r="E491" s="408">
        <v>95.0596</v>
      </c>
      <c r="F491" s="409">
        <v>0.93</v>
      </c>
      <c r="G491" s="409">
        <v>131.9484</v>
      </c>
    </row>
    <row r="492" ht="12.75" customHeight="1">
      <c r="A492" s="58"/>
      <c r="B492" s="58"/>
      <c r="C492" s="58"/>
      <c r="D492" s="408">
        <v>3.36</v>
      </c>
      <c r="E492" s="408">
        <v>83.3952</v>
      </c>
      <c r="F492" s="409">
        <v>2.8</v>
      </c>
      <c r="G492" s="409">
        <v>69.496</v>
      </c>
    </row>
    <row r="493" ht="12.75" customHeight="1">
      <c r="A493" s="58"/>
      <c r="B493" s="58"/>
      <c r="C493" s="58"/>
      <c r="D493" s="408">
        <v>2.02</v>
      </c>
      <c r="E493" s="408">
        <v>779.9624</v>
      </c>
      <c r="F493" s="409">
        <v>2.8</v>
      </c>
      <c r="G493" s="409">
        <v>1081.136</v>
      </c>
    </row>
    <row r="494" ht="12.75" customHeight="1">
      <c r="A494" s="58"/>
      <c r="B494" s="58"/>
      <c r="C494" s="58"/>
      <c r="D494" s="408">
        <v>1.35</v>
      </c>
      <c r="E494" s="408">
        <v>98.469</v>
      </c>
      <c r="F494" s="409">
        <v>1.87</v>
      </c>
      <c r="G494" s="409">
        <v>136.3978</v>
      </c>
    </row>
    <row r="495" ht="12.75" customHeight="1">
      <c r="A495" s="58"/>
      <c r="B495" s="58"/>
      <c r="C495" s="58"/>
      <c r="D495" s="401">
        <v>0.0</v>
      </c>
      <c r="E495" s="408">
        <v>0.0</v>
      </c>
      <c r="F495" s="59">
        <v>0.0</v>
      </c>
      <c r="G495" s="409">
        <v>0.0</v>
      </c>
    </row>
    <row r="496" ht="12.75" customHeight="1">
      <c r="A496" s="58"/>
      <c r="B496" s="58"/>
      <c r="C496" s="58"/>
      <c r="D496" s="401">
        <v>0.0</v>
      </c>
      <c r="E496" s="408">
        <v>0.0</v>
      </c>
      <c r="F496" s="59">
        <v>0.0</v>
      </c>
      <c r="G496" s="409">
        <v>0.0</v>
      </c>
    </row>
    <row r="497" ht="12.75" customHeight="1">
      <c r="A497" s="58"/>
      <c r="B497" s="58"/>
      <c r="C497" s="58"/>
      <c r="D497" s="408">
        <v>0.67</v>
      </c>
      <c r="E497" s="408">
        <v>59.56300000000001</v>
      </c>
      <c r="F497" s="409">
        <v>0.93</v>
      </c>
      <c r="G497" s="409">
        <v>82.677</v>
      </c>
    </row>
    <row r="498" ht="12.75" customHeight="1">
      <c r="A498" s="58"/>
      <c r="B498" s="58"/>
      <c r="C498" s="58"/>
      <c r="D498" s="401">
        <v>0.0</v>
      </c>
      <c r="E498" s="408">
        <v>0.0</v>
      </c>
      <c r="F498" s="59">
        <v>0.0</v>
      </c>
      <c r="G498" s="409">
        <v>0.0</v>
      </c>
    </row>
    <row r="499" ht="12.75" customHeight="1">
      <c r="A499" s="58"/>
      <c r="B499" s="58"/>
      <c r="C499" s="58"/>
      <c r="D499" s="401">
        <v>0.0</v>
      </c>
      <c r="E499" s="408">
        <v>0.0</v>
      </c>
      <c r="F499" s="409">
        <v>0.93</v>
      </c>
      <c r="G499" s="409">
        <v>116.8638</v>
      </c>
    </row>
    <row r="500" ht="12.75" customHeight="1">
      <c r="A500" s="58"/>
      <c r="B500" s="58"/>
      <c r="C500" s="58"/>
      <c r="D500" s="401">
        <v>0.0</v>
      </c>
      <c r="E500" s="408">
        <v>0.0</v>
      </c>
      <c r="F500" s="409">
        <v>1.87</v>
      </c>
      <c r="G500" s="409">
        <v>76.9692</v>
      </c>
    </row>
    <row r="501" ht="12.75" customHeight="1">
      <c r="A501" s="58"/>
      <c r="B501" s="58"/>
      <c r="C501" s="58"/>
      <c r="D501" s="408">
        <v>1.35</v>
      </c>
      <c r="E501" s="408">
        <v>42.066</v>
      </c>
      <c r="F501" s="409">
        <v>3.736</v>
      </c>
      <c r="G501" s="409">
        <v>116.41376</v>
      </c>
    </row>
    <row r="502" ht="12.75" customHeight="1">
      <c r="A502" s="58"/>
      <c r="B502" s="58"/>
      <c r="C502" s="58"/>
      <c r="D502" s="408">
        <v>1.35</v>
      </c>
      <c r="E502" s="408">
        <v>53.352000000000004</v>
      </c>
      <c r="F502" s="409">
        <v>1.87</v>
      </c>
      <c r="G502" s="409">
        <v>73.90240000000001</v>
      </c>
    </row>
    <row r="503" ht="12.75" customHeight="1">
      <c r="A503" s="58"/>
      <c r="B503" s="58"/>
      <c r="C503" s="58"/>
      <c r="D503" s="401">
        <v>0.0</v>
      </c>
      <c r="E503" s="408">
        <v>0.0</v>
      </c>
      <c r="F503" s="59">
        <v>0.0</v>
      </c>
      <c r="G503" s="409">
        <v>0.0</v>
      </c>
    </row>
    <row r="504" ht="12.75" customHeight="1">
      <c r="A504" s="58"/>
      <c r="B504" s="58"/>
      <c r="C504" s="58"/>
      <c r="D504" s="401">
        <v>0.0</v>
      </c>
      <c r="E504" s="408">
        <v>0.0</v>
      </c>
      <c r="F504" s="59">
        <v>0.0</v>
      </c>
      <c r="G504" s="409">
        <v>0.0</v>
      </c>
    </row>
    <row r="505" ht="12.75" customHeight="1">
      <c r="A505" s="58"/>
      <c r="B505" s="58"/>
      <c r="C505" s="58"/>
      <c r="D505" s="408">
        <v>1.35</v>
      </c>
      <c r="E505" s="408">
        <v>308.826</v>
      </c>
      <c r="F505" s="409">
        <v>1.87</v>
      </c>
      <c r="G505" s="409">
        <v>427.7812</v>
      </c>
    </row>
    <row r="506" ht="12.75" customHeight="1">
      <c r="A506" s="58"/>
      <c r="B506" s="58"/>
      <c r="C506" s="58"/>
      <c r="D506" s="401">
        <v>0.0</v>
      </c>
      <c r="E506" s="408">
        <v>0.0</v>
      </c>
      <c r="F506" s="59">
        <v>0.0</v>
      </c>
      <c r="G506" s="409">
        <v>0.0</v>
      </c>
    </row>
    <row r="507" ht="12.75" customHeight="1">
      <c r="A507" s="58"/>
      <c r="B507" s="58"/>
      <c r="C507" s="58"/>
      <c r="D507" s="408">
        <v>6.73</v>
      </c>
      <c r="E507" s="408">
        <v>182.6522</v>
      </c>
      <c r="F507" s="409">
        <v>7.74</v>
      </c>
      <c r="G507" s="409">
        <v>210.0636</v>
      </c>
    </row>
    <row r="508" ht="12.75" customHeight="1">
      <c r="A508" s="58"/>
      <c r="B508" s="58"/>
      <c r="C508" s="58"/>
      <c r="D508" s="401">
        <v>0.0</v>
      </c>
      <c r="E508" s="408">
        <v>0.0</v>
      </c>
      <c r="F508" s="59">
        <v>0.0</v>
      </c>
      <c r="G508" s="409">
        <v>0.0</v>
      </c>
    </row>
    <row r="509" ht="12.75" customHeight="1">
      <c r="A509" s="58"/>
      <c r="B509" s="58"/>
      <c r="C509" s="58"/>
      <c r="D509" s="408">
        <v>0.67</v>
      </c>
      <c r="E509" s="408">
        <v>14.003</v>
      </c>
      <c r="F509" s="409">
        <v>0.93</v>
      </c>
      <c r="G509" s="409">
        <v>19.437</v>
      </c>
    </row>
    <row r="510" ht="12.75" customHeight="1">
      <c r="A510" s="58"/>
      <c r="B510" s="58"/>
      <c r="C510" s="58"/>
      <c r="D510" s="408">
        <v>0.67</v>
      </c>
      <c r="E510" s="408">
        <v>47.302</v>
      </c>
      <c r="F510" s="409">
        <v>0.93</v>
      </c>
      <c r="G510" s="409">
        <v>65.658</v>
      </c>
    </row>
    <row r="511" ht="12.75" customHeight="1">
      <c r="A511" s="58"/>
      <c r="B511" s="58"/>
      <c r="C511" s="58"/>
      <c r="D511" s="408">
        <v>0.67</v>
      </c>
      <c r="E511" s="408">
        <v>655.3404</v>
      </c>
      <c r="F511" s="409">
        <v>0.93</v>
      </c>
      <c r="G511" s="409">
        <v>909.6516</v>
      </c>
    </row>
    <row r="512" ht="12.75" customHeight="1">
      <c r="A512" s="58"/>
      <c r="B512" s="58"/>
      <c r="C512" s="58"/>
      <c r="D512" s="408">
        <v>0.0</v>
      </c>
      <c r="E512" s="408">
        <v>0.0</v>
      </c>
      <c r="F512" s="409">
        <v>0.0</v>
      </c>
      <c r="G512" s="409">
        <v>0.0</v>
      </c>
    </row>
    <row r="513" ht="12.75" customHeight="1">
      <c r="A513" s="58"/>
      <c r="B513" s="58"/>
      <c r="C513" s="58"/>
      <c r="D513" s="408">
        <v>0.67</v>
      </c>
      <c r="E513" s="408">
        <v>415.1588</v>
      </c>
      <c r="F513" s="59">
        <v>0.0</v>
      </c>
      <c r="G513" s="409">
        <v>0.0</v>
      </c>
    </row>
    <row r="514" ht="12.75" customHeight="1">
      <c r="A514" s="58"/>
      <c r="B514" s="58"/>
      <c r="C514" s="58"/>
      <c r="D514" s="408">
        <v>1.0</v>
      </c>
      <c r="E514" s="408">
        <v>415.92</v>
      </c>
      <c r="F514" s="409">
        <v>1.0</v>
      </c>
      <c r="G514" s="409">
        <v>415.92</v>
      </c>
    </row>
    <row r="515" ht="12.75" customHeight="1">
      <c r="A515" s="58"/>
      <c r="B515" s="58"/>
      <c r="C515" s="58"/>
      <c r="D515" s="401">
        <v>0.0</v>
      </c>
      <c r="E515" s="408">
        <v>0.0</v>
      </c>
      <c r="F515" s="409">
        <v>0.93</v>
      </c>
      <c r="G515" s="409">
        <v>82.08180000000002</v>
      </c>
    </row>
    <row r="516" ht="12.75" customHeight="1">
      <c r="A516" s="58"/>
      <c r="B516" s="58"/>
      <c r="C516" s="58"/>
      <c r="D516" s="401">
        <v>0.0</v>
      </c>
      <c r="E516" s="408">
        <v>0.0</v>
      </c>
      <c r="F516" s="59">
        <v>0.0</v>
      </c>
      <c r="G516" s="409">
        <v>0.0</v>
      </c>
    </row>
    <row r="517" ht="12.75" customHeight="1">
      <c r="A517" s="58"/>
      <c r="B517" s="58"/>
      <c r="C517" s="58"/>
      <c r="D517" s="401">
        <v>0.0</v>
      </c>
      <c r="E517" s="408">
        <v>0.0</v>
      </c>
      <c r="F517" s="59">
        <v>0.0</v>
      </c>
      <c r="G517" s="409">
        <v>0.0</v>
      </c>
    </row>
    <row r="518" ht="12.75" customHeight="1">
      <c r="A518" s="58"/>
      <c r="B518" s="58"/>
      <c r="C518" s="58"/>
      <c r="D518" s="401">
        <v>0.0</v>
      </c>
      <c r="E518" s="408">
        <v>0.0</v>
      </c>
      <c r="F518" s="409">
        <v>0.93</v>
      </c>
      <c r="G518" s="409">
        <v>120.6954</v>
      </c>
    </row>
    <row r="519" ht="12.75" customHeight="1">
      <c r="A519" s="58"/>
      <c r="B519" s="58"/>
      <c r="C519" s="58"/>
      <c r="D519" s="401">
        <v>0.0</v>
      </c>
      <c r="E519" s="408">
        <v>0.0</v>
      </c>
      <c r="F519" s="59">
        <v>0.0</v>
      </c>
      <c r="G519" s="409">
        <v>0.0</v>
      </c>
    </row>
    <row r="520" ht="12.75" customHeight="1">
      <c r="A520" s="58"/>
      <c r="B520" s="58"/>
      <c r="C520" s="58"/>
      <c r="D520" s="401">
        <v>0.0</v>
      </c>
      <c r="E520" s="408">
        <v>0.0</v>
      </c>
      <c r="F520" s="59">
        <v>0.0</v>
      </c>
      <c r="G520" s="409">
        <v>0.0</v>
      </c>
    </row>
    <row r="521" ht="12.75" customHeight="1">
      <c r="A521" s="126"/>
      <c r="B521" s="126"/>
      <c r="C521" s="126"/>
      <c r="D521" s="401">
        <v>0.0</v>
      </c>
      <c r="E521" s="408">
        <v>0.0</v>
      </c>
      <c r="F521" s="59">
        <v>0.0</v>
      </c>
      <c r="G521" s="409">
        <v>0.0</v>
      </c>
    </row>
    <row r="522" ht="12.75" customHeight="1">
      <c r="A522" s="58"/>
      <c r="B522" s="58"/>
      <c r="C522" s="58"/>
      <c r="D522" s="408">
        <v>0.67</v>
      </c>
      <c r="E522" s="408">
        <v>261.6752</v>
      </c>
      <c r="F522" s="59">
        <v>0.0</v>
      </c>
      <c r="G522" s="409">
        <v>0.0</v>
      </c>
    </row>
    <row r="523" ht="12.75" customHeight="1">
      <c r="A523" s="58"/>
      <c r="B523" s="58"/>
      <c r="C523" s="58"/>
      <c r="D523" s="408">
        <v>4.71</v>
      </c>
      <c r="E523" s="408">
        <v>47.571</v>
      </c>
      <c r="F523" s="409">
        <v>8.4</v>
      </c>
      <c r="G523" s="409">
        <v>84.84</v>
      </c>
    </row>
    <row r="524" ht="12.75" customHeight="1">
      <c r="A524" s="58"/>
      <c r="B524" s="58"/>
      <c r="C524" s="58"/>
      <c r="D524" s="408">
        <v>1.35</v>
      </c>
      <c r="E524" s="408">
        <v>164.97</v>
      </c>
      <c r="F524" s="409">
        <v>0.93</v>
      </c>
      <c r="G524" s="409">
        <v>113.646</v>
      </c>
    </row>
    <row r="525" ht="12.75" customHeight="1">
      <c r="A525" s="58"/>
      <c r="B525" s="58"/>
      <c r="C525" s="58"/>
      <c r="D525" s="408">
        <v>2.02</v>
      </c>
      <c r="E525" s="408">
        <v>44.0764</v>
      </c>
      <c r="F525" s="409">
        <v>3.74</v>
      </c>
      <c r="G525" s="409">
        <v>81.6068</v>
      </c>
    </row>
    <row r="526" ht="12.75" customHeight="1">
      <c r="A526" s="58"/>
      <c r="B526" s="58"/>
      <c r="C526" s="58"/>
      <c r="D526" s="408">
        <v>0.67</v>
      </c>
      <c r="E526" s="408">
        <v>233.6558</v>
      </c>
      <c r="F526" s="59">
        <v>0.0</v>
      </c>
      <c r="G526" s="409">
        <v>0.0</v>
      </c>
    </row>
    <row r="527" ht="12.75" customHeight="1">
      <c r="A527" s="58"/>
      <c r="B527" s="58"/>
      <c r="C527" s="58"/>
      <c r="D527" s="408">
        <v>0.67</v>
      </c>
      <c r="E527" s="408">
        <v>138.9312</v>
      </c>
      <c r="F527" s="409">
        <v>0.93</v>
      </c>
      <c r="G527" s="409">
        <v>192.8448</v>
      </c>
    </row>
    <row r="528" ht="12.75" customHeight="1">
      <c r="A528" s="58"/>
      <c r="B528" s="58"/>
      <c r="C528" s="58"/>
      <c r="D528" s="401">
        <v>0.0</v>
      </c>
      <c r="E528" s="408">
        <v>0.0</v>
      </c>
      <c r="F528" s="59">
        <v>0.0</v>
      </c>
      <c r="G528" s="409">
        <v>0.0</v>
      </c>
    </row>
    <row r="529" ht="12.75" customHeight="1">
      <c r="A529" s="58"/>
      <c r="B529" s="58"/>
      <c r="C529" s="58"/>
      <c r="D529" s="408">
        <v>0.67</v>
      </c>
      <c r="E529" s="408">
        <v>518.513</v>
      </c>
      <c r="F529" s="59">
        <v>0.0</v>
      </c>
      <c r="G529" s="409">
        <v>0.0</v>
      </c>
    </row>
    <row r="530" ht="12.75" customHeight="1">
      <c r="A530" s="58"/>
      <c r="B530" s="58"/>
      <c r="C530" s="58"/>
      <c r="D530" s="408">
        <v>0.67</v>
      </c>
      <c r="E530" s="408">
        <v>107.0258</v>
      </c>
      <c r="F530" s="409">
        <v>1.87</v>
      </c>
      <c r="G530" s="409">
        <v>298.7138</v>
      </c>
    </row>
    <row r="531" ht="12.75" customHeight="1">
      <c r="A531" s="58"/>
      <c r="B531" s="58"/>
      <c r="C531" s="58"/>
      <c r="D531" s="401">
        <v>0.0</v>
      </c>
      <c r="E531" s="408">
        <v>0.0</v>
      </c>
      <c r="F531" s="59">
        <v>0.0</v>
      </c>
      <c r="G531" s="409">
        <v>0.0</v>
      </c>
    </row>
    <row r="532" ht="12.75" customHeight="1">
      <c r="A532" s="58"/>
      <c r="B532" s="58"/>
      <c r="C532" s="58"/>
      <c r="D532" s="401">
        <v>0.0</v>
      </c>
      <c r="E532" s="408">
        <v>0.0</v>
      </c>
      <c r="F532" s="59">
        <v>0.0</v>
      </c>
      <c r="G532" s="409">
        <v>0.0</v>
      </c>
    </row>
    <row r="533" ht="12.75" customHeight="1">
      <c r="A533" s="58"/>
      <c r="B533" s="58"/>
      <c r="C533" s="58"/>
      <c r="D533" s="401">
        <v>0.0</v>
      </c>
      <c r="E533" s="408">
        <v>0.0</v>
      </c>
      <c r="F533" s="409">
        <v>0.93</v>
      </c>
      <c r="G533" s="409">
        <v>54.6654</v>
      </c>
    </row>
    <row r="534" ht="12.75" customHeight="1">
      <c r="A534" s="58"/>
      <c r="B534" s="58"/>
      <c r="C534" s="58"/>
      <c r="D534" s="401">
        <v>0.0</v>
      </c>
      <c r="E534" s="408">
        <v>0.0</v>
      </c>
      <c r="F534" s="409">
        <v>0.0</v>
      </c>
      <c r="G534" s="409">
        <v>0.0</v>
      </c>
    </row>
    <row r="535" ht="12.75" customHeight="1">
      <c r="A535" s="58"/>
      <c r="B535" s="58"/>
      <c r="C535" s="58"/>
      <c r="F535" s="58"/>
      <c r="G535" s="58"/>
    </row>
    <row r="536" ht="12.75" customHeight="1">
      <c r="A536" s="115">
        <v>0.0</v>
      </c>
      <c r="B536" s="115">
        <v>2502296.0</v>
      </c>
      <c r="C536" s="115">
        <v>2068473.0</v>
      </c>
      <c r="D536" s="115">
        <v>1852971.0</v>
      </c>
      <c r="E536" s="115">
        <v>7377017.4265</v>
      </c>
      <c r="F536" s="115">
        <v>2325080.0</v>
      </c>
      <c r="G536" s="115">
        <v>7903813.1255</v>
      </c>
    </row>
    <row r="537" ht="12.75" customHeight="1">
      <c r="A537" s="412">
        <v>21.0</v>
      </c>
      <c r="B537" s="412">
        <v>21.0</v>
      </c>
      <c r="C537" s="412">
        <v>21.0</v>
      </c>
      <c r="D537" s="412">
        <v>21.0</v>
      </c>
      <c r="E537" s="412"/>
      <c r="F537" s="412">
        <v>21.0</v>
      </c>
      <c r="G537" s="412"/>
    </row>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C128:D128"/>
    <mergeCell ref="D129:E129"/>
    <mergeCell ref="D130:E130"/>
  </mergeCells>
  <printOptions/>
  <pageMargins bottom="0.75" footer="0.0" header="0.0" left="0.7" right="0.7" top="0.75"/>
  <pageSetup orientation="landscape"/>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2.5"/>
    <col customWidth="1" min="3" max="4" width="13.5"/>
    <col customWidth="1" min="5" max="5" width="13.38"/>
    <col customWidth="1" min="6" max="6" width="13.5"/>
    <col customWidth="1" min="7" max="9" width="12.0"/>
    <col customWidth="1" min="10" max="13" width="11.5"/>
    <col customWidth="1" min="14" max="26" width="10.0"/>
  </cols>
  <sheetData>
    <row r="1" ht="12.75" customHeight="1"/>
    <row r="2" ht="15.75" customHeight="1">
      <c r="A2" s="484" t="s">
        <v>1633</v>
      </c>
      <c r="D2" s="64"/>
      <c r="E2" s="54"/>
      <c r="F2" s="25"/>
      <c r="G2" s="25"/>
      <c r="H2" s="25"/>
      <c r="I2" s="25"/>
    </row>
    <row r="3" ht="12.75" customHeight="1">
      <c r="B3" s="485"/>
      <c r="C3" s="237"/>
      <c r="D3" s="101"/>
      <c r="E3" s="101"/>
      <c r="F3" s="101"/>
      <c r="G3" s="101"/>
      <c r="H3" s="101"/>
      <c r="I3" s="101"/>
    </row>
    <row r="4" ht="12.75" customHeight="1">
      <c r="A4" s="94" t="s">
        <v>105</v>
      </c>
      <c r="B4" s="94" t="s">
        <v>131</v>
      </c>
      <c r="C4" s="96" t="s">
        <v>57</v>
      </c>
      <c r="D4" s="96" t="s">
        <v>58</v>
      </c>
      <c r="E4" s="96" t="s">
        <v>59</v>
      </c>
      <c r="F4" s="96" t="s">
        <v>60</v>
      </c>
      <c r="G4" s="96" t="s">
        <v>61</v>
      </c>
      <c r="H4" s="96" t="s">
        <v>62</v>
      </c>
      <c r="I4" s="96" t="s">
        <v>63</v>
      </c>
    </row>
    <row r="5" ht="12.75" customHeight="1">
      <c r="A5" s="56" t="s">
        <v>1634</v>
      </c>
      <c r="B5" s="56" t="s">
        <v>1635</v>
      </c>
      <c r="C5" s="97">
        <v>23876.4</v>
      </c>
      <c r="D5" s="97">
        <v>25145.3</v>
      </c>
      <c r="E5" s="97">
        <v>22365.6</v>
      </c>
      <c r="F5" s="97">
        <v>14040.5</v>
      </c>
      <c r="G5" s="97">
        <v>11272.0</v>
      </c>
      <c r="H5" s="97">
        <v>11404.6</v>
      </c>
      <c r="I5" s="97">
        <v>6488.9</v>
      </c>
    </row>
    <row r="6" ht="12.75" customHeight="1">
      <c r="A6" s="56" t="s">
        <v>1634</v>
      </c>
      <c r="B6" s="56" t="s">
        <v>1636</v>
      </c>
      <c r="C6" s="97">
        <v>2003.4</v>
      </c>
      <c r="D6" s="97">
        <v>1843.6</v>
      </c>
      <c r="E6" s="97">
        <v>1813.3</v>
      </c>
      <c r="F6" s="97">
        <v>1538.1</v>
      </c>
      <c r="G6" s="97">
        <v>1922.7</v>
      </c>
      <c r="H6" s="97">
        <v>1625.3</v>
      </c>
      <c r="I6" s="97">
        <v>1895.6</v>
      </c>
    </row>
    <row r="7" ht="12.75" customHeight="1">
      <c r="A7" s="56" t="s">
        <v>1634</v>
      </c>
      <c r="B7" s="56" t="s">
        <v>134</v>
      </c>
      <c r="C7" s="97">
        <v>711.8668799999999</v>
      </c>
      <c r="D7" s="97">
        <v>655.2104800000001</v>
      </c>
      <c r="E7" s="97">
        <v>643.2352400000001</v>
      </c>
      <c r="F7" s="97">
        <v>591.4105200000001</v>
      </c>
      <c r="G7" s="97">
        <v>652.8986</v>
      </c>
      <c r="H7" s="97">
        <v>659.3382</v>
      </c>
      <c r="I7" s="97">
        <v>611.03328</v>
      </c>
    </row>
    <row r="8" ht="12.75" customHeight="1">
      <c r="C8" s="97"/>
      <c r="D8" s="97"/>
      <c r="E8" s="97"/>
      <c r="F8" s="97"/>
      <c r="G8" s="97"/>
      <c r="H8" s="97"/>
      <c r="I8" s="97"/>
    </row>
    <row r="9" ht="12.75" customHeight="1">
      <c r="A9" s="56" t="s">
        <v>1637</v>
      </c>
      <c r="B9" s="56" t="s">
        <v>1638</v>
      </c>
      <c r="C9" s="97">
        <v>242.9</v>
      </c>
      <c r="D9" s="97">
        <v>253.7</v>
      </c>
      <c r="E9" s="97">
        <v>241.9</v>
      </c>
      <c r="F9" s="97">
        <v>202.2</v>
      </c>
      <c r="G9" s="97">
        <v>229.6</v>
      </c>
      <c r="H9" s="97">
        <v>215.8</v>
      </c>
      <c r="I9" s="97">
        <v>240.2</v>
      </c>
    </row>
    <row r="10" ht="12.75" customHeight="1">
      <c r="A10" s="56" t="s">
        <v>1637</v>
      </c>
      <c r="B10" s="56" t="s">
        <v>139</v>
      </c>
      <c r="C10" s="97">
        <v>123.2</v>
      </c>
      <c r="D10" s="97">
        <v>138.8</v>
      </c>
      <c r="E10" s="97">
        <v>184.7</v>
      </c>
      <c r="F10" s="97">
        <v>136.2</v>
      </c>
      <c r="G10" s="97">
        <v>181.1</v>
      </c>
      <c r="H10" s="97">
        <v>141.3</v>
      </c>
      <c r="I10" s="97">
        <v>129.9</v>
      </c>
    </row>
    <row r="11" ht="12.75" customHeight="1">
      <c r="C11" s="97"/>
      <c r="D11" s="97"/>
      <c r="E11" s="97"/>
      <c r="F11" s="97"/>
      <c r="G11" s="97"/>
      <c r="H11" s="97"/>
      <c r="I11" s="97"/>
    </row>
    <row r="12" ht="12.75" customHeight="1">
      <c r="A12" s="56" t="s">
        <v>1639</v>
      </c>
      <c r="B12" s="56" t="s">
        <v>1640</v>
      </c>
      <c r="C12" s="97">
        <v>634.8000000000001</v>
      </c>
      <c r="D12" s="97">
        <v>980.3000000000001</v>
      </c>
      <c r="E12" s="97">
        <v>904.6</v>
      </c>
      <c r="F12" s="97">
        <v>177.20000000000002</v>
      </c>
      <c r="G12" s="97">
        <v>510.59999999999997</v>
      </c>
      <c r="H12" s="97">
        <v>436.20000000000005</v>
      </c>
      <c r="I12" s="97">
        <v>863.6999999999999</v>
      </c>
    </row>
    <row r="13" ht="12.75" customHeight="1">
      <c r="C13" s="97"/>
      <c r="D13" s="97"/>
      <c r="E13" s="97"/>
      <c r="F13" s="97"/>
      <c r="G13" s="97"/>
      <c r="H13" s="97"/>
      <c r="I13" s="97"/>
    </row>
    <row r="14" ht="12.75" customHeight="1">
      <c r="A14" s="56" t="s">
        <v>1641</v>
      </c>
      <c r="B14" s="56" t="s">
        <v>1642</v>
      </c>
    </row>
    <row r="15" ht="12.75" customHeight="1">
      <c r="B15" s="56" t="s">
        <v>1643</v>
      </c>
      <c r="C15" s="97">
        <v>684.4</v>
      </c>
      <c r="D15" s="97">
        <v>1215.2</v>
      </c>
      <c r="E15" s="97">
        <v>1379.3</v>
      </c>
      <c r="F15" s="97">
        <v>1745.2</v>
      </c>
      <c r="G15" s="97">
        <v>1377.7</v>
      </c>
      <c r="H15" s="97">
        <v>1906.6</v>
      </c>
      <c r="I15" s="97">
        <v>1904.6</v>
      </c>
    </row>
    <row r="16" ht="12.75" customHeight="1">
      <c r="B16" s="56" t="s">
        <v>1644</v>
      </c>
      <c r="C16" s="97">
        <v>20.6</v>
      </c>
      <c r="D16" s="97">
        <v>20.3</v>
      </c>
      <c r="E16" s="97">
        <v>16.6</v>
      </c>
      <c r="F16" s="97">
        <v>16.8</v>
      </c>
      <c r="G16" s="97">
        <v>17.8</v>
      </c>
      <c r="H16" s="97">
        <v>28.1</v>
      </c>
      <c r="I16" s="97">
        <v>25.5</v>
      </c>
    </row>
    <row r="17" ht="12.75" customHeight="1">
      <c r="B17" s="56" t="s">
        <v>1645</v>
      </c>
      <c r="C17" s="97">
        <v>68.2</v>
      </c>
      <c r="D17" s="97">
        <v>68.9</v>
      </c>
      <c r="E17" s="97">
        <v>64.6</v>
      </c>
      <c r="F17" s="97">
        <v>74.3</v>
      </c>
      <c r="G17" s="97">
        <v>90.4</v>
      </c>
      <c r="H17" s="97">
        <v>113.5</v>
      </c>
      <c r="I17" s="97">
        <v>112.5</v>
      </c>
    </row>
    <row r="18" ht="12.75" customHeight="1">
      <c r="B18" s="56" t="s">
        <v>1646</v>
      </c>
      <c r="C18" s="97">
        <v>1349.0</v>
      </c>
      <c r="D18" s="97">
        <v>1422.5</v>
      </c>
      <c r="E18" s="97">
        <v>1108.6</v>
      </c>
      <c r="F18" s="97">
        <v>1121.6</v>
      </c>
      <c r="G18" s="97">
        <v>1785.1</v>
      </c>
      <c r="H18" s="97">
        <v>2056.1</v>
      </c>
      <c r="I18" s="97">
        <v>2345.6</v>
      </c>
    </row>
    <row r="19" ht="12.75" customHeight="1">
      <c r="B19" s="101" t="s">
        <v>1647</v>
      </c>
      <c r="C19" s="268">
        <v>25.1</v>
      </c>
      <c r="D19" s="268">
        <v>24.5</v>
      </c>
      <c r="E19" s="268">
        <v>22.2</v>
      </c>
      <c r="F19" s="268">
        <v>31.7</v>
      </c>
      <c r="G19" s="268">
        <v>18.8</v>
      </c>
      <c r="H19" s="268">
        <v>43.8</v>
      </c>
      <c r="I19" s="268">
        <v>38.2</v>
      </c>
    </row>
    <row r="20" ht="12.75" customHeight="1">
      <c r="B20" s="56" t="s">
        <v>1648</v>
      </c>
      <c r="C20" s="97">
        <v>2147.2999999999997</v>
      </c>
      <c r="D20" s="97">
        <v>2751.4</v>
      </c>
      <c r="E20" s="97">
        <v>2591.2999999999993</v>
      </c>
      <c r="F20" s="97">
        <v>2989.5999999999995</v>
      </c>
      <c r="G20" s="97">
        <v>3289.8</v>
      </c>
      <c r="H20" s="97">
        <v>4148.099999999999</v>
      </c>
      <c r="I20" s="97">
        <v>4426.4</v>
      </c>
    </row>
    <row r="21" ht="12.75" customHeight="1"/>
    <row r="22" ht="12.75" customHeight="1">
      <c r="A22" s="56" t="s">
        <v>1649</v>
      </c>
      <c r="B22" s="56" t="s">
        <v>1650</v>
      </c>
      <c r="C22" s="97">
        <v>137.27043548902842</v>
      </c>
      <c r="D22" s="97">
        <v>284.67057534634006</v>
      </c>
      <c r="E22" s="97">
        <v>199.17484639324874</v>
      </c>
      <c r="F22" s="97">
        <v>149.26323548733</v>
      </c>
      <c r="G22" s="97">
        <v>204.49528488410624</v>
      </c>
      <c r="H22" s="97">
        <v>183.17696987528103</v>
      </c>
      <c r="I22" s="97">
        <v>152.86959774007164</v>
      </c>
    </row>
    <row r="23" ht="12.75" customHeight="1">
      <c r="C23" s="97"/>
      <c r="D23" s="97"/>
      <c r="E23" s="97"/>
      <c r="F23" s="97"/>
      <c r="G23" s="97"/>
      <c r="H23" s="97"/>
      <c r="I23" s="97"/>
    </row>
    <row r="24" ht="12.75" customHeight="1">
      <c r="B24" s="56" t="s">
        <v>115</v>
      </c>
      <c r="C24" s="97">
        <v>864.59</v>
      </c>
      <c r="D24" s="97">
        <v>595.12</v>
      </c>
      <c r="E24" s="97">
        <v>660.09</v>
      </c>
      <c r="F24" s="97">
        <v>539.6</v>
      </c>
      <c r="G24" s="97">
        <v>551.48</v>
      </c>
      <c r="H24" s="97">
        <v>540.0</v>
      </c>
      <c r="I24" s="97">
        <v>550.0</v>
      </c>
    </row>
    <row r="25" ht="12.75" customHeight="1">
      <c r="B25" s="101"/>
      <c r="C25" s="268"/>
      <c r="D25" s="268"/>
      <c r="E25" s="268"/>
      <c r="F25" s="268"/>
      <c r="G25" s="268"/>
      <c r="H25" s="268"/>
      <c r="I25" s="268"/>
    </row>
    <row r="26" ht="12.75" customHeight="1">
      <c r="B26" s="47" t="s">
        <v>103</v>
      </c>
      <c r="C26" s="235">
        <v>29012.547315489035</v>
      </c>
      <c r="D26" s="235">
        <v>31457.86105534634</v>
      </c>
      <c r="E26" s="235">
        <v>28283.72008639325</v>
      </c>
      <c r="F26" s="235">
        <v>19284.873755487333</v>
      </c>
      <c r="G26" s="235">
        <v>17711.71388488411</v>
      </c>
      <c r="H26" s="235">
        <v>18273.815169875277</v>
      </c>
      <c r="I26" s="235">
        <v>14259.0</v>
      </c>
      <c r="J26" s="97"/>
    </row>
    <row r="27" ht="12.75" customHeight="1">
      <c r="B27" s="47"/>
      <c r="C27" s="235"/>
      <c r="D27" s="235"/>
      <c r="E27" s="235"/>
      <c r="F27" s="235"/>
      <c r="G27" s="235"/>
      <c r="H27" s="235"/>
      <c r="I27" s="235"/>
      <c r="J27" s="97"/>
    </row>
    <row r="28" ht="12.75" customHeight="1">
      <c r="B28" s="47"/>
      <c r="C28" s="235"/>
      <c r="D28" s="235"/>
      <c r="E28" s="235"/>
      <c r="F28" s="235"/>
      <c r="G28" s="235"/>
      <c r="H28" s="235"/>
      <c r="I28" s="235"/>
      <c r="J28" s="97"/>
    </row>
    <row r="29" ht="12.75" customHeight="1"/>
    <row r="30" ht="15.75" customHeight="1">
      <c r="A30" s="365" t="s">
        <v>1651</v>
      </c>
      <c r="C30" s="65"/>
      <c r="D30" s="64"/>
      <c r="E30" s="54"/>
      <c r="F30" s="25"/>
      <c r="G30" s="25"/>
      <c r="H30" s="25"/>
      <c r="I30" s="25"/>
    </row>
    <row r="31" ht="12.75" customHeight="1">
      <c r="A31" s="47" t="s">
        <v>1652</v>
      </c>
      <c r="C31" s="67" t="s">
        <v>57</v>
      </c>
      <c r="D31" s="67" t="s">
        <v>58</v>
      </c>
      <c r="E31" s="67" t="s">
        <v>59</v>
      </c>
      <c r="F31" s="67" t="s">
        <v>60</v>
      </c>
      <c r="G31" s="67" t="s">
        <v>61</v>
      </c>
      <c r="H31" s="67" t="s">
        <v>62</v>
      </c>
      <c r="I31" s="67" t="s">
        <v>63</v>
      </c>
    </row>
    <row r="32" ht="12.75" customHeight="1"/>
    <row r="33" ht="12.75" customHeight="1">
      <c r="A33" s="56" t="s">
        <v>1634</v>
      </c>
      <c r="B33" s="56" t="s">
        <v>1653</v>
      </c>
      <c r="C33" s="265">
        <v>2040108.0</v>
      </c>
      <c r="D33" s="265">
        <f>2145513+3019.6</f>
        <v>2148532.6</v>
      </c>
      <c r="E33" s="265">
        <v>1911015.0</v>
      </c>
      <c r="F33" s="265">
        <v>1199687.0</v>
      </c>
      <c r="G33" s="265">
        <v>963126.0</v>
      </c>
      <c r="H33" s="265">
        <v>974460.0</v>
      </c>
      <c r="I33" s="265">
        <v>554442.0</v>
      </c>
    </row>
    <row r="34" ht="12.75" customHeight="1">
      <c r="A34" s="56" t="s">
        <v>1634</v>
      </c>
      <c r="B34" s="25" t="s">
        <v>1654</v>
      </c>
      <c r="C34" s="265">
        <v>60319.1</v>
      </c>
      <c r="D34" s="265">
        <v>50329.0</v>
      </c>
      <c r="E34" s="265">
        <v>42558.9</v>
      </c>
      <c r="F34" s="486">
        <v>29587.7</v>
      </c>
      <c r="G34" s="486">
        <v>40762.9</v>
      </c>
      <c r="H34" s="265">
        <v>30595.8</v>
      </c>
      <c r="I34" s="265">
        <f>33262.4+371.7+996.4</f>
        <v>34630.5</v>
      </c>
    </row>
    <row r="35" ht="12.75" customHeight="1">
      <c r="A35" s="56" t="s">
        <v>1634</v>
      </c>
      <c r="B35" s="25" t="s">
        <v>1655</v>
      </c>
      <c r="C35" s="265">
        <v>145665.8</v>
      </c>
      <c r="D35" s="265">
        <v>138141.8</v>
      </c>
      <c r="E35" s="265">
        <v>149398.2</v>
      </c>
      <c r="F35" s="265">
        <v>129233.5</v>
      </c>
      <c r="G35" s="265">
        <v>142187.9</v>
      </c>
      <c r="H35" s="265">
        <v>124268.8</v>
      </c>
      <c r="I35" s="265">
        <v>142688.7</v>
      </c>
    </row>
    <row r="36" ht="15.0" customHeight="1">
      <c r="A36" s="56" t="s">
        <v>1634</v>
      </c>
      <c r="B36" s="25" t="s">
        <v>1656</v>
      </c>
      <c r="C36" s="265">
        <v>21662.4</v>
      </c>
      <c r="D36" s="265">
        <v>21840.2</v>
      </c>
      <c r="E36" s="265">
        <v>17595.9</v>
      </c>
      <c r="F36" s="487">
        <v>19427.9</v>
      </c>
      <c r="G36" s="487">
        <v>35999.0</v>
      </c>
      <c r="H36" s="265">
        <v>31039.3</v>
      </c>
      <c r="I36" s="265">
        <f>38027.2+1028.7</f>
        <v>39055.9</v>
      </c>
      <c r="M36" s="56" t="s">
        <v>1657</v>
      </c>
    </row>
    <row r="37" ht="15.0" customHeight="1">
      <c r="A37" s="56" t="s">
        <v>1634</v>
      </c>
      <c r="B37" s="56" t="s">
        <v>134</v>
      </c>
      <c r="C37" s="97">
        <v>123902.0</v>
      </c>
      <c r="D37" s="97">
        <v>114042.9</v>
      </c>
      <c r="E37" s="97">
        <v>111960.2</v>
      </c>
      <c r="F37" s="488">
        <v>102932.67199999999</v>
      </c>
      <c r="G37" s="488">
        <v>113634.0</v>
      </c>
      <c r="H37" s="488">
        <v>114751.4</v>
      </c>
      <c r="I37" s="488">
        <v>106340.8</v>
      </c>
    </row>
    <row r="38" ht="12.75" customHeight="1">
      <c r="A38" s="56" t="s">
        <v>1634</v>
      </c>
      <c r="B38" s="56" t="s">
        <v>1658</v>
      </c>
      <c r="C38" s="97">
        <v>0.0</v>
      </c>
      <c r="D38" s="97">
        <v>0.0</v>
      </c>
      <c r="E38" s="97">
        <v>3209.1</v>
      </c>
      <c r="F38" s="97">
        <v>13742.7</v>
      </c>
      <c r="G38" s="97">
        <v>18775.5</v>
      </c>
      <c r="H38" s="97">
        <v>15740.9</v>
      </c>
      <c r="I38" s="97">
        <v>20769.1</v>
      </c>
    </row>
    <row r="39" ht="12.75" customHeight="1">
      <c r="C39" s="97"/>
      <c r="D39" s="97"/>
      <c r="E39" s="97"/>
      <c r="F39" s="97"/>
      <c r="G39" s="97"/>
      <c r="H39" s="97"/>
      <c r="I39" s="97"/>
    </row>
    <row r="40" ht="12.75" customHeight="1">
      <c r="A40" s="56" t="s">
        <v>1637</v>
      </c>
      <c r="B40" s="25" t="s">
        <v>1638</v>
      </c>
      <c r="C40" s="97">
        <v>24567.1</v>
      </c>
      <c r="D40" s="97">
        <v>25650.9</v>
      </c>
      <c r="E40" s="97">
        <v>24462.1</v>
      </c>
      <c r="F40" s="97">
        <v>20447.0</v>
      </c>
      <c r="G40" s="97">
        <v>23099.5</v>
      </c>
      <c r="H40" s="97">
        <v>21709.2</v>
      </c>
      <c r="I40" s="97">
        <v>24160.0</v>
      </c>
    </row>
    <row r="41" ht="12.75" customHeight="1">
      <c r="A41" s="56" t="s">
        <v>1637</v>
      </c>
      <c r="B41" s="56" t="s">
        <v>139</v>
      </c>
      <c r="C41" s="265">
        <v>11815.0</v>
      </c>
      <c r="D41" s="265">
        <v>13314.72</v>
      </c>
      <c r="E41" s="265">
        <v>17719.28</v>
      </c>
      <c r="F41" s="265">
        <v>13062.32</v>
      </c>
      <c r="G41" s="265">
        <v>17338.08</v>
      </c>
      <c r="H41" s="265">
        <v>13525.08</v>
      </c>
      <c r="I41" s="265">
        <v>12434.5</v>
      </c>
    </row>
    <row r="42" ht="12.75" customHeight="1">
      <c r="C42" s="265"/>
      <c r="D42" s="265"/>
      <c r="E42" s="265"/>
      <c r="F42" s="265"/>
      <c r="G42" s="265"/>
      <c r="H42" s="265"/>
      <c r="I42" s="265"/>
    </row>
    <row r="43" ht="12.75" customHeight="1">
      <c r="A43" s="25" t="s">
        <v>1639</v>
      </c>
      <c r="B43" s="25" t="s">
        <v>1659</v>
      </c>
      <c r="C43" s="97">
        <v>2.2115225E7</v>
      </c>
      <c r="D43" s="97">
        <v>2.2429291E7</v>
      </c>
      <c r="E43" s="97">
        <v>2.1892009E7</v>
      </c>
      <c r="F43" s="97">
        <v>2.2594374E7</v>
      </c>
      <c r="G43" s="97">
        <v>2.2385615E7</v>
      </c>
      <c r="H43" s="97">
        <v>2.161333E7</v>
      </c>
      <c r="I43" s="97">
        <v>2.1910033E7</v>
      </c>
    </row>
    <row r="44" ht="12.75" customHeight="1">
      <c r="A44" s="25" t="s">
        <v>1639</v>
      </c>
      <c r="B44" s="25" t="s">
        <v>1660</v>
      </c>
      <c r="C44" s="97">
        <v>523794.0</v>
      </c>
      <c r="D44" s="97">
        <v>429990.0</v>
      </c>
      <c r="E44" s="97">
        <v>443344.0</v>
      </c>
      <c r="F44" s="97">
        <v>353345.0</v>
      </c>
      <c r="G44" s="97">
        <v>314891.0</v>
      </c>
      <c r="H44" s="97">
        <v>310000.0</v>
      </c>
      <c r="I44" s="97">
        <v>310000.0</v>
      </c>
    </row>
    <row r="45" ht="15.0" customHeight="1">
      <c r="A45" s="25" t="s">
        <v>1639</v>
      </c>
      <c r="B45" s="25" t="s">
        <v>1661</v>
      </c>
      <c r="C45" s="97">
        <v>41680.0</v>
      </c>
      <c r="D45" s="97">
        <v>50869.0</v>
      </c>
      <c r="E45" s="97">
        <v>38941.0</v>
      </c>
      <c r="F45" s="97">
        <v>78354.0</v>
      </c>
      <c r="G45" s="97">
        <v>66491.0</v>
      </c>
      <c r="H45" s="97">
        <v>66000.0</v>
      </c>
      <c r="I45" s="97">
        <v>31835.0</v>
      </c>
    </row>
    <row r="46" ht="12.75" customHeight="1">
      <c r="A46" s="25" t="s">
        <v>1639</v>
      </c>
      <c r="B46" s="25" t="s">
        <v>1662</v>
      </c>
      <c r="C46" s="97">
        <v>4242211.0</v>
      </c>
      <c r="D46" s="97">
        <v>4450804.0</v>
      </c>
      <c r="E46" s="97">
        <v>4139840.0</v>
      </c>
      <c r="F46" s="97">
        <v>3813050.0</v>
      </c>
      <c r="G46" s="97">
        <v>4115865.0</v>
      </c>
      <c r="H46" s="97">
        <v>3654240.0</v>
      </c>
      <c r="I46" s="97">
        <v>3320096.0</v>
      </c>
    </row>
    <row r="47" ht="12.75" customHeight="1">
      <c r="A47" s="25" t="s">
        <v>1639</v>
      </c>
      <c r="B47" s="25" t="s">
        <v>1663</v>
      </c>
      <c r="C47" s="97">
        <v>4825.0</v>
      </c>
      <c r="D47" s="97">
        <v>4317.0</v>
      </c>
      <c r="E47" s="97">
        <v>5168.0</v>
      </c>
      <c r="F47" s="275">
        <v>3965.0</v>
      </c>
      <c r="G47" s="489">
        <v>4910.0</v>
      </c>
      <c r="H47" s="97">
        <v>2768.0</v>
      </c>
      <c r="I47" s="97">
        <v>2328.0</v>
      </c>
    </row>
    <row r="48" ht="12.75" customHeight="1">
      <c r="A48" s="25" t="s">
        <v>1639</v>
      </c>
      <c r="B48" s="101" t="s">
        <v>1664</v>
      </c>
      <c r="C48" s="268">
        <v>1001.0</v>
      </c>
      <c r="D48" s="268">
        <v>2966.0</v>
      </c>
      <c r="E48" s="268">
        <v>11572.8</v>
      </c>
      <c r="F48" s="490">
        <v>11005.9</v>
      </c>
      <c r="G48" s="491">
        <v>10627.1</v>
      </c>
      <c r="H48" s="268">
        <v>143023.3</v>
      </c>
      <c r="I48" s="268">
        <v>259362.0</v>
      </c>
    </row>
    <row r="49" ht="12.75" customHeight="1">
      <c r="A49" s="25" t="s">
        <v>1639</v>
      </c>
      <c r="B49" s="47" t="s">
        <v>529</v>
      </c>
      <c r="C49" s="97">
        <v>2.5839468E7</v>
      </c>
      <c r="D49" s="97">
        <v>2.6457388E7</v>
      </c>
      <c r="E49" s="97">
        <v>2.5605246E7</v>
      </c>
      <c r="F49" s="97">
        <v>2.606905E7</v>
      </c>
      <c r="G49" s="97">
        <v>2.6202126E7</v>
      </c>
      <c r="H49" s="97">
        <v>2.5103361E7</v>
      </c>
      <c r="I49" s="97">
        <v>2.5181819E7</v>
      </c>
    </row>
    <row r="50" ht="12.75" customHeight="1">
      <c r="A50" s="25" t="s">
        <v>1639</v>
      </c>
      <c r="B50" s="25" t="s">
        <v>530</v>
      </c>
      <c r="C50" s="97">
        <v>4248037.0</v>
      </c>
      <c r="D50" s="97">
        <v>4458087.0</v>
      </c>
      <c r="E50" s="97">
        <v>4156581.0</v>
      </c>
      <c r="F50" s="97">
        <v>3828021.0</v>
      </c>
      <c r="G50" s="97">
        <v>4131402.0</v>
      </c>
      <c r="H50" s="97">
        <v>3800031.0</v>
      </c>
      <c r="I50" s="97">
        <v>3581786.0</v>
      </c>
    </row>
    <row r="51" ht="12.75" customHeight="1">
      <c r="A51" s="25" t="s">
        <v>1639</v>
      </c>
      <c r="B51" s="101" t="s">
        <v>531</v>
      </c>
      <c r="C51" s="268">
        <v>41680.0</v>
      </c>
      <c r="D51" s="268">
        <v>50869.0</v>
      </c>
      <c r="E51" s="268">
        <v>38941.0</v>
      </c>
      <c r="F51" s="268">
        <v>78354.0</v>
      </c>
      <c r="G51" s="268">
        <v>66491.0</v>
      </c>
      <c r="H51" s="268">
        <v>66000.0</v>
      </c>
      <c r="I51" s="268">
        <v>31835.0</v>
      </c>
    </row>
    <row r="52" ht="12.75" customHeight="1">
      <c r="A52" s="25" t="s">
        <v>1639</v>
      </c>
      <c r="B52" s="47" t="s">
        <v>532</v>
      </c>
      <c r="C52" s="97">
        <v>2.1549751E7</v>
      </c>
      <c r="D52" s="97">
        <v>2.1948432E7</v>
      </c>
      <c r="E52" s="97">
        <v>2.1409724E7</v>
      </c>
      <c r="F52" s="97">
        <v>2.2162675E7</v>
      </c>
      <c r="G52" s="97">
        <v>2.2004233E7</v>
      </c>
      <c r="H52" s="97">
        <v>2.123733E7</v>
      </c>
      <c r="I52" s="97">
        <v>2.1568198E7</v>
      </c>
    </row>
    <row r="53" ht="12.75" customHeight="1">
      <c r="B53" s="47"/>
      <c r="C53" s="97"/>
      <c r="D53" s="97"/>
      <c r="E53" s="97"/>
      <c r="F53" s="97"/>
      <c r="G53" s="97"/>
      <c r="H53" s="97"/>
      <c r="I53" s="97"/>
    </row>
    <row r="54" ht="12.75" customHeight="1">
      <c r="A54" s="56" t="s">
        <v>1641</v>
      </c>
      <c r="B54" s="25" t="s">
        <v>1665</v>
      </c>
      <c r="C54" s="289">
        <v>189640.0</v>
      </c>
      <c r="D54" s="492">
        <v>410081.37</v>
      </c>
      <c r="E54" s="492">
        <v>376781.0</v>
      </c>
      <c r="F54" s="289">
        <v>434786.0</v>
      </c>
      <c r="G54" s="289">
        <v>469143.0</v>
      </c>
      <c r="H54" s="289">
        <v>712118.0</v>
      </c>
      <c r="I54" s="289">
        <v>711365.0</v>
      </c>
    </row>
    <row r="55" ht="12.75" customHeight="1">
      <c r="A55" s="56" t="s">
        <v>1641</v>
      </c>
      <c r="B55" s="25" t="s">
        <v>1666</v>
      </c>
      <c r="C55" s="289">
        <v>121401.0</v>
      </c>
      <c r="D55" s="289">
        <v>119960.43</v>
      </c>
      <c r="E55" s="289">
        <v>98291.0</v>
      </c>
      <c r="F55" s="289">
        <v>98964.0</v>
      </c>
      <c r="G55" s="289">
        <v>108947.0</v>
      </c>
      <c r="H55" s="289">
        <v>171327.0</v>
      </c>
      <c r="I55" s="289">
        <v>155368.0</v>
      </c>
    </row>
    <row r="56" ht="12.75" customHeight="1">
      <c r="A56" s="56" t="s">
        <v>1641</v>
      </c>
      <c r="B56" s="289" t="s">
        <v>1667</v>
      </c>
      <c r="C56" s="289">
        <v>278265.0</v>
      </c>
      <c r="D56" s="289">
        <v>281232.68</v>
      </c>
      <c r="E56" s="289">
        <v>263807.0</v>
      </c>
      <c r="F56" s="289">
        <v>303160.0</v>
      </c>
      <c r="G56" s="289">
        <v>369243.0</v>
      </c>
      <c r="H56" s="289">
        <v>463534.0</v>
      </c>
      <c r="I56" s="289">
        <v>459053.0</v>
      </c>
    </row>
    <row r="57" ht="12.75" customHeight="1">
      <c r="A57" s="56" t="s">
        <v>1641</v>
      </c>
      <c r="B57" s="25" t="s">
        <v>1668</v>
      </c>
      <c r="C57" s="289">
        <v>1128023.0</v>
      </c>
      <c r="D57" s="289">
        <v>1176172.46</v>
      </c>
      <c r="E57" s="289">
        <v>733091.0</v>
      </c>
      <c r="F57" s="289">
        <v>878018.0</v>
      </c>
      <c r="G57" s="289">
        <v>1057210.0</v>
      </c>
      <c r="H57" s="289">
        <v>1221116.0</v>
      </c>
      <c r="I57" s="289">
        <v>1391213.2000000002</v>
      </c>
    </row>
    <row r="58" ht="12.75" customHeight="1">
      <c r="A58" s="56" t="s">
        <v>1641</v>
      </c>
      <c r="B58" s="101" t="s">
        <v>1669</v>
      </c>
      <c r="C58" s="493">
        <v>33046.0</v>
      </c>
      <c r="D58" s="493">
        <v>32970.68</v>
      </c>
      <c r="E58" s="493">
        <v>29868.0</v>
      </c>
      <c r="F58" s="493">
        <v>42980.0</v>
      </c>
      <c r="G58" s="493">
        <v>25735.0</v>
      </c>
      <c r="H58" s="493">
        <v>60062.0</v>
      </c>
      <c r="I58" s="493">
        <v>52370.0</v>
      </c>
    </row>
    <row r="59" ht="12.75" customHeight="1">
      <c r="A59" s="56" t="s">
        <v>1641</v>
      </c>
      <c r="B59" s="25" t="s">
        <v>1648</v>
      </c>
      <c r="C59" s="289">
        <f t="shared" ref="C59:I59" si="1">SUM(C54:C58)</f>
        <v>1750375</v>
      </c>
      <c r="D59" s="289">
        <f t="shared" si="1"/>
        <v>2020417.62</v>
      </c>
      <c r="E59" s="289">
        <f t="shared" si="1"/>
        <v>1501838</v>
      </c>
      <c r="F59" s="289">
        <f t="shared" si="1"/>
        <v>1757908</v>
      </c>
      <c r="G59" s="289">
        <f t="shared" si="1"/>
        <v>2030278</v>
      </c>
      <c r="H59" s="289">
        <f t="shared" si="1"/>
        <v>2628157</v>
      </c>
      <c r="I59" s="289">
        <f t="shared" si="1"/>
        <v>2769369.2</v>
      </c>
    </row>
    <row r="60" ht="12.75" customHeight="1">
      <c r="A60" s="56" t="s">
        <v>1641</v>
      </c>
      <c r="B60" s="25" t="s">
        <v>1670</v>
      </c>
      <c r="C60" s="97">
        <f t="shared" ref="C60:I60" si="2">C59/C20</f>
        <v>815.1515857</v>
      </c>
      <c r="D60" s="97">
        <f t="shared" si="2"/>
        <v>734.323479</v>
      </c>
      <c r="E60" s="97">
        <f t="shared" si="2"/>
        <v>579.5693281</v>
      </c>
      <c r="F60" s="97">
        <f t="shared" si="2"/>
        <v>588.0077602</v>
      </c>
      <c r="G60" s="97">
        <f t="shared" si="2"/>
        <v>617.1432914</v>
      </c>
      <c r="H60" s="97">
        <f t="shared" si="2"/>
        <v>633.5809166</v>
      </c>
      <c r="I60" s="97">
        <f t="shared" si="2"/>
        <v>625.6482017</v>
      </c>
    </row>
    <row r="61" ht="12.75" customHeight="1">
      <c r="B61" s="47"/>
      <c r="C61" s="97"/>
      <c r="D61" s="97"/>
      <c r="E61" s="97"/>
      <c r="F61" s="97"/>
      <c r="G61" s="97"/>
      <c r="H61" s="97"/>
      <c r="I61" s="97"/>
    </row>
    <row r="62" ht="12.75" customHeight="1">
      <c r="A62" s="25" t="s">
        <v>1649</v>
      </c>
      <c r="B62" s="25" t="s">
        <v>175</v>
      </c>
      <c r="C62" s="97">
        <v>553.98</v>
      </c>
      <c r="D62" s="97">
        <v>547.3149999999999</v>
      </c>
      <c r="E62" s="97">
        <v>477.47</v>
      </c>
      <c r="F62" s="97">
        <v>432.82000000000005</v>
      </c>
      <c r="G62" s="97">
        <v>430.29</v>
      </c>
      <c r="H62" s="97">
        <v>407.09000000000003</v>
      </c>
      <c r="I62" s="97">
        <v>438.23</v>
      </c>
    </row>
    <row r="63" ht="12.75" customHeight="1">
      <c r="B63" s="25"/>
      <c r="C63" s="97"/>
      <c r="D63" s="97"/>
      <c r="E63" s="97"/>
      <c r="F63" s="97"/>
      <c r="G63" s="97"/>
      <c r="H63" s="97"/>
      <c r="I63" s="97"/>
    </row>
    <row r="64" ht="12.75" customHeight="1">
      <c r="B64" s="25"/>
      <c r="C64" s="97"/>
      <c r="D64" s="97"/>
      <c r="E64" s="97"/>
      <c r="F64" s="97"/>
      <c r="G64" s="97"/>
      <c r="H64" s="97"/>
      <c r="I64" s="97"/>
    </row>
    <row r="65" ht="12.75" customHeight="1"/>
    <row r="66" ht="12.75" customHeight="1"/>
    <row r="67" ht="15.75" customHeight="1">
      <c r="B67" s="365" t="s">
        <v>1671</v>
      </c>
    </row>
    <row r="68" ht="12.75" customHeight="1">
      <c r="B68" s="55" t="s">
        <v>443</v>
      </c>
      <c r="C68" s="55"/>
      <c r="D68" s="55"/>
      <c r="E68" s="55"/>
      <c r="F68" s="55"/>
      <c r="G68" s="55">
        <v>2793.6</v>
      </c>
      <c r="H68" s="55">
        <v>23531.7</v>
      </c>
      <c r="I68" s="55">
        <v>24978.4</v>
      </c>
    </row>
    <row r="69" ht="15.0" customHeight="1">
      <c r="B69" s="55" t="s">
        <v>1672</v>
      </c>
      <c r="C69" s="216">
        <v>24567.1</v>
      </c>
      <c r="D69" s="117">
        <v>25650.9</v>
      </c>
      <c r="E69" s="115">
        <v>24462.1</v>
      </c>
      <c r="F69" s="125">
        <v>20447.0</v>
      </c>
      <c r="G69" s="125">
        <v>20585.3</v>
      </c>
      <c r="H69" s="125">
        <v>530.7</v>
      </c>
      <c r="I69" s="125">
        <v>1679.4</v>
      </c>
    </row>
    <row r="70" ht="12.75" customHeight="1">
      <c r="B70" s="25" t="s">
        <v>445</v>
      </c>
      <c r="C70" s="219">
        <f t="shared" ref="C70:I70" si="3">(C68*0.9)+C69</f>
        <v>24567.1</v>
      </c>
      <c r="D70" s="219">
        <f t="shared" si="3"/>
        <v>25650.9</v>
      </c>
      <c r="E70" s="219">
        <f t="shared" si="3"/>
        <v>24462.1</v>
      </c>
      <c r="F70" s="219">
        <f t="shared" si="3"/>
        <v>20447</v>
      </c>
      <c r="G70" s="219">
        <f t="shared" si="3"/>
        <v>23099.54</v>
      </c>
      <c r="H70" s="219">
        <f t="shared" si="3"/>
        <v>21709.23</v>
      </c>
      <c r="I70" s="219">
        <f t="shared" si="3"/>
        <v>24159.96</v>
      </c>
    </row>
    <row r="71" ht="12.75" customHeight="1"/>
    <row r="72" ht="12.75" customHeight="1">
      <c r="B72" s="65" t="s">
        <v>195</v>
      </c>
      <c r="C72" s="86" t="s">
        <v>76</v>
      </c>
      <c r="D72" s="86" t="s">
        <v>77</v>
      </c>
      <c r="E72" s="86" t="s">
        <v>78</v>
      </c>
      <c r="F72" s="47" t="s">
        <v>79</v>
      </c>
      <c r="G72" s="47" t="s">
        <v>80</v>
      </c>
      <c r="H72" s="47" t="s">
        <v>81</v>
      </c>
      <c r="I72" s="47" t="s">
        <v>82</v>
      </c>
    </row>
    <row r="73" ht="12.75" customHeight="1">
      <c r="B73" s="55" t="s">
        <v>1673</v>
      </c>
      <c r="C73" s="117">
        <v>60319.1</v>
      </c>
      <c r="D73" s="117">
        <v>50329.0</v>
      </c>
      <c r="E73" s="122">
        <v>42558.9</v>
      </c>
      <c r="F73" s="123">
        <v>29587.7</v>
      </c>
      <c r="G73" s="123">
        <v>40762.9</v>
      </c>
      <c r="H73" s="55">
        <v>30595.8</v>
      </c>
      <c r="I73" s="55">
        <f>33262.4+371.7+996.4</f>
        <v>34630.5</v>
      </c>
    </row>
    <row r="74" ht="12.75" customHeight="1">
      <c r="B74" s="55" t="s">
        <v>1674</v>
      </c>
      <c r="C74" s="117">
        <v>145665.8</v>
      </c>
      <c r="D74" s="117">
        <v>138141.8</v>
      </c>
      <c r="E74" s="115">
        <v>149398.2</v>
      </c>
      <c r="F74" s="122">
        <v>129233.5</v>
      </c>
      <c r="G74" s="122">
        <v>142187.9</v>
      </c>
      <c r="H74" s="55">
        <v>124268.8</v>
      </c>
      <c r="I74" s="55">
        <v>142688.7</v>
      </c>
    </row>
    <row r="75" ht="15.0" customHeight="1">
      <c r="B75" s="55" t="s">
        <v>1675</v>
      </c>
      <c r="C75" s="117">
        <v>21662.4</v>
      </c>
      <c r="D75" s="117">
        <v>21840.2</v>
      </c>
      <c r="E75" s="122">
        <v>17595.9</v>
      </c>
      <c r="F75" s="125">
        <v>19427.9</v>
      </c>
      <c r="G75" s="125">
        <v>35999.0</v>
      </c>
      <c r="H75" s="55">
        <v>31039.3</v>
      </c>
      <c r="I75" s="55">
        <f>38027.2+1028.7</f>
        <v>39055.9</v>
      </c>
    </row>
    <row r="76" ht="12.75" customHeight="1"/>
    <row r="77" ht="12.75" customHeight="1"/>
    <row r="78" ht="15.0" customHeight="1">
      <c r="B78" s="55" t="s">
        <v>1676</v>
      </c>
      <c r="C78" s="117">
        <v>11243.7</v>
      </c>
      <c r="D78" s="117">
        <v>13054.0</v>
      </c>
      <c r="E78" s="122">
        <v>16881.2</v>
      </c>
      <c r="F78" s="125">
        <v>12266.4</v>
      </c>
      <c r="G78" s="125">
        <v>17066.0</v>
      </c>
      <c r="H78" s="125">
        <v>12950.2</v>
      </c>
      <c r="I78" s="125">
        <v>12434.5</v>
      </c>
    </row>
    <row r="79" ht="12.75" customHeight="1">
      <c r="B79" s="55" t="s">
        <v>1677</v>
      </c>
      <c r="C79" s="117">
        <v>714.2</v>
      </c>
      <c r="D79" s="55">
        <v>325.9</v>
      </c>
      <c r="E79" s="122">
        <v>1047.6</v>
      </c>
      <c r="F79" s="55">
        <v>994.9</v>
      </c>
      <c r="G79" s="55">
        <v>340.1</v>
      </c>
      <c r="H79" s="55">
        <v>718.6</v>
      </c>
      <c r="I79" s="55">
        <v>0.0</v>
      </c>
    </row>
    <row r="80" ht="12.75" customHeight="1">
      <c r="B80" s="25" t="s">
        <v>457</v>
      </c>
      <c r="C80" s="73">
        <f>('FY 02-06 reference'!B50*0.05)+(C79*0.2)</f>
        <v>142.84</v>
      </c>
      <c r="D80" s="73">
        <f>('FY 02-06 reference'!C50*0.05)+(D79*0.2)</f>
        <v>65.18</v>
      </c>
      <c r="E80" s="73">
        <f>('FY 02-06 reference'!D50*0.05)+(E79*0.2)</f>
        <v>209.52</v>
      </c>
      <c r="F80" s="73">
        <f>('FY 02-06 reference'!E50*0.05)+(F79*0.2)</f>
        <v>198.98</v>
      </c>
      <c r="G80" s="73">
        <f>('FY 02-06 reference'!F50*0.05)+(G79*0.2)</f>
        <v>68.02</v>
      </c>
      <c r="H80" s="73">
        <f>('FY 02-06 reference'!G50*0.05)+(H79*0.2)</f>
        <v>143.72</v>
      </c>
      <c r="I80" s="73">
        <f>('FY 02-06 reference'!H50*0.05)+(I79*0.2)</f>
        <v>0</v>
      </c>
    </row>
    <row r="81" ht="12.75" customHeight="1">
      <c r="B81" s="25" t="s">
        <v>458</v>
      </c>
      <c r="C81" s="97">
        <f t="shared" ref="C81:I81" si="4">(C78+(C79*0.8))</f>
        <v>11815.06</v>
      </c>
      <c r="D81" s="97">
        <f t="shared" si="4"/>
        <v>13314.72</v>
      </c>
      <c r="E81" s="97">
        <f t="shared" si="4"/>
        <v>17719.28</v>
      </c>
      <c r="F81" s="97">
        <f t="shared" si="4"/>
        <v>13062.32</v>
      </c>
      <c r="G81" s="97">
        <f t="shared" si="4"/>
        <v>17338.08</v>
      </c>
      <c r="H81" s="97">
        <f t="shared" si="4"/>
        <v>13525.08</v>
      </c>
      <c r="I81" s="97">
        <f t="shared" si="4"/>
        <v>12434.5</v>
      </c>
    </row>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5"/>
    <col customWidth="1" min="7" max="26" width="10.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8"/>
    <col customWidth="1" min="2" max="18" width="8.88"/>
    <col customWidth="1" min="19" max="26" width="10.0"/>
  </cols>
  <sheetData>
    <row r="1" ht="18.0" customHeight="1">
      <c r="A1" s="89" t="s">
        <v>129</v>
      </c>
      <c r="B1" s="90"/>
      <c r="C1" s="90"/>
      <c r="D1" s="90"/>
      <c r="E1" s="90"/>
      <c r="F1" s="90"/>
      <c r="G1" s="90"/>
      <c r="H1" s="90"/>
      <c r="I1" s="91"/>
    </row>
    <row r="2" ht="12.75" customHeight="1"/>
    <row r="3" ht="15.75" customHeight="1">
      <c r="A3" s="92" t="s">
        <v>130</v>
      </c>
      <c r="J3" s="93"/>
    </row>
    <row r="4" ht="12.75" customHeight="1">
      <c r="B4" s="65"/>
    </row>
    <row r="5" ht="12.75" customHeight="1">
      <c r="A5" s="94" t="s">
        <v>131</v>
      </c>
      <c r="B5" s="95" t="s">
        <v>76</v>
      </c>
      <c r="C5" s="95" t="s">
        <v>77</v>
      </c>
      <c r="D5" s="95" t="s">
        <v>78</v>
      </c>
      <c r="E5" s="96" t="s">
        <v>79</v>
      </c>
      <c r="F5" s="96" t="s">
        <v>80</v>
      </c>
      <c r="G5" s="96" t="s">
        <v>81</v>
      </c>
      <c r="H5" s="96" t="s">
        <v>82</v>
      </c>
      <c r="I5" s="96" t="s">
        <v>83</v>
      </c>
      <c r="J5" s="96" t="s">
        <v>84</v>
      </c>
      <c r="K5" s="96" t="s">
        <v>85</v>
      </c>
      <c r="L5" s="96" t="s">
        <v>67</v>
      </c>
      <c r="M5" s="96" t="s">
        <v>68</v>
      </c>
      <c r="N5" s="96" t="s">
        <v>69</v>
      </c>
      <c r="O5" s="96" t="s">
        <v>70</v>
      </c>
      <c r="P5" s="96" t="s">
        <v>71</v>
      </c>
      <c r="Q5" s="96" t="s">
        <v>72</v>
      </c>
      <c r="R5" s="96" t="s">
        <v>73</v>
      </c>
    </row>
    <row r="6" ht="12.75" customHeight="1">
      <c r="A6" s="56" t="s">
        <v>132</v>
      </c>
      <c r="B6" s="97">
        <f>'Scope1A Stationary'!C9</f>
        <v>23876.4</v>
      </c>
      <c r="C6" s="97">
        <f>'Scope1A Stationary'!D9</f>
        <v>25145.3</v>
      </c>
      <c r="D6" s="97">
        <f>'Scope1A Stationary'!E9</f>
        <v>22365.6</v>
      </c>
      <c r="E6" s="97">
        <f>'Scope1A Stationary'!F9</f>
        <v>14040.5</v>
      </c>
      <c r="F6" s="97">
        <f>'Scope1A Stationary'!G9</f>
        <v>11272</v>
      </c>
      <c r="G6" s="97">
        <f>'Scope1A Stationary'!H9</f>
        <v>11404.6</v>
      </c>
      <c r="H6" s="97">
        <f>'Scope1A Stationary'!I9</f>
        <v>6488.9</v>
      </c>
      <c r="I6" s="97">
        <f>'Scope1A Stationary'!J9</f>
        <v>7272</v>
      </c>
      <c r="J6" s="97">
        <f>'Scope1A Stationary'!K9</f>
        <v>7031.8</v>
      </c>
      <c r="K6" s="97">
        <f>'Scope1A Stationary'!L9</f>
        <v>2169.3</v>
      </c>
      <c r="L6" s="97">
        <f>'Scope1A Stationary'!M9</f>
        <v>1879.6</v>
      </c>
      <c r="M6" s="97">
        <f>'Scope1A Stationary'!N9</f>
        <v>422.8</v>
      </c>
      <c r="N6" s="97">
        <f>'Scope1A Stationary'!O9</f>
        <v>0</v>
      </c>
      <c r="O6" s="97">
        <f>'Scope1A Stationary'!P9</f>
        <v>0</v>
      </c>
      <c r="P6" s="97">
        <f>'Scope1A Stationary'!Q9</f>
        <v>0</v>
      </c>
      <c r="Q6" s="97">
        <f>'Scope1A Stationary'!R9</f>
        <v>0</v>
      </c>
      <c r="R6" s="97">
        <f>'Scope1A Stationary'!S9</f>
        <v>0</v>
      </c>
    </row>
    <row r="7" ht="12.75" customHeight="1">
      <c r="A7" s="56" t="s">
        <v>133</v>
      </c>
      <c r="B7" s="97">
        <f>'Scope1A Stationary'!C10</f>
        <v>2003.4</v>
      </c>
      <c r="C7" s="97">
        <f>'Scope1A Stationary'!D10</f>
        <v>1843.6</v>
      </c>
      <c r="D7" s="97">
        <f>'Scope1A Stationary'!E10</f>
        <v>1813.3</v>
      </c>
      <c r="E7" s="97">
        <f>'Scope1A Stationary'!F10</f>
        <v>1538.1</v>
      </c>
      <c r="F7" s="97">
        <f>'Scope1A Stationary'!G10</f>
        <v>1922.7</v>
      </c>
      <c r="G7" s="97">
        <f>'Scope1A Stationary'!H10</f>
        <v>1625.3</v>
      </c>
      <c r="H7" s="97">
        <f>'Scope1A Stationary'!I10</f>
        <v>1895.6</v>
      </c>
      <c r="I7" s="97">
        <f>'Scope1A Stationary'!J10</f>
        <v>1942.4</v>
      </c>
      <c r="J7" s="97">
        <f>'Scope1A Stationary'!K10</f>
        <v>1908.3</v>
      </c>
      <c r="K7" s="97">
        <f>'Scope1A Stationary'!L10</f>
        <v>1992.7</v>
      </c>
      <c r="L7" s="97">
        <f>'Scope1A Stationary'!M10</f>
        <v>1899.7</v>
      </c>
      <c r="M7" s="97">
        <f>'Scope1A Stationary'!N10</f>
        <v>1928.7</v>
      </c>
      <c r="N7" s="97">
        <f>'Scope1A Stationary'!O10</f>
        <v>1688.3</v>
      </c>
      <c r="O7" s="97">
        <f>'Scope1A Stationary'!P10</f>
        <v>1613.3</v>
      </c>
      <c r="P7" s="97">
        <f>'Scope1A Stationary'!Q10</f>
        <v>1678.7</v>
      </c>
      <c r="Q7" s="97">
        <f>'Scope1A Stationary'!R10</f>
        <v>1142.2</v>
      </c>
      <c r="R7" s="97">
        <f>'Scope1A Stationary'!S10</f>
        <v>988.6</v>
      </c>
    </row>
    <row r="8" ht="12.75" customHeight="1">
      <c r="A8" s="56" t="s">
        <v>134</v>
      </c>
      <c r="B8" s="97">
        <f>'Scope1A Stationary'!C11</f>
        <v>711.86688</v>
      </c>
      <c r="C8" s="97">
        <f>'Scope1A Stationary'!D11</f>
        <v>655.21048</v>
      </c>
      <c r="D8" s="97">
        <f>'Scope1A Stationary'!E11</f>
        <v>643.23524</v>
      </c>
      <c r="E8" s="97">
        <f>'Scope1A Stationary'!F11</f>
        <v>591.41052</v>
      </c>
      <c r="F8" s="97">
        <f>'Scope1A Stationary'!G11</f>
        <v>652.8986</v>
      </c>
      <c r="G8" s="97">
        <f>'Scope1A Stationary'!H11</f>
        <v>659.3382</v>
      </c>
      <c r="H8" s="97">
        <f>'Scope1A Stationary'!I11</f>
        <v>611.03328</v>
      </c>
      <c r="I8" s="97">
        <f>'Scope1A Stationary'!J11</f>
        <v>379.98392</v>
      </c>
      <c r="J8" s="97">
        <f>'Scope1A Stationary'!K11</f>
        <v>463.10664</v>
      </c>
      <c r="K8" s="97">
        <f>'Scope1A Stationary'!L11</f>
        <v>412.78984</v>
      </c>
      <c r="L8" s="97">
        <f>'Scope1A Stationary'!M11</f>
        <v>598.95804</v>
      </c>
      <c r="M8" s="97">
        <f>'Scope1A Stationary'!N11</f>
        <v>508.59176</v>
      </c>
      <c r="N8" s="97">
        <f>'Scope1A Stationary'!O11</f>
        <v>530.93036</v>
      </c>
      <c r="O8" s="97">
        <f>'Scope1A Stationary'!P11</f>
        <v>387.33144</v>
      </c>
      <c r="P8" s="97">
        <f>'Scope1A Stationary'!Q11</f>
        <v>329.66712</v>
      </c>
      <c r="Q8" s="97">
        <f>'Scope1A Stationary'!R11</f>
        <v>437.24428</v>
      </c>
      <c r="R8" s="97">
        <f>'Scope1A Stationary'!S11</f>
        <v>402.32648</v>
      </c>
    </row>
    <row r="9" ht="12.75" customHeight="1">
      <c r="A9" s="56" t="s">
        <v>135</v>
      </c>
      <c r="B9" s="97">
        <f>'Scope1A Stationary'!C12</f>
        <v>0</v>
      </c>
      <c r="C9" s="97">
        <f>'Scope1A Stationary'!D12</f>
        <v>0</v>
      </c>
      <c r="D9" s="97">
        <f>'Scope1A Stationary'!E12</f>
        <v>0</v>
      </c>
      <c r="E9" s="97">
        <f>'Scope1A Stationary'!F12</f>
        <v>0</v>
      </c>
      <c r="F9" s="97">
        <f>'Scope1A Stationary'!G12</f>
        <v>0</v>
      </c>
      <c r="G9" s="97">
        <f>'Scope1A Stationary'!H12</f>
        <v>0</v>
      </c>
      <c r="H9" s="97">
        <f>'Scope1A Stationary'!I12</f>
        <v>0</v>
      </c>
      <c r="I9" s="97">
        <f>'Scope1A Stationary'!J12</f>
        <v>0</v>
      </c>
      <c r="J9" s="97">
        <f>'Scope1A Stationary'!K12</f>
        <v>0</v>
      </c>
      <c r="K9" s="97">
        <f>'Scope1A Stationary'!L12</f>
        <v>3763.44715</v>
      </c>
      <c r="L9" s="97">
        <f>'Scope1A Stationary'!M12</f>
        <v>3018.28406</v>
      </c>
      <c r="M9" s="97">
        <f>'Scope1A Stationary'!N12</f>
        <v>4391.86218</v>
      </c>
      <c r="N9" s="97">
        <f>'Scope1A Stationary'!O12</f>
        <v>5068.18173</v>
      </c>
      <c r="O9" s="97">
        <f>'Scope1A Stationary'!P12</f>
        <v>4433.32698</v>
      </c>
      <c r="P9" s="97">
        <f>'Scope1A Stationary'!Q12</f>
        <v>6104.60504</v>
      </c>
      <c r="Q9" s="97">
        <f>'Scope1A Stationary'!R12</f>
        <v>5914.69358</v>
      </c>
      <c r="R9" s="97">
        <f>'Scope1A Stationary'!S12</f>
        <v>4323.12195</v>
      </c>
    </row>
    <row r="10" ht="12.75" customHeight="1">
      <c r="A10" s="56" t="s">
        <v>136</v>
      </c>
      <c r="B10" s="97">
        <f>'Scope1A Stationary'!C14</f>
        <v>0</v>
      </c>
      <c r="C10" s="97">
        <f>'Scope1A Stationary'!D14</f>
        <v>0</v>
      </c>
      <c r="D10" s="97">
        <f>'Scope1A Stationary'!E14</f>
        <v>42.21366545</v>
      </c>
      <c r="E10" s="97">
        <f>'Scope1A Stationary'!F14</f>
        <v>180.7773316</v>
      </c>
      <c r="F10" s="97">
        <f>'Scope1A Stationary'!G14</f>
        <v>246.9798393</v>
      </c>
      <c r="G10" s="97">
        <f>'Scope1A Stationary'!H14</f>
        <v>207.0622145</v>
      </c>
      <c r="H10" s="97">
        <f>'Scope1A Stationary'!I14</f>
        <v>273.2049295</v>
      </c>
      <c r="I10" s="97">
        <f>'Scope1A Stationary'!J14</f>
        <v>333.4515433</v>
      </c>
      <c r="J10" s="97">
        <f>'Scope1A Stationary'!K14</f>
        <v>319.783464</v>
      </c>
      <c r="K10" s="97">
        <f>'Scope1A Stationary'!L14</f>
        <v>255.3532128</v>
      </c>
      <c r="L10" s="97">
        <f>'Scope1A Stationary'!M14</f>
        <v>282.9970529</v>
      </c>
      <c r="M10" s="97">
        <f>'Scope1A Stationary'!N14</f>
        <v>266.8106952</v>
      </c>
      <c r="N10" s="97">
        <f>'Scope1A Stationary'!O14</f>
        <v>277.6104576</v>
      </c>
      <c r="O10" s="97">
        <f>'Scope1A Stationary'!P14</f>
        <v>239.0022936</v>
      </c>
      <c r="P10" s="97">
        <f>'Scope1A Stationary'!Q14</f>
        <v>199.1707704</v>
      </c>
      <c r="Q10" s="97">
        <f>'Scope1A Stationary'!R14</f>
        <v>202.4330616</v>
      </c>
      <c r="R10" s="97">
        <f>'Scope1A Stationary'!S14</f>
        <v>230.8071024</v>
      </c>
    </row>
    <row r="11" ht="12.75" customHeight="1">
      <c r="A11" s="76" t="s">
        <v>137</v>
      </c>
      <c r="B11" s="98">
        <f t="shared" ref="B11:R11" si="1">SUM(B6:B10)</f>
        <v>26591.66688</v>
      </c>
      <c r="C11" s="98">
        <f t="shared" si="1"/>
        <v>27644.11048</v>
      </c>
      <c r="D11" s="98">
        <f t="shared" si="1"/>
        <v>24864.34891</v>
      </c>
      <c r="E11" s="98">
        <f t="shared" si="1"/>
        <v>16350.78785</v>
      </c>
      <c r="F11" s="98">
        <f t="shared" si="1"/>
        <v>14094.57844</v>
      </c>
      <c r="G11" s="98">
        <f t="shared" si="1"/>
        <v>13896.30041</v>
      </c>
      <c r="H11" s="98">
        <f t="shared" si="1"/>
        <v>9268.738209</v>
      </c>
      <c r="I11" s="98">
        <f t="shared" si="1"/>
        <v>9927.835463</v>
      </c>
      <c r="J11" s="98">
        <f t="shared" si="1"/>
        <v>9722.990104</v>
      </c>
      <c r="K11" s="98">
        <f t="shared" si="1"/>
        <v>8593.590203</v>
      </c>
      <c r="L11" s="98">
        <f t="shared" si="1"/>
        <v>7679.539153</v>
      </c>
      <c r="M11" s="98">
        <f t="shared" si="1"/>
        <v>7518.764635</v>
      </c>
      <c r="N11" s="98">
        <f t="shared" si="1"/>
        <v>7565.022548</v>
      </c>
      <c r="O11" s="98">
        <f t="shared" si="1"/>
        <v>6672.960714</v>
      </c>
      <c r="P11" s="98">
        <f t="shared" si="1"/>
        <v>8312.14293</v>
      </c>
      <c r="Q11" s="98">
        <f t="shared" si="1"/>
        <v>7696.570922</v>
      </c>
      <c r="R11" s="98">
        <f t="shared" si="1"/>
        <v>5944.855532</v>
      </c>
    </row>
    <row r="12" ht="12.75" customHeight="1">
      <c r="A12" s="25" t="s">
        <v>138</v>
      </c>
      <c r="B12" s="97">
        <f>'Scope1B  Mobile'!B9</f>
        <v>242.9</v>
      </c>
      <c r="C12" s="97">
        <f>'Scope1B  Mobile'!C9</f>
        <v>253.7</v>
      </c>
      <c r="D12" s="97">
        <f>'Scope1B  Mobile'!D9</f>
        <v>241.9</v>
      </c>
      <c r="E12" s="97">
        <f>'Scope1B  Mobile'!E9</f>
        <v>202.2</v>
      </c>
      <c r="F12" s="97">
        <f>'Scope1B  Mobile'!F9</f>
        <v>229.6</v>
      </c>
      <c r="G12" s="97">
        <f>'Scope1B  Mobile'!G9</f>
        <v>215.8</v>
      </c>
      <c r="H12" s="97">
        <f>'Scope1B  Mobile'!H9</f>
        <v>240.2</v>
      </c>
      <c r="I12" s="97">
        <f>'Scope1B  Mobile'!I9</f>
        <v>266.8</v>
      </c>
      <c r="J12" s="97">
        <f>'Scope1B  Mobile'!J9</f>
        <v>263.7</v>
      </c>
      <c r="K12" s="97">
        <f>'Scope1B  Mobile'!K9</f>
        <v>245</v>
      </c>
      <c r="L12" s="97">
        <f>'Scope1B  Mobile'!L9</f>
        <v>237.9</v>
      </c>
      <c r="M12" s="97">
        <f>'Scope1B  Mobile'!M9</f>
        <v>228.4</v>
      </c>
      <c r="N12" s="97">
        <f>'Scope1B  Mobile'!N9</f>
        <v>205</v>
      </c>
      <c r="O12" s="97">
        <f>'Scope1B  Mobile'!O9</f>
        <v>155.1</v>
      </c>
      <c r="P12" s="97">
        <f>'Scope1B  Mobile'!P9</f>
        <v>159.1</v>
      </c>
      <c r="Q12" s="97">
        <f>'Scope1B  Mobile'!Q9</f>
        <v>166.8</v>
      </c>
      <c r="R12" s="97">
        <f>'Scope1B  Mobile'!R9</f>
        <v>143.8</v>
      </c>
    </row>
    <row r="13" ht="12.75" customHeight="1">
      <c r="A13" s="25" t="s">
        <v>139</v>
      </c>
      <c r="B13" s="97">
        <f>'Scope1B  Mobile'!B10</f>
        <v>123.2</v>
      </c>
      <c r="C13" s="97">
        <f>'Scope1B  Mobile'!C10</f>
        <v>138.8</v>
      </c>
      <c r="D13" s="97">
        <f>'Scope1B  Mobile'!D10</f>
        <v>184.7</v>
      </c>
      <c r="E13" s="97">
        <f>'Scope1B  Mobile'!E10</f>
        <v>136.2</v>
      </c>
      <c r="F13" s="97">
        <f>'Scope1B  Mobile'!F10</f>
        <v>181.1</v>
      </c>
      <c r="G13" s="97">
        <f>'Scope1B  Mobile'!G10</f>
        <v>141.3</v>
      </c>
      <c r="H13" s="97">
        <f>'Scope1B  Mobile'!H10</f>
        <v>129.9</v>
      </c>
      <c r="I13" s="97">
        <f>'Scope1B  Mobile'!I10</f>
        <v>131.4</v>
      </c>
      <c r="J13" s="97">
        <f>'Scope1B  Mobile'!J10</f>
        <v>136.1</v>
      </c>
      <c r="K13" s="97">
        <f>'Scope1B  Mobile'!K10</f>
        <v>96.9</v>
      </c>
      <c r="L13" s="97">
        <f>'Scope1B  Mobile'!L10</f>
        <v>106.5</v>
      </c>
      <c r="M13" s="97">
        <f>'Scope1B  Mobile'!M10</f>
        <v>108.1</v>
      </c>
      <c r="N13" s="97">
        <f>'Scope1B  Mobile'!N10</f>
        <v>104.4</v>
      </c>
      <c r="O13" s="97">
        <f>'Scope1B  Mobile'!O10</f>
        <v>75.4</v>
      </c>
      <c r="P13" s="97">
        <f>'Scope1B  Mobile'!P10</f>
        <v>76</v>
      </c>
      <c r="Q13" s="97">
        <f>'Scope1B  Mobile'!Q10</f>
        <v>93.1</v>
      </c>
      <c r="R13" s="97">
        <f>'Scope1B  Mobile'!R10</f>
        <v>92.2</v>
      </c>
    </row>
    <row r="14" ht="12.75" customHeight="1">
      <c r="A14" s="76" t="s">
        <v>140</v>
      </c>
      <c r="B14" s="98">
        <f t="shared" ref="B14:R14" si="2">SUM(B12:B13)</f>
        <v>366.1</v>
      </c>
      <c r="C14" s="98">
        <f t="shared" si="2"/>
        <v>392.5</v>
      </c>
      <c r="D14" s="98">
        <f t="shared" si="2"/>
        <v>426.6</v>
      </c>
      <c r="E14" s="98">
        <f t="shared" si="2"/>
        <v>338.4</v>
      </c>
      <c r="F14" s="98">
        <f t="shared" si="2"/>
        <v>410.7</v>
      </c>
      <c r="G14" s="98">
        <f t="shared" si="2"/>
        <v>357.1</v>
      </c>
      <c r="H14" s="98">
        <f t="shared" si="2"/>
        <v>370.1</v>
      </c>
      <c r="I14" s="98">
        <f t="shared" si="2"/>
        <v>398.2</v>
      </c>
      <c r="J14" s="98">
        <f t="shared" si="2"/>
        <v>399.8</v>
      </c>
      <c r="K14" s="98">
        <f t="shared" si="2"/>
        <v>341.9</v>
      </c>
      <c r="L14" s="98">
        <f t="shared" si="2"/>
        <v>344.4</v>
      </c>
      <c r="M14" s="98">
        <f t="shared" si="2"/>
        <v>336.5</v>
      </c>
      <c r="N14" s="98">
        <f t="shared" si="2"/>
        <v>309.4</v>
      </c>
      <c r="O14" s="98">
        <f t="shared" si="2"/>
        <v>230.5</v>
      </c>
      <c r="P14" s="98">
        <f t="shared" si="2"/>
        <v>235.1</v>
      </c>
      <c r="Q14" s="98">
        <f t="shared" si="2"/>
        <v>259.9</v>
      </c>
      <c r="R14" s="98">
        <f t="shared" si="2"/>
        <v>236</v>
      </c>
    </row>
    <row r="15" ht="12.75" customHeight="1">
      <c r="A15" s="99"/>
      <c r="B15" s="100"/>
      <c r="C15" s="100"/>
      <c r="D15" s="100"/>
      <c r="E15" s="100"/>
      <c r="F15" s="100"/>
      <c r="G15" s="100"/>
      <c r="H15" s="100"/>
      <c r="I15" s="100"/>
      <c r="J15" s="100"/>
      <c r="K15" s="100"/>
      <c r="L15" s="100"/>
      <c r="M15" s="100"/>
      <c r="N15" s="100"/>
      <c r="O15" s="100"/>
      <c r="P15" s="100"/>
      <c r="Q15" s="100"/>
      <c r="R15" s="100"/>
    </row>
    <row r="16" ht="12.75" customHeight="1">
      <c r="A16" s="76" t="s">
        <v>141</v>
      </c>
      <c r="B16" s="98">
        <f t="shared" ref="B16:R16" si="3">SUM(B14,B11)</f>
        <v>26957.76688</v>
      </c>
      <c r="C16" s="98">
        <f t="shared" si="3"/>
        <v>28036.61048</v>
      </c>
      <c r="D16" s="98">
        <f t="shared" si="3"/>
        <v>25290.94891</v>
      </c>
      <c r="E16" s="98">
        <f t="shared" si="3"/>
        <v>16689.18785</v>
      </c>
      <c r="F16" s="98">
        <f t="shared" si="3"/>
        <v>14505.27844</v>
      </c>
      <c r="G16" s="98">
        <f t="shared" si="3"/>
        <v>14253.40041</v>
      </c>
      <c r="H16" s="98">
        <f t="shared" si="3"/>
        <v>9638.838209</v>
      </c>
      <c r="I16" s="98">
        <f t="shared" si="3"/>
        <v>10326.03546</v>
      </c>
      <c r="J16" s="98">
        <f t="shared" si="3"/>
        <v>10122.7901</v>
      </c>
      <c r="K16" s="98">
        <f t="shared" si="3"/>
        <v>8935.490203</v>
      </c>
      <c r="L16" s="98">
        <f t="shared" si="3"/>
        <v>8023.939153</v>
      </c>
      <c r="M16" s="98">
        <f t="shared" si="3"/>
        <v>7855.264635</v>
      </c>
      <c r="N16" s="98">
        <f t="shared" si="3"/>
        <v>7874.422548</v>
      </c>
      <c r="O16" s="98">
        <f t="shared" si="3"/>
        <v>6903.460714</v>
      </c>
      <c r="P16" s="98">
        <f t="shared" si="3"/>
        <v>8547.24293</v>
      </c>
      <c r="Q16" s="98">
        <f t="shared" si="3"/>
        <v>7956.470922</v>
      </c>
      <c r="R16" s="98">
        <f t="shared" si="3"/>
        <v>6180.855532</v>
      </c>
    </row>
    <row r="17" ht="12.75" customHeight="1"/>
    <row r="18" ht="12.75" customHeight="1">
      <c r="A18" s="94" t="s">
        <v>142</v>
      </c>
      <c r="B18" s="101"/>
      <c r="C18" s="101"/>
      <c r="D18" s="101"/>
      <c r="E18" s="101"/>
      <c r="F18" s="101"/>
      <c r="G18" s="101"/>
      <c r="H18" s="101"/>
      <c r="I18" s="101"/>
      <c r="J18" s="101"/>
      <c r="K18" s="101"/>
      <c r="L18" s="101"/>
      <c r="M18" s="101"/>
      <c r="N18" s="101"/>
      <c r="O18" s="101"/>
      <c r="P18" s="101"/>
      <c r="Q18" s="101"/>
      <c r="R18" s="101"/>
    </row>
    <row r="19" ht="12.75" customHeight="1">
      <c r="A19" s="102" t="s">
        <v>143</v>
      </c>
      <c r="B19" s="103">
        <f>'Scope1A Stationary'!C97</f>
        <v>0</v>
      </c>
      <c r="C19" s="103">
        <f>'Scope1A Stationary'!D97</f>
        <v>0</v>
      </c>
      <c r="D19" s="103">
        <f>'Scope1A Stationary'!E97</f>
        <v>3199.95912</v>
      </c>
      <c r="E19" s="103">
        <f>'Scope1A Stationary'!F97</f>
        <v>13703.62097</v>
      </c>
      <c r="F19" s="103">
        <f>'Scope1A Stationary'!G97</f>
        <v>18722.02711</v>
      </c>
      <c r="G19" s="103">
        <f>'Scope1A Stationary'!H97</f>
        <v>15696.11676</v>
      </c>
      <c r="H19" s="103">
        <f>'Scope1A Stationary'!I97</f>
        <v>20709.99038</v>
      </c>
      <c r="I19" s="103">
        <f>'Scope1A Stationary'!J97</f>
        <v>25276.91674</v>
      </c>
      <c r="J19" s="103">
        <f>'Scope1A Stationary'!K97</f>
        <v>24240.82346</v>
      </c>
      <c r="K19" s="103">
        <f>'Scope1A Stationary'!L97</f>
        <v>19356.76121</v>
      </c>
      <c r="L19" s="103">
        <f>'Scope1A Stationary'!M97</f>
        <v>21452.27121</v>
      </c>
      <c r="M19" s="103">
        <f>'Scope1A Stationary'!N97</f>
        <v>20225.2827</v>
      </c>
      <c r="N19" s="103">
        <f>'Scope1A Stationary'!O97</f>
        <v>21043.94646</v>
      </c>
      <c r="O19" s="103">
        <f>'Scope1A Stationary'!P97</f>
        <v>18117.29829</v>
      </c>
      <c r="P19" s="103">
        <f>'Scope1A Stationary'!Q97</f>
        <v>15097.91477</v>
      </c>
      <c r="Q19" s="103">
        <f>'Scope1A Stationary'!R97</f>
        <v>15345.20906</v>
      </c>
      <c r="R19" s="103">
        <f>'Scope1A Stationary'!S97</f>
        <v>17496.0711</v>
      </c>
    </row>
    <row r="20" ht="12.75" customHeight="1"/>
    <row r="21" ht="12.75" customHeight="1">
      <c r="B21" s="97"/>
      <c r="C21" s="97"/>
      <c r="D21" s="97"/>
      <c r="E21" s="97"/>
      <c r="F21" s="97"/>
      <c r="G21" s="97"/>
      <c r="H21" s="97"/>
      <c r="I21" s="97"/>
      <c r="J21" s="97"/>
      <c r="K21" s="97"/>
    </row>
    <row r="22" ht="12.75" customHeight="1"/>
    <row r="23" ht="12.75" customHeight="1"/>
    <row r="24" ht="12.75" customHeight="1">
      <c r="A24" s="104" t="s">
        <v>144</v>
      </c>
    </row>
    <row r="25" ht="12.75" customHeight="1">
      <c r="A25" s="104" t="s">
        <v>145</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I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38"/>
    <col customWidth="1" min="2" max="18" width="8.88"/>
    <col customWidth="1" min="19" max="26" width="10.0"/>
  </cols>
  <sheetData>
    <row r="1" ht="18.0" customHeight="1">
      <c r="A1" s="89" t="s">
        <v>146</v>
      </c>
      <c r="B1" s="90"/>
      <c r="C1" s="90"/>
      <c r="D1" s="90"/>
      <c r="E1" s="90"/>
      <c r="F1" s="90"/>
      <c r="G1" s="90"/>
      <c r="H1" s="90"/>
      <c r="I1" s="91"/>
    </row>
    <row r="2" ht="12.75" customHeight="1"/>
    <row r="3" ht="15.75" customHeight="1">
      <c r="A3" s="92" t="s">
        <v>147</v>
      </c>
      <c r="J3" s="93"/>
    </row>
    <row r="4" ht="12.75" customHeight="1">
      <c r="A4" s="47"/>
      <c r="B4" s="65"/>
      <c r="J4" s="78"/>
    </row>
    <row r="5" ht="12.75" customHeight="1">
      <c r="A5" s="47" t="s">
        <v>131</v>
      </c>
      <c r="B5" s="71" t="s">
        <v>76</v>
      </c>
      <c r="C5" s="71" t="s">
        <v>77</v>
      </c>
      <c r="D5" s="71" t="s">
        <v>78</v>
      </c>
      <c r="E5" s="71" t="s">
        <v>79</v>
      </c>
      <c r="F5" s="71" t="s">
        <v>80</v>
      </c>
      <c r="G5" s="67" t="s">
        <v>81</v>
      </c>
      <c r="H5" s="67" t="s">
        <v>82</v>
      </c>
      <c r="I5" s="67" t="s">
        <v>83</v>
      </c>
      <c r="J5" s="67" t="s">
        <v>84</v>
      </c>
      <c r="K5" s="67" t="s">
        <v>85</v>
      </c>
      <c r="L5" s="67" t="s">
        <v>67</v>
      </c>
      <c r="M5" s="67" t="s">
        <v>68</v>
      </c>
      <c r="N5" s="67" t="s">
        <v>69</v>
      </c>
      <c r="O5" s="67" t="s">
        <v>70</v>
      </c>
      <c r="P5" s="67" t="s">
        <v>71</v>
      </c>
      <c r="Q5" s="67" t="s">
        <v>72</v>
      </c>
      <c r="R5" s="67" t="s">
        <v>73</v>
      </c>
      <c r="S5" s="47"/>
      <c r="T5" s="47"/>
      <c r="U5" s="47"/>
      <c r="V5" s="47"/>
      <c r="W5" s="47"/>
      <c r="X5" s="47"/>
      <c r="Y5" s="47"/>
      <c r="Z5" s="47"/>
    </row>
    <row r="6" ht="12.75" customHeight="1">
      <c r="A6" s="25" t="s">
        <v>148</v>
      </c>
      <c r="B6" s="97">
        <f>'Scope2 Electricity'!B159</f>
        <v>0</v>
      </c>
      <c r="C6" s="97">
        <f>'Scope2 Electricity'!C159</f>
        <v>0</v>
      </c>
      <c r="D6" s="97">
        <f>'Scope2 Electricity'!D159</f>
        <v>0</v>
      </c>
      <c r="E6" s="97">
        <f>'Scope2 Electricity'!E159</f>
        <v>0</v>
      </c>
      <c r="F6" s="97">
        <f>'Scope2 Electricity'!F159</f>
        <v>0</v>
      </c>
      <c r="G6" s="97">
        <f>'Scope2 Electricity'!G159</f>
        <v>0</v>
      </c>
      <c r="H6" s="97">
        <f>'Scope2 Electricity'!H159</f>
        <v>0</v>
      </c>
      <c r="I6" s="97">
        <f>'Scope2 Electricity'!I159</f>
        <v>0</v>
      </c>
      <c r="J6" s="97">
        <f>'Scope2 Electricity'!J159</f>
        <v>0</v>
      </c>
      <c r="K6" s="97">
        <f>'Scope2 Electricity'!K159</f>
        <v>0</v>
      </c>
      <c r="L6" s="97">
        <f>'Scope2 Electricity'!L159</f>
        <v>0</v>
      </c>
      <c r="M6" s="97">
        <f>'Scope2 Electricity'!M159</f>
        <v>0</v>
      </c>
      <c r="N6" s="97">
        <f>'Scope2 Electricity'!N159</f>
        <v>0</v>
      </c>
      <c r="O6" s="97">
        <f>'Scope2 Electricity'!O159</f>
        <v>0</v>
      </c>
      <c r="P6" s="97">
        <f>'Scope2 Electricity'!P159</f>
        <v>0</v>
      </c>
      <c r="Q6" s="97">
        <f>'Scope2 Electricity'!R159</f>
        <v>0</v>
      </c>
      <c r="R6" s="97" t="str">
        <f>'Scope2 Electricity'!S159</f>
        <v/>
      </c>
    </row>
    <row r="7" ht="12.75" customHeight="1">
      <c r="A7" s="25" t="s">
        <v>149</v>
      </c>
      <c r="B7" s="97">
        <f>'Scope2 Electricity'!B160</f>
        <v>0</v>
      </c>
      <c r="C7" s="97">
        <f>'Scope2 Electricity'!C160</f>
        <v>0</v>
      </c>
      <c r="D7" s="97">
        <f>'Scope2 Electricity'!D160</f>
        <v>0</v>
      </c>
      <c r="E7" s="97">
        <f>'Scope2 Electricity'!E160</f>
        <v>0</v>
      </c>
      <c r="F7" s="97">
        <f>'Scope2 Electricity'!F160</f>
        <v>0</v>
      </c>
      <c r="G7" s="97">
        <f>'Scope2 Electricity'!G160</f>
        <v>0</v>
      </c>
      <c r="H7" s="97">
        <f>'Scope2 Electricity'!H160</f>
        <v>0</v>
      </c>
      <c r="I7" s="97">
        <f>'Scope2 Electricity'!I160</f>
        <v>0</v>
      </c>
      <c r="J7" s="97">
        <f>'Scope2 Electricity'!J160</f>
        <v>0</v>
      </c>
      <c r="K7" s="97">
        <f>'Scope2 Electricity'!K160</f>
        <v>0</v>
      </c>
      <c r="L7" s="97">
        <f>'Scope2 Electricity'!L160</f>
        <v>0</v>
      </c>
      <c r="M7" s="97">
        <f>'Scope2 Electricity'!M160</f>
        <v>0</v>
      </c>
      <c r="N7" s="97">
        <f>'Scope2 Electricity'!N160</f>
        <v>0</v>
      </c>
      <c r="O7" s="97">
        <f>'Scope2 Electricity'!O160</f>
        <v>0</v>
      </c>
      <c r="P7" s="97">
        <f>'Scope2 Electricity'!P160</f>
        <v>0</v>
      </c>
      <c r="Q7" s="97">
        <f>'Scope2 Electricity'!R160</f>
        <v>0</v>
      </c>
      <c r="R7" s="97" t="str">
        <f>'Scope2 Electricity'!S160</f>
        <v/>
      </c>
    </row>
    <row r="8" ht="12.75" customHeight="1">
      <c r="A8" s="25" t="s">
        <v>150</v>
      </c>
      <c r="B8" s="97">
        <f>'Scope2 Electricity'!B161</f>
        <v>0</v>
      </c>
      <c r="C8" s="97">
        <f>'Scope2 Electricity'!C161</f>
        <v>0</v>
      </c>
      <c r="D8" s="97">
        <f>'Scope2 Electricity'!D161</f>
        <v>0</v>
      </c>
      <c r="E8" s="97">
        <f>'Scope2 Electricity'!E161</f>
        <v>0</v>
      </c>
      <c r="F8" s="97">
        <f>'Scope2 Electricity'!F161</f>
        <v>0</v>
      </c>
      <c r="G8" s="97">
        <f>'Scope2 Electricity'!G161</f>
        <v>0</v>
      </c>
      <c r="H8" s="97">
        <f>'Scope2 Electricity'!H161</f>
        <v>0</v>
      </c>
      <c r="I8" s="97">
        <f>'Scope2 Electricity'!I161</f>
        <v>0</v>
      </c>
      <c r="J8" s="97">
        <f>'Scope2 Electricity'!J161</f>
        <v>0</v>
      </c>
      <c r="K8" s="97">
        <f>'Scope2 Electricity'!K161</f>
        <v>0</v>
      </c>
      <c r="L8" s="97">
        <f>'Scope2 Electricity'!L161</f>
        <v>0</v>
      </c>
      <c r="M8" s="97">
        <f>'Scope2 Electricity'!M161</f>
        <v>0</v>
      </c>
      <c r="N8" s="97">
        <f>'Scope2 Electricity'!N161</f>
        <v>0</v>
      </c>
      <c r="O8" s="97">
        <f>'Scope2 Electricity'!O161</f>
        <v>0</v>
      </c>
      <c r="P8" s="97">
        <f>'Scope2 Electricity'!P161</f>
        <v>0</v>
      </c>
      <c r="Q8" s="97">
        <f>'Scope2 Electricity'!R161</f>
        <v>0</v>
      </c>
      <c r="R8" s="97" t="str">
        <f>'Scope2 Electricity'!S161</f>
        <v/>
      </c>
    </row>
    <row r="9" ht="15.0" customHeight="1">
      <c r="A9" s="25" t="s">
        <v>151</v>
      </c>
      <c r="B9" s="97">
        <f>'Scope2 Electricity'!B162</f>
        <v>0</v>
      </c>
      <c r="C9" s="97">
        <f>'Scope2 Electricity'!C162</f>
        <v>0</v>
      </c>
      <c r="D9" s="97">
        <f>'Scope2 Electricity'!D162</f>
        <v>0</v>
      </c>
      <c r="E9" s="97">
        <f>'Scope2 Electricity'!E162</f>
        <v>0</v>
      </c>
      <c r="F9" s="97">
        <f>'Scope2 Electricity'!F162</f>
        <v>0</v>
      </c>
      <c r="G9" s="97">
        <f>'Scope2 Electricity'!G162</f>
        <v>0</v>
      </c>
      <c r="H9" s="97">
        <f>'Scope2 Electricity'!H162</f>
        <v>0</v>
      </c>
      <c r="I9" s="97">
        <f>'Scope2 Electricity'!I162</f>
        <v>0</v>
      </c>
      <c r="J9" s="97">
        <f>'Scope2 Electricity'!J162</f>
        <v>0</v>
      </c>
      <c r="K9" s="97">
        <f>'Scope2 Electricity'!K162</f>
        <v>0</v>
      </c>
      <c r="L9" s="97">
        <f>'Scope2 Electricity'!L162</f>
        <v>0</v>
      </c>
      <c r="M9" s="97">
        <f>'Scope2 Electricity'!M162</f>
        <v>0</v>
      </c>
      <c r="N9" s="97">
        <f>'Scope2 Electricity'!N162</f>
        <v>0</v>
      </c>
      <c r="O9" s="97">
        <f>'Scope2 Electricity'!O162</f>
        <v>0</v>
      </c>
      <c r="P9" s="97">
        <f>'Scope2 Electricity'!P162</f>
        <v>0</v>
      </c>
      <c r="Q9" s="97">
        <f>'Scope2 Electricity'!R162</f>
        <v>0</v>
      </c>
      <c r="R9" s="97" t="str">
        <f>'Scope2 Electricity'!S162</f>
        <v/>
      </c>
    </row>
    <row r="10" ht="12.75" customHeight="1">
      <c r="A10" s="56" t="s">
        <v>152</v>
      </c>
      <c r="B10" s="97">
        <f>'Scope2 Electricity'!B163</f>
        <v>0</v>
      </c>
      <c r="C10" s="97">
        <f>'Scope2 Electricity'!C163</f>
        <v>0</v>
      </c>
      <c r="D10" s="97">
        <f>'Scope2 Electricity'!D163</f>
        <v>0</v>
      </c>
      <c r="E10" s="97">
        <f>'Scope2 Electricity'!E163</f>
        <v>0</v>
      </c>
      <c r="F10" s="97">
        <f>'Scope2 Electricity'!F163</f>
        <v>0</v>
      </c>
      <c r="G10" s="97">
        <f>'Scope2 Electricity'!G163</f>
        <v>0</v>
      </c>
      <c r="H10" s="97">
        <f>'Scope2 Electricity'!H163</f>
        <v>0</v>
      </c>
      <c r="I10" s="97">
        <f>'Scope2 Electricity'!I163</f>
        <v>0</v>
      </c>
      <c r="J10" s="97">
        <f>'Scope2 Electricity'!J163</f>
        <v>0</v>
      </c>
      <c r="K10" s="97">
        <f>'Scope2 Electricity'!K163</f>
        <v>0</v>
      </c>
      <c r="L10" s="97">
        <f>'Scope2 Electricity'!L163</f>
        <v>0</v>
      </c>
      <c r="M10" s="97">
        <f>'Scope2 Electricity'!M163</f>
        <v>0</v>
      </c>
      <c r="N10" s="97">
        <f>'Scope2 Electricity'!N163</f>
        <v>0</v>
      </c>
      <c r="O10" s="97">
        <f>'Scope2 Electricity'!O163</f>
        <v>0</v>
      </c>
      <c r="P10" s="97">
        <f>'Scope2 Electricity'!P163</f>
        <v>0</v>
      </c>
      <c r="Q10" s="97">
        <f>'Scope2 Electricity'!R163</f>
        <v>0</v>
      </c>
      <c r="R10" s="97" t="str">
        <f>'Scope2 Electricity'!S163</f>
        <v/>
      </c>
    </row>
    <row r="11" ht="12.75" customHeight="1">
      <c r="A11" s="56" t="s">
        <v>153</v>
      </c>
      <c r="B11" s="97">
        <f>'Scope2 Electricity'!B164</f>
        <v>0</v>
      </c>
      <c r="C11" s="97">
        <f>'Scope2 Electricity'!C164</f>
        <v>0</v>
      </c>
      <c r="D11" s="97">
        <f>'Scope2 Electricity'!D164</f>
        <v>0</v>
      </c>
      <c r="E11" s="97">
        <f>'Scope2 Electricity'!E164</f>
        <v>0</v>
      </c>
      <c r="F11" s="97">
        <f>'Scope2 Electricity'!F164</f>
        <v>0</v>
      </c>
      <c r="G11" s="97">
        <f>'Scope2 Electricity'!G164</f>
        <v>0</v>
      </c>
      <c r="H11" s="97">
        <f>'Scope2 Electricity'!H164</f>
        <v>0</v>
      </c>
      <c r="I11" s="97">
        <f>'Scope2 Electricity'!I164</f>
        <v>0</v>
      </c>
      <c r="J11" s="97">
        <f>'Scope2 Electricity'!J164</f>
        <v>0</v>
      </c>
      <c r="K11" s="97">
        <f>'Scope2 Electricity'!K164</f>
        <v>0</v>
      </c>
      <c r="L11" s="97">
        <f>'Scope2 Electricity'!L164</f>
        <v>0</v>
      </c>
      <c r="M11" s="97">
        <f>'Scope2 Electricity'!M164</f>
        <v>0</v>
      </c>
      <c r="N11" s="97">
        <f>'Scope2 Electricity'!N164</f>
        <v>0</v>
      </c>
      <c r="O11" s="97">
        <f>'Scope2 Electricity'!O164</f>
        <v>0</v>
      </c>
      <c r="P11" s="97">
        <f>'Scope2 Electricity'!P164</f>
        <v>0</v>
      </c>
      <c r="Q11" s="97">
        <f>'Scope2 Electricity'!R164</f>
        <v>0</v>
      </c>
      <c r="R11" s="97" t="str">
        <f>'Scope2 Electricity'!S164</f>
        <v/>
      </c>
    </row>
    <row r="12" ht="12.75" customHeight="1">
      <c r="A12" s="56" t="s">
        <v>154</v>
      </c>
      <c r="B12" s="97">
        <f>'Scope2 Electricity'!B165</f>
        <v>0</v>
      </c>
      <c r="C12" s="97">
        <f>'Scope2 Electricity'!C165</f>
        <v>0</v>
      </c>
      <c r="D12" s="97">
        <f>'Scope2 Electricity'!D165</f>
        <v>0</v>
      </c>
      <c r="E12" s="97">
        <f>'Scope2 Electricity'!E165</f>
        <v>0</v>
      </c>
      <c r="F12" s="97">
        <f>'Scope2 Electricity'!F165</f>
        <v>0</v>
      </c>
      <c r="G12" s="97">
        <f>'Scope2 Electricity'!G165</f>
        <v>0</v>
      </c>
      <c r="H12" s="97">
        <f>'Scope2 Electricity'!H165</f>
        <v>0</v>
      </c>
      <c r="I12" s="97">
        <f>'Scope2 Electricity'!I165</f>
        <v>0</v>
      </c>
      <c r="J12" s="97">
        <f>'Scope2 Electricity'!J165</f>
        <v>0</v>
      </c>
      <c r="K12" s="97">
        <f>'Scope2 Electricity'!K165</f>
        <v>0</v>
      </c>
      <c r="L12" s="97">
        <f>'Scope2 Electricity'!L165</f>
        <v>0</v>
      </c>
      <c r="M12" s="97">
        <f>'Scope2 Electricity'!M165</f>
        <v>0</v>
      </c>
      <c r="N12" s="97">
        <f>'Scope2 Electricity'!N165</f>
        <v>0</v>
      </c>
      <c r="O12" s="97">
        <f>'Scope2 Electricity'!O165</f>
        <v>0</v>
      </c>
      <c r="P12" s="97">
        <f>'Scope2 Electricity'!P165</f>
        <v>0</v>
      </c>
      <c r="Q12" s="97">
        <f>'Scope2 Electricity'!R165</f>
        <v>0</v>
      </c>
      <c r="R12" s="97" t="str">
        <f>'Scope2 Electricity'!S165</f>
        <v/>
      </c>
    </row>
    <row r="13" ht="12.75" customHeight="1">
      <c r="A13" s="25" t="s">
        <v>135</v>
      </c>
      <c r="B13" s="97">
        <f>'Scope2 Electricity'!B166</f>
        <v>22.7</v>
      </c>
      <c r="C13" s="97">
        <f>'Scope2 Electricity'!C166</f>
        <v>33.5</v>
      </c>
      <c r="D13" s="97">
        <f>'Scope2 Electricity'!D166</f>
        <v>25.3</v>
      </c>
      <c r="E13" s="97">
        <f>'Scope2 Electricity'!E166</f>
        <v>0</v>
      </c>
      <c r="F13" s="97">
        <f>'Scope2 Electricity'!F166</f>
        <v>0</v>
      </c>
      <c r="G13" s="97">
        <f>'Scope2 Electricity'!G166</f>
        <v>25.2</v>
      </c>
      <c r="H13" s="97">
        <f>'Scope2 Electricity'!H166</f>
        <v>696.3</v>
      </c>
      <c r="I13" s="97">
        <f>'Scope2 Electricity'!I166</f>
        <v>680.5</v>
      </c>
      <c r="J13" s="97">
        <f>'Scope2 Electricity'!J166</f>
        <v>722</v>
      </c>
      <c r="K13" s="97">
        <f>'Scope2 Electricity'!K166</f>
        <v>803</v>
      </c>
      <c r="L13" s="97">
        <f>'Scope2 Electricity'!L166</f>
        <v>701.3</v>
      </c>
      <c r="M13" s="97">
        <f>'Scope2 Electricity'!M166</f>
        <v>887.3</v>
      </c>
      <c r="N13" s="97">
        <f>'Scope2 Electricity'!N166</f>
        <v>218.7</v>
      </c>
      <c r="O13" s="97">
        <f>'Scope2 Electricity'!O166</f>
        <v>79.8</v>
      </c>
      <c r="P13" s="97">
        <f>'Scope2 Electricity'!P166</f>
        <v>0</v>
      </c>
      <c r="Q13" s="97">
        <f>'Scope2 Electricity'!R166</f>
        <v>0</v>
      </c>
      <c r="R13" s="97" t="str">
        <f>'Scope2 Electricity'!S166</f>
        <v/>
      </c>
    </row>
    <row r="14" ht="12.75" customHeight="1">
      <c r="A14" s="25" t="s">
        <v>155</v>
      </c>
      <c r="B14" s="97">
        <f>'Scope2 Electricity'!B167</f>
        <v>15.4</v>
      </c>
      <c r="C14" s="97">
        <f>'Scope2 Electricity'!C167</f>
        <v>23.9</v>
      </c>
      <c r="D14" s="97">
        <f>'Scope2 Electricity'!D167</f>
        <v>16.9</v>
      </c>
      <c r="E14" s="97">
        <f>'Scope2 Electricity'!E167</f>
        <v>0</v>
      </c>
      <c r="F14" s="97">
        <f>'Scope2 Electricity'!F167</f>
        <v>0</v>
      </c>
      <c r="G14" s="97">
        <f>'Scope2 Electricity'!G167</f>
        <v>6.8</v>
      </c>
      <c r="H14" s="97">
        <f>'Scope2 Electricity'!H167</f>
        <v>150.8</v>
      </c>
      <c r="I14" s="97">
        <f>'Scope2 Electricity'!I167</f>
        <v>147.4</v>
      </c>
      <c r="J14" s="97">
        <f>'Scope2 Electricity'!J167</f>
        <v>0</v>
      </c>
      <c r="K14" s="97">
        <f>'Scope2 Electricity'!K167</f>
        <v>0</v>
      </c>
      <c r="L14" s="97">
        <f>'Scope2 Electricity'!L167</f>
        <v>75.6</v>
      </c>
      <c r="M14" s="97">
        <f>'Scope2 Electricity'!M167</f>
        <v>51.2</v>
      </c>
      <c r="N14" s="97">
        <f>'Scope2 Electricity'!N167</f>
        <v>0</v>
      </c>
      <c r="O14" s="97">
        <f>'Scope2 Electricity'!O167</f>
        <v>0.3</v>
      </c>
      <c r="P14" s="97">
        <f>'Scope2 Electricity'!P167</f>
        <v>0</v>
      </c>
      <c r="Q14" s="97">
        <f>'Scope2 Electricity'!R167</f>
        <v>0</v>
      </c>
      <c r="R14" s="97" t="str">
        <f>'Scope2 Electricity'!S167</f>
        <v/>
      </c>
    </row>
    <row r="15" ht="12.75" customHeight="1">
      <c r="A15" s="25" t="s">
        <v>156</v>
      </c>
      <c r="B15" s="97">
        <f>'Scope2 Electricity'!B168</f>
        <v>2.5</v>
      </c>
      <c r="C15" s="97">
        <f>'Scope2 Electricity'!C168</f>
        <v>4.2</v>
      </c>
      <c r="D15" s="97">
        <f>'Scope2 Electricity'!D168</f>
        <v>2.7</v>
      </c>
      <c r="E15" s="97">
        <f>'Scope2 Electricity'!E168</f>
        <v>10.9</v>
      </c>
      <c r="F15" s="97">
        <f>'Scope2 Electricity'!F168</f>
        <v>0</v>
      </c>
      <c r="G15" s="97">
        <f>'Scope2 Electricity'!G168</f>
        <v>1.6</v>
      </c>
      <c r="H15" s="97">
        <f>'Scope2 Electricity'!H168</f>
        <v>6.6</v>
      </c>
      <c r="I15" s="97">
        <f>'Scope2 Electricity'!I168</f>
        <v>58.7</v>
      </c>
      <c r="J15" s="97">
        <f>'Scope2 Electricity'!J168</f>
        <v>539.4</v>
      </c>
      <c r="K15" s="97">
        <f>'Scope2 Electricity'!K168</f>
        <v>553.7</v>
      </c>
      <c r="L15" s="97">
        <f>'Scope2 Electricity'!L168</f>
        <v>5.8</v>
      </c>
      <c r="M15" s="97">
        <f>'Scope2 Electricity'!M168</f>
        <v>17.5</v>
      </c>
      <c r="N15" s="97">
        <f>'Scope2 Electricity'!N168</f>
        <v>250.6</v>
      </c>
      <c r="O15" s="97">
        <f>'Scope2 Electricity'!O168</f>
        <v>10.9</v>
      </c>
      <c r="P15" s="97">
        <f>'Scope2 Electricity'!P168</f>
        <v>0</v>
      </c>
      <c r="Q15" s="97">
        <f>'Scope2 Electricity'!R168</f>
        <v>0</v>
      </c>
      <c r="R15" s="97" t="str">
        <f>'Scope2 Electricity'!S168</f>
        <v/>
      </c>
    </row>
    <row r="16" ht="12.75" customHeight="1">
      <c r="A16" s="25" t="s">
        <v>157</v>
      </c>
      <c r="B16" s="97">
        <f>'Scope2 Electricity'!B169</f>
        <v>17</v>
      </c>
      <c r="C16" s="97">
        <f>'Scope2 Electricity'!C169</f>
        <v>34.5</v>
      </c>
      <c r="D16" s="97">
        <f>'Scope2 Electricity'!D169</f>
        <v>20.6</v>
      </c>
      <c r="E16" s="97">
        <f>'Scope2 Electricity'!E169</f>
        <v>0</v>
      </c>
      <c r="F16" s="97">
        <f>'Scope2 Electricity'!F169</f>
        <v>5.9</v>
      </c>
      <c r="G16" s="97">
        <f>'Scope2 Electricity'!G169</f>
        <v>4</v>
      </c>
      <c r="H16" s="97">
        <f>'Scope2 Electricity'!H169</f>
        <v>5.2</v>
      </c>
      <c r="I16" s="97">
        <f>'Scope2 Electricity'!I169</f>
        <v>5</v>
      </c>
      <c r="J16" s="97">
        <f>'Scope2 Electricity'!J169</f>
        <v>0</v>
      </c>
      <c r="K16" s="97">
        <f>'Scope2 Electricity'!K169</f>
        <v>0</v>
      </c>
      <c r="L16" s="97">
        <f>'Scope2 Electricity'!L169</f>
        <v>0</v>
      </c>
      <c r="M16" s="97">
        <f>'Scope2 Electricity'!M169</f>
        <v>0</v>
      </c>
      <c r="N16" s="97">
        <f>'Scope2 Electricity'!N169</f>
        <v>0</v>
      </c>
      <c r="O16" s="97">
        <f>'Scope2 Electricity'!O169</f>
        <v>0</v>
      </c>
      <c r="P16" s="97">
        <f>'Scope2 Electricity'!P169</f>
        <v>0</v>
      </c>
      <c r="Q16" s="97">
        <f>'Scope2 Electricity'!R169</f>
        <v>0</v>
      </c>
      <c r="R16" s="97" t="str">
        <f>'Scope2 Electricity'!S169</f>
        <v/>
      </c>
    </row>
    <row r="17" ht="12.75" customHeight="1">
      <c r="A17" s="25" t="s">
        <v>158</v>
      </c>
      <c r="B17" s="97">
        <f>'Scope2 Electricity'!B170</f>
        <v>577.2</v>
      </c>
      <c r="C17" s="97">
        <f>'Scope2 Electricity'!C170</f>
        <v>884.2</v>
      </c>
      <c r="D17" s="97">
        <f>'Scope2 Electricity'!D170</f>
        <v>839.1</v>
      </c>
      <c r="E17" s="97">
        <f>'Scope2 Electricity'!E170</f>
        <v>166.3</v>
      </c>
      <c r="F17" s="97">
        <f>'Scope2 Electricity'!F170</f>
        <v>504.7</v>
      </c>
      <c r="G17" s="97">
        <f>'Scope2 Electricity'!G170</f>
        <v>398.6</v>
      </c>
      <c r="H17" s="97">
        <f>'Scope2 Electricity'!H170</f>
        <v>0</v>
      </c>
      <c r="I17" s="97">
        <f>'Scope2 Electricity'!I170</f>
        <v>0</v>
      </c>
      <c r="J17" s="97">
        <f>'Scope2 Electricity'!J170</f>
        <v>0</v>
      </c>
      <c r="K17" s="97">
        <f>'Scope2 Electricity'!K170</f>
        <v>0</v>
      </c>
      <c r="L17" s="97">
        <f>'Scope2 Electricity'!L170</f>
        <v>836.5</v>
      </c>
      <c r="M17" s="97">
        <f>'Scope2 Electricity'!M170</f>
        <v>134.5</v>
      </c>
      <c r="N17" s="97">
        <f>'Scope2 Electricity'!N170</f>
        <v>0</v>
      </c>
      <c r="O17" s="97">
        <f>'Scope2 Electricity'!O170</f>
        <v>83.1</v>
      </c>
      <c r="P17" s="97">
        <f>'Scope2 Electricity'!P170</f>
        <v>0</v>
      </c>
      <c r="Q17" s="97">
        <f>'Scope2 Electricity'!R170</f>
        <v>0</v>
      </c>
      <c r="R17" s="97" t="str">
        <f>'Scope2 Electricity'!S170</f>
        <v/>
      </c>
    </row>
    <row r="18" ht="12.75" customHeight="1">
      <c r="A18" s="76" t="s">
        <v>159</v>
      </c>
      <c r="B18" s="98">
        <f t="shared" ref="B18:R18" si="1">SUM(B6:B17)</f>
        <v>634.8</v>
      </c>
      <c r="C18" s="98">
        <f t="shared" si="1"/>
        <v>980.3</v>
      </c>
      <c r="D18" s="98">
        <f t="shared" si="1"/>
        <v>904.6</v>
      </c>
      <c r="E18" s="98">
        <f t="shared" si="1"/>
        <v>177.2</v>
      </c>
      <c r="F18" s="98">
        <f t="shared" si="1"/>
        <v>510.6</v>
      </c>
      <c r="G18" s="98">
        <f t="shared" si="1"/>
        <v>436.2</v>
      </c>
      <c r="H18" s="98">
        <f t="shared" si="1"/>
        <v>858.9</v>
      </c>
      <c r="I18" s="98">
        <f t="shared" si="1"/>
        <v>891.6</v>
      </c>
      <c r="J18" s="98">
        <f t="shared" si="1"/>
        <v>1261.4</v>
      </c>
      <c r="K18" s="98">
        <f t="shared" si="1"/>
        <v>1356.7</v>
      </c>
      <c r="L18" s="98">
        <f t="shared" si="1"/>
        <v>1619.2</v>
      </c>
      <c r="M18" s="98">
        <f t="shared" si="1"/>
        <v>1090.5</v>
      </c>
      <c r="N18" s="98">
        <f t="shared" si="1"/>
        <v>469.3</v>
      </c>
      <c r="O18" s="98">
        <f t="shared" si="1"/>
        <v>174.1</v>
      </c>
      <c r="P18" s="98">
        <f t="shared" si="1"/>
        <v>0</v>
      </c>
      <c r="Q18" s="98">
        <f t="shared" si="1"/>
        <v>0</v>
      </c>
      <c r="R18" s="98">
        <f t="shared" si="1"/>
        <v>0</v>
      </c>
    </row>
    <row r="19" ht="12.75" customHeight="1"/>
    <row r="20" ht="36.75" customHeight="1">
      <c r="A20" s="12" t="s">
        <v>160</v>
      </c>
    </row>
    <row r="21" ht="12.75" customHeight="1"/>
    <row r="22" ht="12.75" customHeight="1"/>
    <row r="23" ht="12.75" customHeight="1"/>
    <row r="24" ht="12.75" customHeight="1"/>
    <row r="25" ht="12.75" customHeight="1"/>
    <row r="26" ht="12.75" customHeight="1"/>
    <row r="27" ht="12.75" customHeight="1"/>
    <row r="28" ht="12.75" customHeight="1">
      <c r="A28" s="104" t="s">
        <v>161</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I1"/>
    <mergeCell ref="A20:F2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88"/>
    <col customWidth="1" min="2" max="19" width="8.88"/>
    <col customWidth="1" min="20" max="26" width="10.0"/>
  </cols>
  <sheetData>
    <row r="1" ht="18.0" customHeight="1">
      <c r="A1" s="89" t="s">
        <v>162</v>
      </c>
      <c r="B1" s="90"/>
      <c r="C1" s="90"/>
      <c r="D1" s="90"/>
      <c r="E1" s="90"/>
      <c r="F1" s="90"/>
      <c r="G1" s="90"/>
      <c r="H1" s="90"/>
      <c r="I1" s="91"/>
    </row>
    <row r="2" ht="12.75" customHeight="1"/>
    <row r="3" ht="15.75" customHeight="1">
      <c r="A3" s="92" t="s">
        <v>163</v>
      </c>
      <c r="J3" s="93"/>
    </row>
    <row r="4" ht="12.75" customHeight="1">
      <c r="A4" s="25"/>
      <c r="B4" s="47"/>
      <c r="C4" s="25"/>
      <c r="D4" s="25"/>
      <c r="E4" s="25"/>
      <c r="F4" s="25"/>
      <c r="G4" s="25"/>
      <c r="H4" s="25"/>
      <c r="I4" s="25"/>
    </row>
    <row r="5" ht="12.75" customHeight="1">
      <c r="A5" s="47" t="s">
        <v>164</v>
      </c>
      <c r="B5" s="71" t="s">
        <v>76</v>
      </c>
      <c r="C5" s="71" t="s">
        <v>77</v>
      </c>
      <c r="D5" s="71" t="s">
        <v>78</v>
      </c>
      <c r="E5" s="67" t="s">
        <v>79</v>
      </c>
      <c r="F5" s="67" t="s">
        <v>80</v>
      </c>
      <c r="G5" s="67" t="s">
        <v>81</v>
      </c>
      <c r="H5" s="67" t="s">
        <v>82</v>
      </c>
      <c r="I5" s="67" t="s">
        <v>83</v>
      </c>
      <c r="J5" s="67" t="s">
        <v>84</v>
      </c>
      <c r="K5" s="67" t="s">
        <v>85</v>
      </c>
      <c r="L5" s="67" t="s">
        <v>67</v>
      </c>
      <c r="M5" s="67" t="s">
        <v>68</v>
      </c>
      <c r="N5" s="67" t="s">
        <v>69</v>
      </c>
      <c r="O5" s="67" t="s">
        <v>70</v>
      </c>
      <c r="P5" s="67" t="s">
        <v>71</v>
      </c>
      <c r="Q5" s="67" t="s">
        <v>72</v>
      </c>
      <c r="R5" s="67" t="s">
        <v>73</v>
      </c>
    </row>
    <row r="6" ht="12.75" customHeight="1">
      <c r="A6" s="25" t="s">
        <v>165</v>
      </c>
      <c r="B6" s="97">
        <f>'Scope3 Travel'!B8</f>
        <v>225.8</v>
      </c>
      <c r="C6" s="97">
        <f>'Scope3 Travel'!C8</f>
        <v>401</v>
      </c>
      <c r="D6" s="97">
        <f>'Scope3 Travel'!D8</f>
        <v>455.2</v>
      </c>
      <c r="E6" s="97">
        <f>'Scope3 Travel'!E8</f>
        <v>575.9</v>
      </c>
      <c r="F6" s="97">
        <f>'Scope3 Travel'!F8</f>
        <v>454.6</v>
      </c>
      <c r="G6" s="97">
        <f>'Scope3 Travel'!G8</f>
        <v>430.1</v>
      </c>
      <c r="H6" s="97">
        <f>'Scope3 Travel'!H8</f>
        <v>492.5</v>
      </c>
      <c r="I6" s="97">
        <f>'Scope3 Travel'!I8</f>
        <v>631</v>
      </c>
      <c r="J6" s="97">
        <f>'Scope3 Travel'!J8</f>
        <v>622.2</v>
      </c>
      <c r="K6" s="97">
        <f>'Scope3 Travel'!L8</f>
        <v>926.8</v>
      </c>
      <c r="L6" s="97">
        <f>'Scope3 Travel'!M8</f>
        <v>983.5</v>
      </c>
      <c r="M6" s="97">
        <f>'Scope3 Travel'!N8</f>
        <v>1004.9</v>
      </c>
      <c r="N6" s="97">
        <f>'Scope3 Travel'!O8</f>
        <v>852.4</v>
      </c>
      <c r="O6" s="97">
        <f>'Scope3 Travel'!P8</f>
        <v>852.4</v>
      </c>
      <c r="P6" s="97">
        <f>'Scope3 Travel'!Q8</f>
        <v>852.4</v>
      </c>
      <c r="Q6" s="97">
        <f>'Scope3 Travel'!R8</f>
        <v>852.4</v>
      </c>
      <c r="R6" s="97">
        <f>'Scope3 Travel'!S8</f>
        <v>852.4</v>
      </c>
    </row>
    <row r="7" ht="12.75" customHeight="1">
      <c r="A7" s="25" t="s">
        <v>166</v>
      </c>
      <c r="B7" s="97">
        <f>'Scope3 Travel'!B9</f>
        <v>20.6</v>
      </c>
      <c r="C7" s="97">
        <f>'Scope3 Travel'!C9</f>
        <v>20.3</v>
      </c>
      <c r="D7" s="97">
        <f>'Scope3 Travel'!D9</f>
        <v>16.6</v>
      </c>
      <c r="E7" s="97">
        <f>'Scope3 Travel'!E9</f>
        <v>16.8</v>
      </c>
      <c r="F7" s="97">
        <f>'Scope3 Travel'!F9</f>
        <v>17.8</v>
      </c>
      <c r="G7" s="97">
        <f>'Scope3 Travel'!G9</f>
        <v>28.1</v>
      </c>
      <c r="H7" s="97">
        <f>'Scope3 Travel'!H9</f>
        <v>25.5</v>
      </c>
      <c r="I7" s="97">
        <f>'Scope3 Travel'!I9</f>
        <v>31.4</v>
      </c>
      <c r="J7" s="97">
        <f>'Scope3 Travel'!J9</f>
        <v>37.5</v>
      </c>
      <c r="K7" s="97">
        <f>'Scope3 Travel'!L9</f>
        <v>31.2</v>
      </c>
      <c r="L7" s="97">
        <f>'Scope3 Travel'!M9</f>
        <v>36.6</v>
      </c>
      <c r="M7" s="97">
        <f>'Scope3 Travel'!N9</f>
        <v>43</v>
      </c>
      <c r="N7" s="97">
        <f>'Scope3 Travel'!O9</f>
        <v>30.1</v>
      </c>
      <c r="O7" s="97">
        <f>'Scope3 Travel'!P9</f>
        <v>30.1</v>
      </c>
      <c r="P7" s="97">
        <f>'Scope3 Travel'!Q9</f>
        <v>30.1</v>
      </c>
      <c r="Q7" s="97">
        <f>'Scope3 Travel'!R9</f>
        <v>30.1</v>
      </c>
      <c r="R7" s="97">
        <f>'Scope3 Travel'!S9</f>
        <v>30.1</v>
      </c>
    </row>
    <row r="8" ht="12.75" customHeight="1">
      <c r="A8" s="25" t="s">
        <v>167</v>
      </c>
      <c r="B8" s="97">
        <f>'Scope3 Travel'!B10</f>
        <v>68.2</v>
      </c>
      <c r="C8" s="97">
        <f>'Scope3 Travel'!C10</f>
        <v>68.9</v>
      </c>
      <c r="D8" s="97">
        <f>'Scope3 Travel'!D10</f>
        <v>64.6</v>
      </c>
      <c r="E8" s="97">
        <f>'Scope3 Travel'!E10</f>
        <v>74.3</v>
      </c>
      <c r="F8" s="97">
        <f>'Scope3 Travel'!F10</f>
        <v>90.4</v>
      </c>
      <c r="G8" s="97">
        <f>'Scope3 Travel'!G10</f>
        <v>113.5</v>
      </c>
      <c r="H8" s="97">
        <f>'Scope3 Travel'!H10</f>
        <v>112.5</v>
      </c>
      <c r="I8" s="97">
        <f>'Scope3 Travel'!I10</f>
        <v>117.1</v>
      </c>
      <c r="J8" s="97">
        <f>'Scope3 Travel'!J10</f>
        <v>123.2</v>
      </c>
      <c r="K8" s="97">
        <f>'Scope3 Travel'!L10</f>
        <v>124.7</v>
      </c>
      <c r="L8" s="97">
        <f>'Scope3 Travel'!M10</f>
        <v>136.7</v>
      </c>
      <c r="M8" s="97">
        <f>'Scope3 Travel'!N10</f>
        <v>107</v>
      </c>
      <c r="N8" s="97">
        <f>'Scope3 Travel'!O10</f>
        <v>112.6</v>
      </c>
      <c r="O8" s="97">
        <f>'Scope3 Travel'!P10</f>
        <v>112.6</v>
      </c>
      <c r="P8" s="97">
        <f>'Scope3 Travel'!Q10</f>
        <v>112.6</v>
      </c>
      <c r="Q8" s="97">
        <f>'Scope3 Travel'!R10</f>
        <v>112.6</v>
      </c>
      <c r="R8" s="97">
        <f>'Scope3 Travel'!S10</f>
        <v>112.6</v>
      </c>
    </row>
    <row r="9" ht="12.75" customHeight="1">
      <c r="A9" s="25" t="s">
        <v>168</v>
      </c>
      <c r="B9" s="97">
        <f>'Scope3 Travel'!B11</f>
        <v>1349</v>
      </c>
      <c r="C9" s="97">
        <f>'Scope3 Travel'!C11</f>
        <v>1422.5</v>
      </c>
      <c r="D9" s="97">
        <f>'Scope3 Travel'!D11</f>
        <v>1108.6</v>
      </c>
      <c r="E9" s="97">
        <f>'Scope3 Travel'!E11</f>
        <v>1121.6</v>
      </c>
      <c r="F9" s="97">
        <f>'Scope3 Travel'!F11</f>
        <v>1785.1</v>
      </c>
      <c r="G9" s="97">
        <f>'Scope3 Travel'!G11</f>
        <v>2056.1</v>
      </c>
      <c r="H9" s="97">
        <f>'Scope3 Travel'!H11</f>
        <v>2345.6</v>
      </c>
      <c r="I9" s="97">
        <f>'Scope3 Travel'!I11</f>
        <v>2877.2</v>
      </c>
      <c r="J9" s="97">
        <f>'Scope3 Travel'!J11</f>
        <v>3062.3</v>
      </c>
      <c r="K9" s="97">
        <f>'Scope3 Travel'!L11</f>
        <v>2180.8</v>
      </c>
      <c r="L9" s="97">
        <f>'Scope3 Travel'!M11</f>
        <v>2689.2</v>
      </c>
      <c r="M9" s="97">
        <f>'Scope3 Travel'!N11</f>
        <v>2706.6</v>
      </c>
      <c r="N9" s="97">
        <f>'Scope3 Travel'!O11</f>
        <v>3002.6</v>
      </c>
      <c r="O9" s="97">
        <f>'Scope3 Travel'!P11</f>
        <v>1499.2</v>
      </c>
      <c r="P9" s="97">
        <f>'Scope3 Travel'!Q11</f>
        <v>1499.2</v>
      </c>
      <c r="Q9" s="97">
        <f>'Scope3 Travel'!R11</f>
        <v>1996.8</v>
      </c>
      <c r="R9" s="97">
        <f>'Scope3 Travel'!S11</f>
        <v>2651.9</v>
      </c>
    </row>
    <row r="10" ht="12.75" customHeight="1">
      <c r="A10" s="25" t="s">
        <v>169</v>
      </c>
      <c r="B10" s="97">
        <f>'Scope3 Travel'!B12</f>
        <v>25.1</v>
      </c>
      <c r="C10" s="97">
        <f>'Scope3 Travel'!C12</f>
        <v>24.5</v>
      </c>
      <c r="D10" s="97">
        <f>'Scope3 Travel'!D12</f>
        <v>22.2</v>
      </c>
      <c r="E10" s="97">
        <f>'Scope3 Travel'!E12</f>
        <v>31.7</v>
      </c>
      <c r="F10" s="97">
        <f>'Scope3 Travel'!F12</f>
        <v>18.8</v>
      </c>
      <c r="G10" s="97">
        <f>'Scope3 Travel'!G12</f>
        <v>43.8</v>
      </c>
      <c r="H10" s="97">
        <f>'Scope3 Travel'!H12</f>
        <v>38.2</v>
      </c>
      <c r="I10" s="97">
        <f>'Scope3 Travel'!I12</f>
        <v>37.2</v>
      </c>
      <c r="J10" s="97">
        <f>'Scope3 Travel'!J12</f>
        <v>42</v>
      </c>
      <c r="K10" s="97">
        <f>'Scope3 Travel'!L12</f>
        <v>31</v>
      </c>
      <c r="L10" s="97">
        <f>'Scope3 Travel'!M12</f>
        <v>26.3</v>
      </c>
      <c r="M10" s="97">
        <f>'Scope3 Travel'!N12</f>
        <v>26.9</v>
      </c>
      <c r="N10" s="97">
        <f>'Scope3 Travel'!O12</f>
        <v>28.9</v>
      </c>
      <c r="O10" s="97">
        <f>'Scope3 Travel'!P12</f>
        <v>20.7</v>
      </c>
      <c r="P10" s="97">
        <f>'Scope3 Travel'!Q12</f>
        <v>20.7</v>
      </c>
      <c r="Q10" s="97">
        <f>'Scope3 Travel'!R12</f>
        <v>20.7</v>
      </c>
      <c r="R10" s="97">
        <f>'Scope3 Travel'!S12</f>
        <v>20.7</v>
      </c>
    </row>
    <row r="11" ht="12.75" customHeight="1">
      <c r="A11" s="76" t="s">
        <v>170</v>
      </c>
      <c r="B11" s="98">
        <f t="shared" ref="B11:R11" si="1">SUM(B6:B10)</f>
        <v>1688.7</v>
      </c>
      <c r="C11" s="98">
        <f t="shared" si="1"/>
        <v>1937.2</v>
      </c>
      <c r="D11" s="98">
        <f t="shared" si="1"/>
        <v>1667.2</v>
      </c>
      <c r="E11" s="98">
        <f t="shared" si="1"/>
        <v>1820.3</v>
      </c>
      <c r="F11" s="98">
        <f t="shared" si="1"/>
        <v>2366.7</v>
      </c>
      <c r="G11" s="98">
        <f t="shared" si="1"/>
        <v>2671.6</v>
      </c>
      <c r="H11" s="98">
        <f t="shared" si="1"/>
        <v>3014.3</v>
      </c>
      <c r="I11" s="98">
        <f t="shared" si="1"/>
        <v>3693.9</v>
      </c>
      <c r="J11" s="98">
        <f t="shared" si="1"/>
        <v>3887.2</v>
      </c>
      <c r="K11" s="98">
        <f t="shared" si="1"/>
        <v>3294.5</v>
      </c>
      <c r="L11" s="98">
        <f t="shared" si="1"/>
        <v>3872.3</v>
      </c>
      <c r="M11" s="98">
        <f t="shared" si="1"/>
        <v>3888.4</v>
      </c>
      <c r="N11" s="98">
        <f t="shared" si="1"/>
        <v>4026.6</v>
      </c>
      <c r="O11" s="98">
        <f t="shared" si="1"/>
        <v>2515</v>
      </c>
      <c r="P11" s="98">
        <f t="shared" si="1"/>
        <v>2515</v>
      </c>
      <c r="Q11" s="98">
        <f t="shared" si="1"/>
        <v>3012.6</v>
      </c>
      <c r="R11" s="98">
        <f t="shared" si="1"/>
        <v>3667.7</v>
      </c>
    </row>
    <row r="12" ht="12.75" customHeight="1"/>
    <row r="13" ht="12.75" customHeight="1">
      <c r="A13" s="72" t="s">
        <v>171</v>
      </c>
    </row>
    <row r="14" ht="15.0" customHeight="1">
      <c r="A14" s="57" t="s">
        <v>172</v>
      </c>
      <c r="B14" s="105">
        <v>0.27</v>
      </c>
      <c r="C14" s="57">
        <v>0.27</v>
      </c>
      <c r="D14" s="57">
        <v>0.27</v>
      </c>
      <c r="E14" s="57">
        <v>0.27</v>
      </c>
      <c r="F14" s="57">
        <v>0.27</v>
      </c>
      <c r="G14" s="57">
        <v>0.27</v>
      </c>
      <c r="H14" s="57">
        <v>0.27</v>
      </c>
      <c r="I14" s="57">
        <v>0.27</v>
      </c>
      <c r="J14" s="57">
        <v>0.27</v>
      </c>
      <c r="K14" s="57">
        <v>0.27</v>
      </c>
      <c r="L14" s="57">
        <v>0.27</v>
      </c>
      <c r="M14" s="57">
        <v>0.27</v>
      </c>
      <c r="N14" s="57">
        <v>0.27</v>
      </c>
      <c r="O14" s="57">
        <v>0.27</v>
      </c>
      <c r="P14" s="57">
        <v>0.27</v>
      </c>
      <c r="Q14" s="57">
        <v>0.27</v>
      </c>
      <c r="R14" s="57">
        <v>0.27</v>
      </c>
    </row>
    <row r="15" ht="15.0" customHeight="1">
      <c r="A15" s="57" t="s">
        <v>173</v>
      </c>
      <c r="B15" s="105">
        <v>0.07</v>
      </c>
      <c r="C15" s="57">
        <v>0.07</v>
      </c>
      <c r="D15" s="57">
        <v>0.07</v>
      </c>
      <c r="E15" s="57">
        <v>0.07</v>
      </c>
      <c r="F15" s="57">
        <v>0.07</v>
      </c>
      <c r="G15" s="57">
        <v>0.07</v>
      </c>
      <c r="H15" s="57">
        <v>0.07</v>
      </c>
      <c r="I15" s="57">
        <v>0.07</v>
      </c>
      <c r="J15" s="57">
        <v>0.07</v>
      </c>
      <c r="K15" s="57">
        <v>0.07</v>
      </c>
      <c r="L15" s="57">
        <v>0.07</v>
      </c>
      <c r="M15" s="57">
        <v>0.07</v>
      </c>
      <c r="N15" s="57">
        <v>0.07</v>
      </c>
      <c r="O15" s="57">
        <v>0.07</v>
      </c>
      <c r="P15" s="57">
        <v>0.07</v>
      </c>
      <c r="Q15" s="57">
        <v>0.07</v>
      </c>
      <c r="R15" s="57">
        <v>0.07</v>
      </c>
    </row>
    <row r="16" ht="15.0" customHeight="1">
      <c r="A16" s="57" t="s">
        <v>174</v>
      </c>
      <c r="B16" s="105">
        <v>0.04</v>
      </c>
      <c r="C16" s="57">
        <v>0.04</v>
      </c>
      <c r="D16" s="57">
        <v>0.04</v>
      </c>
      <c r="E16" s="57">
        <v>0.04</v>
      </c>
      <c r="F16" s="57">
        <v>0.04</v>
      </c>
      <c r="G16" s="57">
        <v>0.04</v>
      </c>
      <c r="H16" s="57">
        <v>0.04</v>
      </c>
      <c r="I16" s="57">
        <v>0.04</v>
      </c>
      <c r="J16" s="57">
        <v>0.04</v>
      </c>
      <c r="K16" s="57">
        <v>0.04</v>
      </c>
      <c r="L16" s="57">
        <v>0.04</v>
      </c>
      <c r="M16" s="57">
        <v>0.04</v>
      </c>
      <c r="N16" s="57">
        <v>0.04</v>
      </c>
      <c r="O16" s="57">
        <v>0.04</v>
      </c>
      <c r="P16" s="57">
        <v>0.04</v>
      </c>
      <c r="Q16" s="57">
        <v>0.04</v>
      </c>
      <c r="R16" s="57">
        <v>0.04</v>
      </c>
    </row>
    <row r="17" ht="12.75" customHeight="1">
      <c r="A17" s="25" t="s">
        <v>175</v>
      </c>
      <c r="B17" s="106">
        <f>'Scope3 Landfill Methane'!B36</f>
        <v>553.98</v>
      </c>
      <c r="C17" s="106">
        <f>'Scope3 Landfill Methane'!C36</f>
        <v>547.315</v>
      </c>
      <c r="D17" s="106">
        <f>'Scope3 Landfill Methane'!D36</f>
        <v>477.47</v>
      </c>
      <c r="E17" s="106">
        <f>'Scope3 Landfill Methane'!E36</f>
        <v>432.82</v>
      </c>
      <c r="F17" s="106">
        <f>'Scope3 Landfill Methane'!F36</f>
        <v>430.29</v>
      </c>
      <c r="G17" s="106">
        <f>'Scope3 Landfill Methane'!G36</f>
        <v>407.09</v>
      </c>
      <c r="H17" s="106">
        <f>'Scope3 Landfill Methane'!H36</f>
        <v>438.23</v>
      </c>
      <c r="I17" s="106">
        <f>'Scope3 Landfill Methane'!I36</f>
        <v>405.92</v>
      </c>
      <c r="J17" s="106">
        <f>'Scope3 Landfill Methane'!J36</f>
        <v>445.03</v>
      </c>
      <c r="K17" s="106">
        <f>'Scope3 Landfill Methane'!K36</f>
        <v>385.83</v>
      </c>
      <c r="L17" s="106">
        <f>'Scope3 Landfill Methane'!L36</f>
        <v>394.75</v>
      </c>
      <c r="M17" s="106">
        <f>'Scope3 Landfill Methane'!M36</f>
        <v>400.5</v>
      </c>
      <c r="N17" s="106">
        <f>'Scope3 Landfill Methane'!N36</f>
        <v>341.08</v>
      </c>
      <c r="O17" s="106">
        <f>'Scope3 Landfill Methane'!O36</f>
        <v>340.13</v>
      </c>
      <c r="P17" s="106">
        <f>'Scope3 Landfill Methane'!P36</f>
        <v>340.13</v>
      </c>
      <c r="Q17" s="106">
        <f>'Scope3 Landfill Methane'!Q36</f>
        <v>340.13</v>
      </c>
      <c r="R17" s="106">
        <f>'Scope3 Landfill Methane'!R36</f>
        <v>472.18</v>
      </c>
    </row>
    <row r="18" ht="15.0" customHeight="1">
      <c r="A18" s="25" t="s">
        <v>176</v>
      </c>
      <c r="B18" s="106">
        <f>'Scope3 Landfill Methane'!B37</f>
        <v>6.536687404</v>
      </c>
      <c r="C18" s="106">
        <f>'Scope3 Landfill Methane'!C37</f>
        <v>13.55574168</v>
      </c>
      <c r="D18" s="106">
        <f>'Scope3 Landfill Methane'!D37</f>
        <v>9.484516495</v>
      </c>
      <c r="E18" s="106">
        <f>'Scope3 Landfill Methane'!E37</f>
        <v>7.107773118</v>
      </c>
      <c r="F18" s="106">
        <f>'Scope3 Landfill Methane'!F37</f>
        <v>9.737870709</v>
      </c>
      <c r="G18" s="106">
        <f>'Scope3 Landfill Methane'!G37</f>
        <v>8.722712851</v>
      </c>
      <c r="H18" s="106">
        <f>'Scope3 Landfill Methane'!H37</f>
        <v>7.279504654</v>
      </c>
      <c r="I18" s="106">
        <f>'Scope3 Landfill Methane'!I37</f>
        <v>6.742798369</v>
      </c>
      <c r="J18" s="106">
        <f>'Scope3 Landfill Methane'!J37</f>
        <v>7.39246048</v>
      </c>
      <c r="K18" s="106">
        <f>'Scope3 Landfill Methane'!K37</f>
        <v>6.409080348</v>
      </c>
      <c r="L18" s="106">
        <f>'Scope3 Landfill Methane'!L37</f>
        <v>6.557251814</v>
      </c>
      <c r="M18" s="106">
        <f>'Scope3 Landfill Methane'!M37</f>
        <v>6.652765931</v>
      </c>
      <c r="N18" s="106">
        <f>'Scope3 Landfill Methane'!N37</f>
        <v>5.665731345</v>
      </c>
      <c r="O18" s="106">
        <f>'Scope3 Landfill Methane'!O37</f>
        <v>5.649950752</v>
      </c>
      <c r="P18" s="106">
        <f>'Scope3 Landfill Methane'!P37</f>
        <v>5.649950752</v>
      </c>
      <c r="Q18" s="106">
        <f>'Scope3 Landfill Methane'!Q37</f>
        <v>5.649950752</v>
      </c>
      <c r="R18" s="106">
        <f>'Scope3 Landfill Methane'!R37</f>
        <v>7.843453227</v>
      </c>
      <c r="S18" s="56" t="s">
        <v>177</v>
      </c>
    </row>
    <row r="19" ht="15.0" customHeight="1">
      <c r="A19" s="76" t="s">
        <v>178</v>
      </c>
      <c r="B19" s="107">
        <f>'Scope3 Landfill Methane'!B38</f>
        <v>137.2704355</v>
      </c>
      <c r="C19" s="107">
        <f>'Scope3 Landfill Methane'!C38</f>
        <v>284.6705753</v>
      </c>
      <c r="D19" s="107">
        <f>'Scope3 Landfill Methane'!D38</f>
        <v>199.1748464</v>
      </c>
      <c r="E19" s="107">
        <f>'Scope3 Landfill Methane'!E38</f>
        <v>149.2632355</v>
      </c>
      <c r="F19" s="107">
        <f>'Scope3 Landfill Methane'!F38</f>
        <v>204.4952849</v>
      </c>
      <c r="G19" s="107">
        <f>'Scope3 Landfill Methane'!G38</f>
        <v>183.1769699</v>
      </c>
      <c r="H19" s="107">
        <f>'Scope3 Landfill Methane'!H38</f>
        <v>152.8695977</v>
      </c>
      <c r="I19" s="107">
        <f>'Scope3 Landfill Methane'!I38</f>
        <v>141.5987658</v>
      </c>
      <c r="J19" s="107">
        <f>'Scope3 Landfill Methane'!J38</f>
        <v>155.2416701</v>
      </c>
      <c r="K19" s="107">
        <f>'Scope3 Landfill Methane'!K38</f>
        <v>134.5906873</v>
      </c>
      <c r="L19" s="107">
        <f>'Scope3 Landfill Methane'!L38</f>
        <v>137.7022881</v>
      </c>
      <c r="M19" s="107">
        <f>'Scope3 Landfill Methane'!M38</f>
        <v>139.7080846</v>
      </c>
      <c r="N19" s="107">
        <f>'Scope3 Landfill Methane'!N38</f>
        <v>118.9803583</v>
      </c>
      <c r="O19" s="107">
        <f>'Scope3 Landfill Methane'!O38</f>
        <v>118.6489658</v>
      </c>
      <c r="P19" s="107">
        <f>'Scope3 Landfill Methane'!P38</f>
        <v>118.6489658</v>
      </c>
      <c r="Q19" s="107">
        <f>'Scope3 Landfill Methane'!Q38</f>
        <v>118.6489658</v>
      </c>
      <c r="R19" s="107">
        <f>'Scope3 Landfill Methane'!R38</f>
        <v>164.7125178</v>
      </c>
    </row>
    <row r="20" ht="12.75" customHeight="1"/>
    <row r="21" ht="12.75" customHeight="1">
      <c r="A21" s="76" t="s">
        <v>179</v>
      </c>
      <c r="B21" s="98">
        <f t="shared" ref="B21:R21" si="2">SUM(B11,B19)</f>
        <v>1825.970435</v>
      </c>
      <c r="C21" s="98">
        <f t="shared" si="2"/>
        <v>2221.870575</v>
      </c>
      <c r="D21" s="98">
        <f t="shared" si="2"/>
        <v>1866.374846</v>
      </c>
      <c r="E21" s="98">
        <f t="shared" si="2"/>
        <v>1969.563235</v>
      </c>
      <c r="F21" s="98">
        <f t="shared" si="2"/>
        <v>2571.195285</v>
      </c>
      <c r="G21" s="98">
        <f t="shared" si="2"/>
        <v>2854.77697</v>
      </c>
      <c r="H21" s="98">
        <f t="shared" si="2"/>
        <v>3167.169598</v>
      </c>
      <c r="I21" s="98">
        <f t="shared" si="2"/>
        <v>3835.498766</v>
      </c>
      <c r="J21" s="98">
        <f t="shared" si="2"/>
        <v>4042.44167</v>
      </c>
      <c r="K21" s="98">
        <f t="shared" si="2"/>
        <v>3429.090687</v>
      </c>
      <c r="L21" s="98">
        <f t="shared" si="2"/>
        <v>4010.002288</v>
      </c>
      <c r="M21" s="98">
        <f t="shared" si="2"/>
        <v>4028.108085</v>
      </c>
      <c r="N21" s="98">
        <f t="shared" si="2"/>
        <v>4145.580358</v>
      </c>
      <c r="O21" s="98">
        <f t="shared" si="2"/>
        <v>2633.648966</v>
      </c>
      <c r="P21" s="98">
        <f t="shared" si="2"/>
        <v>2633.648966</v>
      </c>
      <c r="Q21" s="98">
        <f t="shared" si="2"/>
        <v>3131.248966</v>
      </c>
      <c r="R21" s="98">
        <f t="shared" si="2"/>
        <v>3832.412518</v>
      </c>
    </row>
    <row r="22" ht="12.75" customHeight="1"/>
    <row r="23" ht="12.75" customHeight="1"/>
    <row r="24" ht="12.75" customHeight="1"/>
    <row r="25" ht="12.75" customHeight="1">
      <c r="A25" s="104" t="s">
        <v>180</v>
      </c>
    </row>
    <row r="26" ht="12.75" customHeight="1">
      <c r="A26" s="104" t="s">
        <v>181</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I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0806"/>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7.63"/>
    <col customWidth="1" min="2" max="2" width="6.13"/>
    <col customWidth="1" min="3" max="3" width="9.88"/>
    <col customWidth="1" min="4" max="4" width="14.38"/>
    <col customWidth="1" min="5" max="5" width="13.88"/>
    <col customWidth="1" min="6" max="6" width="15.0"/>
    <col customWidth="1" min="7" max="7" width="16.63"/>
    <col customWidth="1" min="8" max="8" width="13.0"/>
    <col customWidth="1" min="9" max="9" width="11.5"/>
    <col customWidth="1" min="10" max="10" width="11.0"/>
    <col customWidth="1" min="11" max="11" width="11.13"/>
    <col customWidth="1" min="12" max="12" width="12.38"/>
    <col customWidth="1" min="13" max="15" width="12.13"/>
    <col customWidth="1" min="16" max="17" width="13.38"/>
    <col customWidth="1" min="18" max="19" width="12.63"/>
    <col customWidth="1" min="20" max="20" width="8.88"/>
    <col customWidth="1" min="21" max="21" width="10.13"/>
    <col customWidth="1" min="22" max="22" width="8.88"/>
    <col customWidth="1" min="23" max="26" width="10.0"/>
  </cols>
  <sheetData>
    <row r="1" ht="27.75" customHeight="1">
      <c r="A1" s="108" t="s">
        <v>8</v>
      </c>
      <c r="B1" s="108"/>
      <c r="C1" s="108"/>
      <c r="D1" s="108"/>
      <c r="E1" s="108"/>
      <c r="F1" s="108"/>
      <c r="G1" s="108"/>
      <c r="H1" s="108"/>
      <c r="I1" s="109"/>
      <c r="J1" s="109"/>
      <c r="K1" s="109"/>
    </row>
    <row r="2" ht="12.75" customHeight="1">
      <c r="A2" s="110" t="s">
        <v>182</v>
      </c>
    </row>
    <row r="3" ht="12.75" customHeight="1"/>
    <row r="4" ht="12.75" customHeight="1">
      <c r="U4" s="25"/>
      <c r="V4" s="25"/>
    </row>
    <row r="5" ht="12.75" customHeight="1">
      <c r="U5" s="25"/>
      <c r="V5" s="25"/>
    </row>
    <row r="6" ht="15.75" customHeight="1">
      <c r="A6" s="92" t="s">
        <v>183</v>
      </c>
      <c r="B6" s="92"/>
      <c r="C6" s="25"/>
      <c r="U6" s="25"/>
      <c r="V6" s="25"/>
    </row>
    <row r="7" ht="12.75" customHeight="1">
      <c r="C7" s="47" t="s">
        <v>184</v>
      </c>
      <c r="T7" s="25"/>
    </row>
    <row r="8" ht="12.75" customHeight="1">
      <c r="A8" s="47" t="s">
        <v>164</v>
      </c>
      <c r="B8" s="47"/>
      <c r="C8" s="95" t="s">
        <v>76</v>
      </c>
      <c r="D8" s="95" t="s">
        <v>77</v>
      </c>
      <c r="E8" s="95" t="s">
        <v>78</v>
      </c>
      <c r="F8" s="96" t="s">
        <v>79</v>
      </c>
      <c r="G8" s="96" t="s">
        <v>80</v>
      </c>
      <c r="H8" s="95" t="s">
        <v>62</v>
      </c>
      <c r="I8" s="95" t="s">
        <v>63</v>
      </c>
      <c r="J8" s="95" t="s">
        <v>83</v>
      </c>
      <c r="K8" s="95" t="s">
        <v>84</v>
      </c>
      <c r="L8" s="95" t="s">
        <v>66</v>
      </c>
      <c r="M8" s="96" t="s">
        <v>185</v>
      </c>
      <c r="N8" s="96" t="s">
        <v>186</v>
      </c>
      <c r="O8" s="96" t="s">
        <v>187</v>
      </c>
      <c r="P8" s="96" t="s">
        <v>188</v>
      </c>
      <c r="Q8" s="96" t="s">
        <v>189</v>
      </c>
      <c r="R8" s="96" t="s">
        <v>190</v>
      </c>
      <c r="S8" s="96" t="s">
        <v>191</v>
      </c>
    </row>
    <row r="9" ht="12.75" customHeight="1">
      <c r="A9" s="56" t="s">
        <v>132</v>
      </c>
      <c r="C9" s="97">
        <f t="shared" ref="C9:S9" si="1">C27</f>
        <v>23876.4</v>
      </c>
      <c r="D9" s="97">
        <f t="shared" si="1"/>
        <v>25145.3</v>
      </c>
      <c r="E9" s="97">
        <f t="shared" si="1"/>
        <v>22365.6</v>
      </c>
      <c r="F9" s="97">
        <f t="shared" si="1"/>
        <v>14040.5</v>
      </c>
      <c r="G9" s="97">
        <f t="shared" si="1"/>
        <v>11272</v>
      </c>
      <c r="H9" s="97">
        <f t="shared" si="1"/>
        <v>11404.6</v>
      </c>
      <c r="I9" s="73">
        <f t="shared" si="1"/>
        <v>6488.9</v>
      </c>
      <c r="J9" s="73">
        <f t="shared" si="1"/>
        <v>7272</v>
      </c>
      <c r="K9" s="73">
        <f t="shared" si="1"/>
        <v>7031.8</v>
      </c>
      <c r="L9" s="73">
        <f t="shared" si="1"/>
        <v>2169.3</v>
      </c>
      <c r="M9" s="73">
        <f t="shared" si="1"/>
        <v>1879.6</v>
      </c>
      <c r="N9" s="73">
        <f t="shared" si="1"/>
        <v>422.8</v>
      </c>
      <c r="O9" s="73">
        <f t="shared" si="1"/>
        <v>0</v>
      </c>
      <c r="P9" s="73">
        <f t="shared" si="1"/>
        <v>0</v>
      </c>
      <c r="Q9" s="73">
        <f t="shared" si="1"/>
        <v>0</v>
      </c>
      <c r="R9" s="73">
        <f t="shared" si="1"/>
        <v>0</v>
      </c>
      <c r="S9" s="73">
        <f t="shared" si="1"/>
        <v>0</v>
      </c>
    </row>
    <row r="10" ht="12.75" customHeight="1">
      <c r="A10" s="56" t="s">
        <v>133</v>
      </c>
      <c r="C10" s="97">
        <f t="shared" ref="C10:S10" si="2">C43</f>
        <v>2003.4</v>
      </c>
      <c r="D10" s="97">
        <f t="shared" si="2"/>
        <v>1843.6</v>
      </c>
      <c r="E10" s="97">
        <f t="shared" si="2"/>
        <v>1813.3</v>
      </c>
      <c r="F10" s="97">
        <f t="shared" si="2"/>
        <v>1538.1</v>
      </c>
      <c r="G10" s="97">
        <f t="shared" si="2"/>
        <v>1922.7</v>
      </c>
      <c r="H10" s="97">
        <f t="shared" si="2"/>
        <v>1625.3</v>
      </c>
      <c r="I10" s="73">
        <f t="shared" si="2"/>
        <v>1895.6</v>
      </c>
      <c r="J10" s="73">
        <f t="shared" si="2"/>
        <v>1942.4</v>
      </c>
      <c r="K10" s="73">
        <f t="shared" si="2"/>
        <v>1908.3</v>
      </c>
      <c r="L10" s="73">
        <f t="shared" si="2"/>
        <v>1992.7</v>
      </c>
      <c r="M10" s="73">
        <f t="shared" si="2"/>
        <v>1899.7</v>
      </c>
      <c r="N10" s="73">
        <f t="shared" si="2"/>
        <v>1928.7</v>
      </c>
      <c r="O10" s="73">
        <f t="shared" si="2"/>
        <v>1688.3</v>
      </c>
      <c r="P10" s="73">
        <f t="shared" si="2"/>
        <v>1613.3</v>
      </c>
      <c r="Q10" s="73">
        <f t="shared" si="2"/>
        <v>1678.7</v>
      </c>
      <c r="R10" s="73">
        <f t="shared" si="2"/>
        <v>1142.2</v>
      </c>
      <c r="S10" s="73">
        <f t="shared" si="2"/>
        <v>988.6</v>
      </c>
    </row>
    <row r="11" ht="12.75" customHeight="1">
      <c r="A11" s="56" t="s">
        <v>134</v>
      </c>
      <c r="C11" s="97">
        <f t="shared" ref="C11:S11" si="3">C55</f>
        <v>711.86688</v>
      </c>
      <c r="D11" s="97">
        <f t="shared" si="3"/>
        <v>655.21048</v>
      </c>
      <c r="E11" s="97">
        <f t="shared" si="3"/>
        <v>643.23524</v>
      </c>
      <c r="F11" s="97">
        <f t="shared" si="3"/>
        <v>591.41052</v>
      </c>
      <c r="G11" s="97">
        <f t="shared" si="3"/>
        <v>652.8986</v>
      </c>
      <c r="H11" s="97">
        <f t="shared" si="3"/>
        <v>659.3382</v>
      </c>
      <c r="I11" s="73">
        <f t="shared" si="3"/>
        <v>611.03328</v>
      </c>
      <c r="J11" s="73">
        <f t="shared" si="3"/>
        <v>379.98392</v>
      </c>
      <c r="K11" s="73">
        <f t="shared" si="3"/>
        <v>463.10664</v>
      </c>
      <c r="L11" s="73">
        <f t="shared" si="3"/>
        <v>412.78984</v>
      </c>
      <c r="M11" s="73">
        <f t="shared" si="3"/>
        <v>598.95804</v>
      </c>
      <c r="N11" s="73">
        <f t="shared" si="3"/>
        <v>508.59176</v>
      </c>
      <c r="O11" s="73">
        <f t="shared" si="3"/>
        <v>530.93036</v>
      </c>
      <c r="P11" s="73">
        <f t="shared" si="3"/>
        <v>387.33144</v>
      </c>
      <c r="Q11" s="73">
        <f t="shared" si="3"/>
        <v>329.66712</v>
      </c>
      <c r="R11" s="73">
        <f t="shared" si="3"/>
        <v>437.24428</v>
      </c>
      <c r="S11" s="73">
        <f t="shared" si="3"/>
        <v>402.32648</v>
      </c>
    </row>
    <row r="12" ht="12.75" customHeight="1">
      <c r="A12" s="56" t="s">
        <v>135</v>
      </c>
      <c r="C12" s="97">
        <v>0.0</v>
      </c>
      <c r="D12" s="97">
        <v>0.0</v>
      </c>
      <c r="E12" s="97">
        <v>0.0</v>
      </c>
      <c r="F12" s="97">
        <v>0.0</v>
      </c>
      <c r="G12" s="97">
        <v>0.0</v>
      </c>
      <c r="H12" s="97">
        <v>0.0</v>
      </c>
      <c r="I12" s="73">
        <v>0.0</v>
      </c>
      <c r="J12" s="73">
        <v>0.0</v>
      </c>
      <c r="K12" s="73">
        <v>0.0</v>
      </c>
      <c r="L12" s="73">
        <f t="shared" ref="L12:S12" si="4">L67</f>
        <v>3763.44715</v>
      </c>
      <c r="M12" s="73">
        <f t="shared" si="4"/>
        <v>3018.28406</v>
      </c>
      <c r="N12" s="73">
        <f t="shared" si="4"/>
        <v>4391.86218</v>
      </c>
      <c r="O12" s="73">
        <f t="shared" si="4"/>
        <v>5068.18173</v>
      </c>
      <c r="P12" s="73">
        <f t="shared" si="4"/>
        <v>4433.32698</v>
      </c>
      <c r="Q12" s="73">
        <f t="shared" si="4"/>
        <v>6104.60504</v>
      </c>
      <c r="R12" s="73">
        <f t="shared" si="4"/>
        <v>5914.69358</v>
      </c>
      <c r="S12" s="73">
        <f t="shared" si="4"/>
        <v>4323.12195</v>
      </c>
    </row>
    <row r="13" ht="12.75" customHeight="1">
      <c r="A13" s="56" t="s">
        <v>192</v>
      </c>
      <c r="C13" s="97"/>
      <c r="D13" s="97"/>
      <c r="E13" s="97"/>
      <c r="F13" s="97"/>
      <c r="G13" s="97"/>
      <c r="H13" s="97"/>
      <c r="I13" s="73"/>
      <c r="J13" s="73"/>
      <c r="K13" s="73"/>
      <c r="L13" s="73"/>
      <c r="M13" s="73"/>
      <c r="N13" s="73"/>
      <c r="O13" s="73"/>
      <c r="P13" s="73"/>
      <c r="Q13" s="73"/>
      <c r="R13" s="73">
        <v>0.0</v>
      </c>
      <c r="S13" s="73">
        <v>0.0</v>
      </c>
    </row>
    <row r="14" ht="12.75" customHeight="1">
      <c r="A14" s="56" t="s">
        <v>193</v>
      </c>
      <c r="C14" s="97">
        <f t="shared" ref="C14:S14" si="5">C96</f>
        <v>0</v>
      </c>
      <c r="D14" s="97">
        <f t="shared" si="5"/>
        <v>0</v>
      </c>
      <c r="E14" s="97">
        <f t="shared" si="5"/>
        <v>42.21366545</v>
      </c>
      <c r="F14" s="97">
        <f t="shared" si="5"/>
        <v>180.7773316</v>
      </c>
      <c r="G14" s="97">
        <f t="shared" si="5"/>
        <v>246.9798393</v>
      </c>
      <c r="H14" s="97">
        <f t="shared" si="5"/>
        <v>207.0622145</v>
      </c>
      <c r="I14" s="97">
        <f t="shared" si="5"/>
        <v>273.2049295</v>
      </c>
      <c r="J14" s="97">
        <f t="shared" si="5"/>
        <v>333.4515433</v>
      </c>
      <c r="K14" s="97">
        <f t="shared" si="5"/>
        <v>319.783464</v>
      </c>
      <c r="L14" s="97">
        <f t="shared" si="5"/>
        <v>255.3532128</v>
      </c>
      <c r="M14" s="97">
        <f t="shared" si="5"/>
        <v>282.9970529</v>
      </c>
      <c r="N14" s="97">
        <f t="shared" si="5"/>
        <v>266.8106952</v>
      </c>
      <c r="O14" s="97">
        <f t="shared" si="5"/>
        <v>277.6104576</v>
      </c>
      <c r="P14" s="97">
        <f t="shared" si="5"/>
        <v>239.0022936</v>
      </c>
      <c r="Q14" s="97">
        <f t="shared" si="5"/>
        <v>199.1707704</v>
      </c>
      <c r="R14" s="97">
        <f t="shared" si="5"/>
        <v>202.4330616</v>
      </c>
      <c r="S14" s="97">
        <f t="shared" si="5"/>
        <v>230.8071024</v>
      </c>
    </row>
    <row r="15" ht="12.75" customHeight="1">
      <c r="A15" s="76" t="s">
        <v>194</v>
      </c>
      <c r="B15" s="76"/>
      <c r="C15" s="98">
        <f t="shared" ref="C15:S15" si="6">SUM(C9:C14)</f>
        <v>26591.66688</v>
      </c>
      <c r="D15" s="98">
        <f t="shared" si="6"/>
        <v>27644.11048</v>
      </c>
      <c r="E15" s="98">
        <f t="shared" si="6"/>
        <v>24864.34891</v>
      </c>
      <c r="F15" s="98">
        <f t="shared" si="6"/>
        <v>16350.78785</v>
      </c>
      <c r="G15" s="98">
        <f t="shared" si="6"/>
        <v>14094.57844</v>
      </c>
      <c r="H15" s="98">
        <f t="shared" si="6"/>
        <v>13896.30041</v>
      </c>
      <c r="I15" s="98">
        <f t="shared" si="6"/>
        <v>9268.738209</v>
      </c>
      <c r="J15" s="98">
        <f t="shared" si="6"/>
        <v>9927.835463</v>
      </c>
      <c r="K15" s="98">
        <f t="shared" si="6"/>
        <v>9722.990104</v>
      </c>
      <c r="L15" s="98">
        <f t="shared" si="6"/>
        <v>8593.590203</v>
      </c>
      <c r="M15" s="98">
        <f t="shared" si="6"/>
        <v>7679.539153</v>
      </c>
      <c r="N15" s="98">
        <f t="shared" si="6"/>
        <v>7518.764635</v>
      </c>
      <c r="O15" s="98">
        <f t="shared" si="6"/>
        <v>7565.022548</v>
      </c>
      <c r="P15" s="98">
        <f t="shared" si="6"/>
        <v>6672.960714</v>
      </c>
      <c r="Q15" s="98">
        <f t="shared" si="6"/>
        <v>8312.14293</v>
      </c>
      <c r="R15" s="98">
        <f t="shared" si="6"/>
        <v>7696.570922</v>
      </c>
      <c r="S15" s="98">
        <f t="shared" si="6"/>
        <v>5944.855532</v>
      </c>
    </row>
    <row r="16" ht="12.75" customHeight="1">
      <c r="A16" s="111"/>
      <c r="B16" s="111"/>
      <c r="K16" s="47"/>
      <c r="L16" s="112"/>
      <c r="M16" s="112"/>
      <c r="N16" s="112"/>
      <c r="O16" s="112"/>
      <c r="P16" s="112"/>
      <c r="Q16" s="112"/>
      <c r="R16" s="112"/>
      <c r="S16" s="112"/>
    </row>
    <row r="17" ht="15.75" customHeight="1">
      <c r="A17" s="92" t="s">
        <v>132</v>
      </c>
      <c r="B17" s="92"/>
      <c r="K17" s="113"/>
      <c r="L17" s="114"/>
      <c r="M17" s="114"/>
      <c r="N17" s="114"/>
      <c r="O17" s="114"/>
      <c r="P17" s="114"/>
      <c r="Q17" s="114"/>
      <c r="R17" s="114"/>
      <c r="S17" s="114"/>
    </row>
    <row r="18" ht="12.75" customHeight="1">
      <c r="A18" s="47"/>
      <c r="B18" s="47"/>
    </row>
    <row r="19" ht="12.75" customHeight="1">
      <c r="A19" s="65" t="s">
        <v>195</v>
      </c>
      <c r="B19" s="65"/>
      <c r="C19" s="95" t="s">
        <v>76</v>
      </c>
      <c r="D19" s="95" t="s">
        <v>77</v>
      </c>
      <c r="E19" s="95" t="s">
        <v>78</v>
      </c>
      <c r="F19" s="96" t="s">
        <v>79</v>
      </c>
      <c r="G19" s="96" t="s">
        <v>80</v>
      </c>
      <c r="H19" s="96" t="s">
        <v>81</v>
      </c>
      <c r="I19" s="96" t="s">
        <v>63</v>
      </c>
      <c r="J19" s="96" t="s">
        <v>83</v>
      </c>
      <c r="K19" s="96" t="s">
        <v>65</v>
      </c>
      <c r="L19" s="96" t="s">
        <v>66</v>
      </c>
      <c r="M19" s="96" t="s">
        <v>185</v>
      </c>
      <c r="N19" s="96" t="s">
        <v>186</v>
      </c>
      <c r="O19" s="96" t="s">
        <v>187</v>
      </c>
      <c r="P19" s="96" t="s">
        <v>188</v>
      </c>
      <c r="Q19" s="96" t="s">
        <v>189</v>
      </c>
      <c r="R19" s="96" t="s">
        <v>190</v>
      </c>
      <c r="S19" s="96" t="s">
        <v>191</v>
      </c>
    </row>
    <row r="20" ht="14.25" customHeight="1">
      <c r="A20" s="55" t="s">
        <v>196</v>
      </c>
      <c r="B20" s="55"/>
      <c r="C20" s="115">
        <v>2040108.0</v>
      </c>
      <c r="D20" s="115">
        <f>2145513+3019.6</f>
        <v>2148532.6</v>
      </c>
      <c r="E20" s="115">
        <v>1911015.0</v>
      </c>
      <c r="F20" s="115">
        <v>1199687.0</v>
      </c>
      <c r="G20" s="115">
        <v>963126.0</v>
      </c>
      <c r="H20" s="115">
        <v>974460.0</v>
      </c>
      <c r="I20" s="115">
        <v>554442.0</v>
      </c>
      <c r="J20" s="115">
        <v>621351.0</v>
      </c>
      <c r="K20" s="116">
        <v>600831.0</v>
      </c>
      <c r="L20" s="117">
        <v>185359.0</v>
      </c>
      <c r="M20" s="117">
        <v>160598.0</v>
      </c>
      <c r="N20" s="118">
        <v>36132.0</v>
      </c>
      <c r="O20" s="118">
        <v>0.0</v>
      </c>
      <c r="P20" s="118">
        <v>0.0</v>
      </c>
      <c r="Q20" s="118">
        <v>0.0</v>
      </c>
      <c r="R20" s="118">
        <v>0.0</v>
      </c>
      <c r="S20" s="118">
        <v>0.0</v>
      </c>
      <c r="T20" s="25"/>
      <c r="U20" s="25"/>
      <c r="V20" s="25"/>
      <c r="W20" s="25"/>
      <c r="X20" s="25"/>
      <c r="Y20" s="25"/>
      <c r="Z20" s="25"/>
    </row>
    <row r="21" ht="12.75" customHeight="1">
      <c r="A21" s="25" t="s">
        <v>197</v>
      </c>
      <c r="B21" s="25"/>
      <c r="C21" s="73">
        <f t="shared" ref="C21:S21" si="7">ROUND(C20*$C108,1)</f>
        <v>305384.7</v>
      </c>
      <c r="D21" s="73">
        <f t="shared" si="7"/>
        <v>321614.9</v>
      </c>
      <c r="E21" s="73">
        <f t="shared" si="7"/>
        <v>286060.7</v>
      </c>
      <c r="F21" s="73">
        <f t="shared" si="7"/>
        <v>179581.7</v>
      </c>
      <c r="G21" s="73">
        <f t="shared" si="7"/>
        <v>144170.8</v>
      </c>
      <c r="H21" s="73">
        <f t="shared" si="7"/>
        <v>145867.4</v>
      </c>
      <c r="I21" s="73">
        <f t="shared" si="7"/>
        <v>82994.7</v>
      </c>
      <c r="J21" s="73">
        <f t="shared" si="7"/>
        <v>93010.3</v>
      </c>
      <c r="K21" s="73">
        <f t="shared" si="7"/>
        <v>89938.7</v>
      </c>
      <c r="L21" s="73">
        <f t="shared" si="7"/>
        <v>27746.5</v>
      </c>
      <c r="M21" s="73">
        <f t="shared" si="7"/>
        <v>24040</v>
      </c>
      <c r="N21" s="73">
        <f t="shared" si="7"/>
        <v>5408.6</v>
      </c>
      <c r="O21" s="73">
        <f t="shared" si="7"/>
        <v>0</v>
      </c>
      <c r="P21" s="73">
        <f t="shared" si="7"/>
        <v>0</v>
      </c>
      <c r="Q21" s="73">
        <f t="shared" si="7"/>
        <v>0</v>
      </c>
      <c r="R21" s="73">
        <f t="shared" si="7"/>
        <v>0</v>
      </c>
      <c r="S21" s="73">
        <f t="shared" si="7"/>
        <v>0</v>
      </c>
    </row>
    <row r="22" ht="15.0" customHeight="1">
      <c r="A22" s="47" t="s">
        <v>198</v>
      </c>
      <c r="B22" s="47"/>
      <c r="C22" s="78">
        <f t="shared" ref="C22:S22" si="8">ROUND(C20*$C109,1)</f>
        <v>23806.8</v>
      </c>
      <c r="D22" s="78">
        <f t="shared" si="8"/>
        <v>25072</v>
      </c>
      <c r="E22" s="78">
        <f t="shared" si="8"/>
        <v>22300.4</v>
      </c>
      <c r="F22" s="78">
        <f t="shared" si="8"/>
        <v>13999.6</v>
      </c>
      <c r="G22" s="78">
        <f t="shared" si="8"/>
        <v>11239.1</v>
      </c>
      <c r="H22" s="78">
        <f t="shared" si="8"/>
        <v>11371.3</v>
      </c>
      <c r="I22" s="78">
        <f t="shared" si="8"/>
        <v>6470</v>
      </c>
      <c r="J22" s="78">
        <f t="shared" si="8"/>
        <v>7250.8</v>
      </c>
      <c r="K22" s="78">
        <f t="shared" si="8"/>
        <v>7011.3</v>
      </c>
      <c r="L22" s="78">
        <f t="shared" si="8"/>
        <v>2163</v>
      </c>
      <c r="M22" s="78">
        <f t="shared" si="8"/>
        <v>1874.1</v>
      </c>
      <c r="N22" s="78">
        <f t="shared" si="8"/>
        <v>421.6</v>
      </c>
      <c r="O22" s="78">
        <f t="shared" si="8"/>
        <v>0</v>
      </c>
      <c r="P22" s="78">
        <f t="shared" si="8"/>
        <v>0</v>
      </c>
      <c r="Q22" s="78">
        <f t="shared" si="8"/>
        <v>0</v>
      </c>
      <c r="R22" s="78">
        <f t="shared" si="8"/>
        <v>0</v>
      </c>
      <c r="S22" s="78">
        <f t="shared" si="8"/>
        <v>0</v>
      </c>
    </row>
    <row r="23" ht="15.0" customHeight="1">
      <c r="A23" s="25" t="s">
        <v>199</v>
      </c>
      <c r="B23" s="25"/>
      <c r="C23" s="112">
        <f t="shared" ref="C23:S23" si="9">($C114*C21*$C102)</f>
        <v>0.6107694</v>
      </c>
      <c r="D23" s="112">
        <f t="shared" si="9"/>
        <v>0.6432298</v>
      </c>
      <c r="E23" s="112">
        <f t="shared" si="9"/>
        <v>0.5721214</v>
      </c>
      <c r="F23" s="112">
        <f t="shared" si="9"/>
        <v>0.3591634</v>
      </c>
      <c r="G23" s="112">
        <f t="shared" si="9"/>
        <v>0.2883416</v>
      </c>
      <c r="H23" s="112">
        <f t="shared" si="9"/>
        <v>0.2917348</v>
      </c>
      <c r="I23" s="112">
        <f t="shared" si="9"/>
        <v>0.1659894</v>
      </c>
      <c r="J23" s="112">
        <f t="shared" si="9"/>
        <v>0.1860206</v>
      </c>
      <c r="K23" s="112">
        <f t="shared" si="9"/>
        <v>0.1798774</v>
      </c>
      <c r="L23" s="112">
        <f t="shared" si="9"/>
        <v>0.055493</v>
      </c>
      <c r="M23" s="112">
        <f t="shared" si="9"/>
        <v>0.04808</v>
      </c>
      <c r="N23" s="112">
        <f t="shared" si="9"/>
        <v>0.0108172</v>
      </c>
      <c r="O23" s="112">
        <f t="shared" si="9"/>
        <v>0</v>
      </c>
      <c r="P23" s="112">
        <f t="shared" si="9"/>
        <v>0</v>
      </c>
      <c r="Q23" s="112">
        <f t="shared" si="9"/>
        <v>0</v>
      </c>
      <c r="R23" s="112">
        <f t="shared" si="9"/>
        <v>0</v>
      </c>
      <c r="S23" s="112">
        <f t="shared" si="9"/>
        <v>0</v>
      </c>
    </row>
    <row r="24" ht="15.0" customHeight="1">
      <c r="A24" s="47" t="s">
        <v>200</v>
      </c>
      <c r="B24" s="47"/>
      <c r="C24" s="119">
        <f t="shared" ref="C24:S24" si="10">C21*$C114*$C102*$C104</f>
        <v>12.8261574</v>
      </c>
      <c r="D24" s="119">
        <f t="shared" si="10"/>
        <v>13.5078258</v>
      </c>
      <c r="E24" s="119">
        <f t="shared" si="10"/>
        <v>12.0145494</v>
      </c>
      <c r="F24" s="119">
        <f t="shared" si="10"/>
        <v>7.5424314</v>
      </c>
      <c r="G24" s="119">
        <f t="shared" si="10"/>
        <v>6.0551736</v>
      </c>
      <c r="H24" s="119">
        <f t="shared" si="10"/>
        <v>6.1264308</v>
      </c>
      <c r="I24" s="119">
        <f t="shared" si="10"/>
        <v>3.4857774</v>
      </c>
      <c r="J24" s="119">
        <f t="shared" si="10"/>
        <v>3.9064326</v>
      </c>
      <c r="K24" s="119">
        <f t="shared" si="10"/>
        <v>3.7774254</v>
      </c>
      <c r="L24" s="119">
        <f t="shared" si="10"/>
        <v>1.165353</v>
      </c>
      <c r="M24" s="119">
        <f t="shared" si="10"/>
        <v>1.00968</v>
      </c>
      <c r="N24" s="119">
        <f t="shared" si="10"/>
        <v>0.2271612</v>
      </c>
      <c r="O24" s="119">
        <f t="shared" si="10"/>
        <v>0</v>
      </c>
      <c r="P24" s="119">
        <f t="shared" si="10"/>
        <v>0</v>
      </c>
      <c r="Q24" s="119">
        <f t="shared" si="10"/>
        <v>0</v>
      </c>
      <c r="R24" s="119">
        <f t="shared" si="10"/>
        <v>0</v>
      </c>
      <c r="S24" s="119">
        <f t="shared" si="10"/>
        <v>0</v>
      </c>
    </row>
    <row r="25" ht="15.0" customHeight="1">
      <c r="A25" s="25" t="s">
        <v>201</v>
      </c>
      <c r="B25" s="25"/>
      <c r="C25" s="112">
        <f t="shared" ref="C25:S25" si="11">($C115*C21*$C102)</f>
        <v>0.18323082</v>
      </c>
      <c r="D25" s="112">
        <f t="shared" si="11"/>
        <v>0.19296894</v>
      </c>
      <c r="E25" s="112">
        <f t="shared" si="11"/>
        <v>0.17163642</v>
      </c>
      <c r="F25" s="112">
        <f t="shared" si="11"/>
        <v>0.10774902</v>
      </c>
      <c r="G25" s="112">
        <f t="shared" si="11"/>
        <v>0.08650248</v>
      </c>
      <c r="H25" s="112">
        <f t="shared" si="11"/>
        <v>0.08752044</v>
      </c>
      <c r="I25" s="112">
        <f t="shared" si="11"/>
        <v>0.04979682</v>
      </c>
      <c r="J25" s="112">
        <f t="shared" si="11"/>
        <v>0.05580618</v>
      </c>
      <c r="K25" s="112">
        <f t="shared" si="11"/>
        <v>0.05396322</v>
      </c>
      <c r="L25" s="112">
        <f t="shared" si="11"/>
        <v>0.0166479</v>
      </c>
      <c r="M25" s="112">
        <f t="shared" si="11"/>
        <v>0.014424</v>
      </c>
      <c r="N25" s="112">
        <f t="shared" si="11"/>
        <v>0.00324516</v>
      </c>
      <c r="O25" s="112">
        <f t="shared" si="11"/>
        <v>0</v>
      </c>
      <c r="P25" s="112">
        <f t="shared" si="11"/>
        <v>0</v>
      </c>
      <c r="Q25" s="112">
        <f t="shared" si="11"/>
        <v>0</v>
      </c>
      <c r="R25" s="112">
        <f t="shared" si="11"/>
        <v>0</v>
      </c>
      <c r="S25" s="112">
        <f t="shared" si="11"/>
        <v>0</v>
      </c>
      <c r="V25" s="73"/>
    </row>
    <row r="26" ht="15.0" customHeight="1">
      <c r="A26" s="47" t="s">
        <v>202</v>
      </c>
      <c r="B26" s="47"/>
      <c r="C26" s="119">
        <f t="shared" ref="C26:S26" si="12">C21*$C115*$C102*$C105</f>
        <v>56.8015542</v>
      </c>
      <c r="D26" s="119">
        <f t="shared" si="12"/>
        <v>59.8203714</v>
      </c>
      <c r="E26" s="119">
        <f t="shared" si="12"/>
        <v>53.2072902</v>
      </c>
      <c r="F26" s="119">
        <f t="shared" si="12"/>
        <v>33.4021962</v>
      </c>
      <c r="G26" s="119">
        <f t="shared" si="12"/>
        <v>26.8157688</v>
      </c>
      <c r="H26" s="119">
        <f t="shared" si="12"/>
        <v>27.1313364</v>
      </c>
      <c r="I26" s="119">
        <f t="shared" si="12"/>
        <v>15.4370142</v>
      </c>
      <c r="J26" s="119">
        <f t="shared" si="12"/>
        <v>17.2999158</v>
      </c>
      <c r="K26" s="119">
        <f t="shared" si="12"/>
        <v>16.7285982</v>
      </c>
      <c r="L26" s="119">
        <f t="shared" si="12"/>
        <v>5.160849</v>
      </c>
      <c r="M26" s="119">
        <f t="shared" si="12"/>
        <v>4.47144</v>
      </c>
      <c r="N26" s="119">
        <f t="shared" si="12"/>
        <v>1.0059996</v>
      </c>
      <c r="O26" s="119">
        <f t="shared" si="12"/>
        <v>0</v>
      </c>
      <c r="P26" s="119">
        <f t="shared" si="12"/>
        <v>0</v>
      </c>
      <c r="Q26" s="119">
        <f t="shared" si="12"/>
        <v>0</v>
      </c>
      <c r="R26" s="119">
        <f t="shared" si="12"/>
        <v>0</v>
      </c>
      <c r="S26" s="119">
        <f t="shared" si="12"/>
        <v>0</v>
      </c>
    </row>
    <row r="27" ht="12.75" customHeight="1">
      <c r="A27" s="120" t="s">
        <v>203</v>
      </c>
      <c r="B27" s="120"/>
      <c r="C27" s="121">
        <f t="shared" ref="C27:S27" si="13">ROUND(C22+C24+C26,1)</f>
        <v>23876.4</v>
      </c>
      <c r="D27" s="121">
        <f t="shared" si="13"/>
        <v>25145.3</v>
      </c>
      <c r="E27" s="121">
        <f t="shared" si="13"/>
        <v>22365.6</v>
      </c>
      <c r="F27" s="121">
        <f t="shared" si="13"/>
        <v>14040.5</v>
      </c>
      <c r="G27" s="121">
        <f t="shared" si="13"/>
        <v>11272</v>
      </c>
      <c r="H27" s="121">
        <f t="shared" si="13"/>
        <v>11404.6</v>
      </c>
      <c r="I27" s="121">
        <f t="shared" si="13"/>
        <v>6488.9</v>
      </c>
      <c r="J27" s="121">
        <f t="shared" si="13"/>
        <v>7272</v>
      </c>
      <c r="K27" s="121">
        <f t="shared" si="13"/>
        <v>7031.8</v>
      </c>
      <c r="L27" s="121">
        <f t="shared" si="13"/>
        <v>2169.3</v>
      </c>
      <c r="M27" s="121">
        <f t="shared" si="13"/>
        <v>1879.6</v>
      </c>
      <c r="N27" s="121">
        <f t="shared" si="13"/>
        <v>422.8</v>
      </c>
      <c r="O27" s="121">
        <f t="shared" si="13"/>
        <v>0</v>
      </c>
      <c r="P27" s="121">
        <f t="shared" si="13"/>
        <v>0</v>
      </c>
      <c r="Q27" s="121">
        <f t="shared" si="13"/>
        <v>0</v>
      </c>
      <c r="R27" s="121">
        <f t="shared" si="13"/>
        <v>0</v>
      </c>
      <c r="S27" s="121">
        <f t="shared" si="13"/>
        <v>0</v>
      </c>
    </row>
    <row r="28" ht="12.75" customHeight="1"/>
    <row r="29" ht="15.75" customHeight="1">
      <c r="A29" s="92" t="s">
        <v>204</v>
      </c>
      <c r="B29" s="92"/>
    </row>
    <row r="30" ht="12.75" customHeight="1">
      <c r="A30" s="47"/>
      <c r="B30" s="47"/>
    </row>
    <row r="31" ht="12.75" customHeight="1">
      <c r="A31" s="65" t="s">
        <v>195</v>
      </c>
      <c r="B31" s="65"/>
      <c r="C31" s="95" t="s">
        <v>76</v>
      </c>
      <c r="D31" s="95" t="s">
        <v>77</v>
      </c>
      <c r="E31" s="95" t="s">
        <v>78</v>
      </c>
      <c r="F31" s="96" t="s">
        <v>79</v>
      </c>
      <c r="G31" s="96" t="s">
        <v>80</v>
      </c>
      <c r="H31" s="96" t="s">
        <v>81</v>
      </c>
      <c r="I31" s="96" t="s">
        <v>82</v>
      </c>
      <c r="J31" s="96" t="s">
        <v>83</v>
      </c>
      <c r="K31" s="96" t="s">
        <v>84</v>
      </c>
      <c r="L31" s="96" t="s">
        <v>85</v>
      </c>
      <c r="M31" s="96" t="s">
        <v>185</v>
      </c>
      <c r="N31" s="96" t="s">
        <v>186</v>
      </c>
      <c r="O31" s="96" t="s">
        <v>187</v>
      </c>
      <c r="P31" s="96" t="s">
        <v>188</v>
      </c>
      <c r="Q31" s="96" t="s">
        <v>189</v>
      </c>
      <c r="R31" s="96" t="s">
        <v>190</v>
      </c>
      <c r="S31" s="96" t="s">
        <v>191</v>
      </c>
    </row>
    <row r="32" ht="12.75" customHeight="1">
      <c r="A32" s="55" t="s">
        <v>205</v>
      </c>
      <c r="B32" s="55"/>
      <c r="C32" s="117">
        <v>60319.1</v>
      </c>
      <c r="D32" s="117">
        <v>50329.0</v>
      </c>
      <c r="E32" s="122">
        <v>42558.9</v>
      </c>
      <c r="F32" s="123">
        <v>29587.7</v>
      </c>
      <c r="G32" s="123">
        <v>40762.9</v>
      </c>
      <c r="H32" s="115">
        <v>30595.8</v>
      </c>
      <c r="I32" s="115">
        <f>33262.4+371.7+996.4</f>
        <v>34630.5</v>
      </c>
      <c r="J32" s="124">
        <v>32667.7</v>
      </c>
      <c r="K32" s="124">
        <v>56169.0</v>
      </c>
      <c r="L32" s="115">
        <v>40945.0</v>
      </c>
      <c r="M32" s="115">
        <v>148081.1</v>
      </c>
      <c r="N32" s="115">
        <v>159714.0</v>
      </c>
      <c r="O32" s="115">
        <v>151031.0</v>
      </c>
      <c r="P32" s="115">
        <v>150056.0</v>
      </c>
      <c r="Q32" s="115">
        <f>18000+139619</f>
        <v>157619</v>
      </c>
      <c r="R32" s="115">
        <v>103909.0</v>
      </c>
      <c r="S32" s="115">
        <v>88627.0</v>
      </c>
      <c r="T32" s="97"/>
      <c r="U32" s="25"/>
      <c r="V32" s="25"/>
      <c r="W32" s="25"/>
      <c r="X32" s="25"/>
      <c r="Y32" s="25"/>
      <c r="Z32" s="25"/>
    </row>
    <row r="33" ht="12.75" customHeight="1">
      <c r="A33" s="55" t="s">
        <v>206</v>
      </c>
      <c r="B33" s="55"/>
      <c r="C33" s="117">
        <v>145665.8</v>
      </c>
      <c r="D33" s="117">
        <v>138141.8</v>
      </c>
      <c r="E33" s="115">
        <v>149398.2</v>
      </c>
      <c r="F33" s="122">
        <v>129233.5</v>
      </c>
      <c r="G33" s="122">
        <v>142187.9</v>
      </c>
      <c r="H33" s="115">
        <v>124268.8</v>
      </c>
      <c r="I33" s="115">
        <v>142688.7</v>
      </c>
      <c r="J33" s="124">
        <v>152836.3</v>
      </c>
      <c r="K33" s="124">
        <v>124867.0</v>
      </c>
      <c r="L33" s="124">
        <v>149348.0</v>
      </c>
      <c r="M33" s="115">
        <v>0.0</v>
      </c>
      <c r="N33" s="115">
        <v>0.0</v>
      </c>
      <c r="O33" s="115">
        <v>0.0</v>
      </c>
      <c r="P33" s="115">
        <v>0.0</v>
      </c>
      <c r="Q33" s="115">
        <v>0.0</v>
      </c>
      <c r="R33" s="115">
        <v>0.0</v>
      </c>
      <c r="S33" s="115">
        <v>0.0</v>
      </c>
      <c r="U33" s="25"/>
      <c r="V33" s="25"/>
      <c r="W33" s="25"/>
      <c r="X33" s="25"/>
      <c r="Y33" s="25"/>
      <c r="Z33" s="25"/>
    </row>
    <row r="34" ht="15.0" customHeight="1">
      <c r="A34" s="55" t="s">
        <v>207</v>
      </c>
      <c r="B34" s="55"/>
      <c r="C34" s="117">
        <v>21662.4</v>
      </c>
      <c r="D34" s="117">
        <v>21840.2</v>
      </c>
      <c r="E34" s="122">
        <v>17595.9</v>
      </c>
      <c r="F34" s="125">
        <v>19427.9</v>
      </c>
      <c r="G34" s="125">
        <v>35999.0</v>
      </c>
      <c r="H34" s="115">
        <v>31039.3</v>
      </c>
      <c r="I34" s="115">
        <f>38027.2+1028.7</f>
        <v>39055.9</v>
      </c>
      <c r="J34" s="124">
        <v>37526.939999999995</v>
      </c>
      <c r="K34" s="124">
        <v>33024.0</v>
      </c>
      <c r="L34" s="124">
        <v>37039.0</v>
      </c>
      <c r="M34" s="115">
        <f>35184.5+1815.4+3159.1</f>
        <v>40159</v>
      </c>
      <c r="N34" s="115">
        <v>31394.0</v>
      </c>
      <c r="O34" s="115">
        <v>16259.0</v>
      </c>
      <c r="P34" s="115">
        <v>9806.0</v>
      </c>
      <c r="Q34" s="115">
        <v>8729.0</v>
      </c>
      <c r="R34" s="115">
        <v>9275.0</v>
      </c>
      <c r="S34" s="115">
        <v>9333.0</v>
      </c>
      <c r="U34" s="25"/>
      <c r="V34" s="25"/>
      <c r="W34" s="25"/>
      <c r="X34" s="25"/>
      <c r="Y34" s="25"/>
      <c r="Z34" s="25"/>
    </row>
    <row r="35" ht="12.75" customHeight="1">
      <c r="A35" s="25" t="s">
        <v>208</v>
      </c>
      <c r="B35" s="25"/>
      <c r="C35" s="73">
        <f>(('FY 02-06 reference'!B20*0.05)+(C33*0.2))</f>
        <v>29133.16</v>
      </c>
      <c r="D35" s="73">
        <f>(('FY 02-06 reference'!C20*0.05)+(D33*0.2))</f>
        <v>27628.36</v>
      </c>
      <c r="E35" s="73">
        <f>(('FY 02-06 reference'!D20*0.05)+(E33*0.2))</f>
        <v>29879.64</v>
      </c>
      <c r="F35" s="73">
        <f>(('FY 02-06 reference'!E20*0.05)+(F33*0.2))</f>
        <v>25846.7</v>
      </c>
      <c r="G35" s="73">
        <f>(('FY 02-06 reference'!F20*0.05)+(G33*0.2))</f>
        <v>28437.58</v>
      </c>
      <c r="H35" s="73">
        <f>(('FY 02-06 reference'!G20*0.05)+(H33*0.2))</f>
        <v>24853.76</v>
      </c>
      <c r="I35" s="73">
        <f>(('FY 02-06 reference'!H20*0.05)+(I33*0.2))</f>
        <v>28537.74</v>
      </c>
      <c r="J35" s="73">
        <f>(('FY 02-06 reference'!I20*0.05)+(J33*0.2))</f>
        <v>30567.26</v>
      </c>
      <c r="K35" s="73">
        <f>(('FY 02-06 reference'!J20*0.05)+(K33*0.2))</f>
        <v>24973.4</v>
      </c>
      <c r="L35" s="73">
        <f>(('FY 02-06 reference'!K20*0.05)+(L33*0.2))</f>
        <v>29869.6</v>
      </c>
      <c r="M35" s="73">
        <f>(('FY 02-06 reference'!L20*0.05)+(M33*0.2))</f>
        <v>0</v>
      </c>
      <c r="N35" s="73">
        <f>(('FY 02-06 reference'!M20*0.05)+(N33*0.2))</f>
        <v>0</v>
      </c>
      <c r="O35" s="73">
        <f>(('FY 02-06 reference'!N20*0.05)+(O33*0.2))</f>
        <v>0</v>
      </c>
      <c r="P35" s="73">
        <f>(('FY 02-06 reference'!O20*0.05)+(P33*0.2))</f>
        <v>0</v>
      </c>
      <c r="Q35" s="73">
        <f>(('FY 02-06 reference'!P20*0.05)+(Q33*0.2))</f>
        <v>0</v>
      </c>
      <c r="R35" s="73">
        <f>(('FY 02-06 reference'!Q20*0.05)+(R33*0.2))</f>
        <v>0</v>
      </c>
      <c r="S35" s="73">
        <f>(('FY 02-06 reference'!R20*0.05)+(S33*0.2))</f>
        <v>0</v>
      </c>
      <c r="T35" s="97"/>
      <c r="U35" s="25"/>
      <c r="V35" s="25"/>
      <c r="W35" s="25"/>
      <c r="X35" s="25"/>
      <c r="Y35" s="25"/>
      <c r="Z35" s="25"/>
    </row>
    <row r="36" ht="13.5" customHeight="1">
      <c r="A36" s="25" t="s">
        <v>209</v>
      </c>
      <c r="B36" s="25"/>
      <c r="C36" s="97">
        <f>(C32+('FY 02-06 reference'!B20*0.95)+(C33*0.8)+C34)</f>
        <v>198514.14</v>
      </c>
      <c r="D36" s="97">
        <f>(D32+('FY 02-06 reference'!C20*0.95)+(D33*0.8)+D34)</f>
        <v>182682.64</v>
      </c>
      <c r="E36" s="97">
        <f>(E32+('FY 02-06 reference'!D20*0.95)+(E33*0.8)+E34)</f>
        <v>179673.36</v>
      </c>
      <c r="F36" s="97">
        <f>(F32+('FY 02-06 reference'!E20*0.95)+(F33*0.8)+F34)</f>
        <v>152402.4</v>
      </c>
      <c r="G36" s="97">
        <f>(G32+('FY 02-06 reference'!F20*0.95)+(G33*0.8)+G34)</f>
        <v>190512.22</v>
      </c>
      <c r="H36" s="97">
        <f>(H32+('FY 02-06 reference'!G20*0.95)+(H33*0.8)+H34)</f>
        <v>161050.14</v>
      </c>
      <c r="I36" s="97">
        <f>(I32+('FY 02-06 reference'!H20*0.95)+(I33*0.8)+I34)</f>
        <v>187837.36</v>
      </c>
      <c r="J36" s="97">
        <f>(J32+('FY 02-06 reference'!I20*0.95)+(J33*0.8)+J34)</f>
        <v>192463.68</v>
      </c>
      <c r="K36" s="97">
        <f>(K32+('FY 02-06 reference'!J20*0.95)+(K33*0.8)+K34)</f>
        <v>189086.6</v>
      </c>
      <c r="L36" s="97">
        <f>(L32+('FY 02-06 reference'!K20*0.95)+(L33*0.8)+L34)</f>
        <v>197462.4</v>
      </c>
      <c r="M36" s="97">
        <f>(M32+('FY 02-06 reference'!L20*0.95)+(M33*0.8)+M34)</f>
        <v>188240.1</v>
      </c>
      <c r="N36" s="97">
        <f>(N32+('FY 02-06 reference'!M20*0.95)+(N33*0.8)+N34)</f>
        <v>191108</v>
      </c>
      <c r="O36" s="97">
        <f>(O32+('FY 02-06 reference'!N20*0.95)+(O33*0.8)+O34)</f>
        <v>167290</v>
      </c>
      <c r="P36" s="97">
        <f>(P32+('FY 02-06 reference'!O20*0.95)+(P33*0.8)+P34)</f>
        <v>159862</v>
      </c>
      <c r="Q36" s="97">
        <f>(Q32+('FY 02-06 reference'!P20*0.95)+(Q33*0.8)+Q34)</f>
        <v>166348</v>
      </c>
      <c r="R36" s="97">
        <f>(R32+('FY 02-06 reference'!Q20*0.95)+(R33*0.8)+R34)</f>
        <v>113184</v>
      </c>
      <c r="S36" s="97">
        <f>(S32+('FY 02-06 reference'!R20*0.95)+(S33*0.8)+S34)</f>
        <v>97960</v>
      </c>
    </row>
    <row r="37" ht="12.75" customHeight="1">
      <c r="A37" s="25" t="s">
        <v>197</v>
      </c>
      <c r="B37" s="25"/>
      <c r="C37" s="73">
        <f t="shared" ref="C37:S37" si="14">ROUND(C36*$C118,1)</f>
        <v>27532</v>
      </c>
      <c r="D37" s="73">
        <f t="shared" si="14"/>
        <v>25336.3</v>
      </c>
      <c r="E37" s="73">
        <f t="shared" si="14"/>
        <v>24919</v>
      </c>
      <c r="F37" s="73">
        <f t="shared" si="14"/>
        <v>21136.8</v>
      </c>
      <c r="G37" s="73">
        <f t="shared" si="14"/>
        <v>26422.2</v>
      </c>
      <c r="H37" s="73">
        <f t="shared" si="14"/>
        <v>22336.1</v>
      </c>
      <c r="I37" s="73">
        <f t="shared" si="14"/>
        <v>26051.3</v>
      </c>
      <c r="J37" s="73">
        <f t="shared" si="14"/>
        <v>26692.9</v>
      </c>
      <c r="K37" s="73">
        <f t="shared" si="14"/>
        <v>26224.5</v>
      </c>
      <c r="L37" s="73">
        <f t="shared" si="14"/>
        <v>27386.2</v>
      </c>
      <c r="M37" s="73">
        <f t="shared" si="14"/>
        <v>26107.1</v>
      </c>
      <c r="N37" s="73">
        <f t="shared" si="14"/>
        <v>26504.9</v>
      </c>
      <c r="O37" s="73">
        <f t="shared" si="14"/>
        <v>23201.5</v>
      </c>
      <c r="P37" s="73">
        <f t="shared" si="14"/>
        <v>22171.3</v>
      </c>
      <c r="Q37" s="73">
        <f t="shared" si="14"/>
        <v>23070.9</v>
      </c>
      <c r="R37" s="73">
        <f t="shared" si="14"/>
        <v>15697.5</v>
      </c>
      <c r="S37" s="73">
        <f t="shared" si="14"/>
        <v>13586.1</v>
      </c>
    </row>
    <row r="38" ht="15.0" customHeight="1">
      <c r="A38" s="47" t="s">
        <v>210</v>
      </c>
      <c r="B38" s="47"/>
      <c r="C38" s="78">
        <f t="shared" ref="C38:S38" si="15">ROUND(C36*$C119,1)</f>
        <v>1992.5</v>
      </c>
      <c r="D38" s="78">
        <f t="shared" si="15"/>
        <v>1833.6</v>
      </c>
      <c r="E38" s="78">
        <f t="shared" si="15"/>
        <v>1803.4</v>
      </c>
      <c r="F38" s="78">
        <f t="shared" si="15"/>
        <v>1529.7</v>
      </c>
      <c r="G38" s="78">
        <f t="shared" si="15"/>
        <v>1912.2</v>
      </c>
      <c r="H38" s="78">
        <f t="shared" si="15"/>
        <v>1616.5</v>
      </c>
      <c r="I38" s="78">
        <f t="shared" si="15"/>
        <v>1885.3</v>
      </c>
      <c r="J38" s="78">
        <f t="shared" si="15"/>
        <v>1931.8</v>
      </c>
      <c r="K38" s="78">
        <f t="shared" si="15"/>
        <v>1897.9</v>
      </c>
      <c r="L38" s="78">
        <f t="shared" si="15"/>
        <v>1981.9</v>
      </c>
      <c r="M38" s="78">
        <f t="shared" si="15"/>
        <v>1889.4</v>
      </c>
      <c r="N38" s="78">
        <f t="shared" si="15"/>
        <v>1918.2</v>
      </c>
      <c r="O38" s="78">
        <f t="shared" si="15"/>
        <v>1679.1</v>
      </c>
      <c r="P38" s="78">
        <f t="shared" si="15"/>
        <v>1604.5</v>
      </c>
      <c r="Q38" s="78">
        <f t="shared" si="15"/>
        <v>1669.6</v>
      </c>
      <c r="R38" s="78">
        <f t="shared" si="15"/>
        <v>1136</v>
      </c>
      <c r="S38" s="78">
        <f t="shared" si="15"/>
        <v>983.2</v>
      </c>
    </row>
    <row r="39" ht="15.0" customHeight="1">
      <c r="A39" s="25" t="s">
        <v>211</v>
      </c>
      <c r="B39" s="25"/>
      <c r="C39" s="112">
        <f t="shared" ref="C39:S39" si="16">($C123*C37*$C102)</f>
        <v>0.27532</v>
      </c>
      <c r="D39" s="112">
        <f t="shared" si="16"/>
        <v>0.253363</v>
      </c>
      <c r="E39" s="112">
        <f t="shared" si="16"/>
        <v>0.24919</v>
      </c>
      <c r="F39" s="112">
        <f t="shared" si="16"/>
        <v>0.211368</v>
      </c>
      <c r="G39" s="112">
        <f t="shared" si="16"/>
        <v>0.264222</v>
      </c>
      <c r="H39" s="112">
        <f t="shared" si="16"/>
        <v>0.223361</v>
      </c>
      <c r="I39" s="112">
        <f t="shared" si="16"/>
        <v>0.260513</v>
      </c>
      <c r="J39" s="112">
        <f t="shared" si="16"/>
        <v>0.266929</v>
      </c>
      <c r="K39" s="112">
        <f t="shared" si="16"/>
        <v>0.262245</v>
      </c>
      <c r="L39" s="112">
        <f t="shared" si="16"/>
        <v>0.273862</v>
      </c>
      <c r="M39" s="112">
        <f t="shared" si="16"/>
        <v>0.261071</v>
      </c>
      <c r="N39" s="112">
        <f t="shared" si="16"/>
        <v>0.265049</v>
      </c>
      <c r="O39" s="112">
        <f t="shared" si="16"/>
        <v>0.232015</v>
      </c>
      <c r="P39" s="112">
        <f t="shared" si="16"/>
        <v>0.221713</v>
      </c>
      <c r="Q39" s="112">
        <f t="shared" si="16"/>
        <v>0.230709</v>
      </c>
      <c r="R39" s="112">
        <f t="shared" si="16"/>
        <v>0.156975</v>
      </c>
      <c r="S39" s="112">
        <f t="shared" si="16"/>
        <v>0.135861</v>
      </c>
    </row>
    <row r="40" ht="15.0" customHeight="1">
      <c r="A40" s="47" t="s">
        <v>212</v>
      </c>
      <c r="B40" s="47"/>
      <c r="C40" s="126">
        <f t="shared" ref="C40:S40" si="17">C37*$C123*$C102*$C104</f>
        <v>5.78172</v>
      </c>
      <c r="D40" s="126">
        <f t="shared" si="17"/>
        <v>5.320623</v>
      </c>
      <c r="E40" s="126">
        <f t="shared" si="17"/>
        <v>5.23299</v>
      </c>
      <c r="F40" s="126">
        <f t="shared" si="17"/>
        <v>4.438728</v>
      </c>
      <c r="G40" s="126">
        <f t="shared" si="17"/>
        <v>5.548662</v>
      </c>
      <c r="H40" s="126">
        <f t="shared" si="17"/>
        <v>4.690581</v>
      </c>
      <c r="I40" s="126">
        <f t="shared" si="17"/>
        <v>5.470773</v>
      </c>
      <c r="J40" s="126">
        <f t="shared" si="17"/>
        <v>5.605509</v>
      </c>
      <c r="K40" s="126">
        <f t="shared" si="17"/>
        <v>5.507145</v>
      </c>
      <c r="L40" s="126">
        <f t="shared" si="17"/>
        <v>5.751102</v>
      </c>
      <c r="M40" s="126">
        <f t="shared" si="17"/>
        <v>5.482491</v>
      </c>
      <c r="N40" s="126">
        <f t="shared" si="17"/>
        <v>5.566029</v>
      </c>
      <c r="O40" s="126">
        <f t="shared" si="17"/>
        <v>4.872315</v>
      </c>
      <c r="P40" s="126">
        <f t="shared" si="17"/>
        <v>4.655973</v>
      </c>
      <c r="Q40" s="126">
        <f t="shared" si="17"/>
        <v>4.844889</v>
      </c>
      <c r="R40" s="126">
        <f t="shared" si="17"/>
        <v>3.296475</v>
      </c>
      <c r="S40" s="126">
        <f t="shared" si="17"/>
        <v>2.853081</v>
      </c>
    </row>
    <row r="41" ht="15.0" customHeight="1">
      <c r="A41" s="25" t="s">
        <v>213</v>
      </c>
      <c r="B41" s="25"/>
      <c r="C41" s="112">
        <f t="shared" ref="C41:S41" si="18">($C124*C37*$C102)</f>
        <v>0.0165192</v>
      </c>
      <c r="D41" s="112">
        <f t="shared" si="18"/>
        <v>0.01520178</v>
      </c>
      <c r="E41" s="112">
        <f t="shared" si="18"/>
        <v>0.0149514</v>
      </c>
      <c r="F41" s="112">
        <f t="shared" si="18"/>
        <v>0.01268208</v>
      </c>
      <c r="G41" s="112">
        <f t="shared" si="18"/>
        <v>0.01585332</v>
      </c>
      <c r="H41" s="112">
        <f t="shared" si="18"/>
        <v>0.01340166</v>
      </c>
      <c r="I41" s="112">
        <f t="shared" si="18"/>
        <v>0.01563078</v>
      </c>
      <c r="J41" s="112">
        <f t="shared" si="18"/>
        <v>0.01601574</v>
      </c>
      <c r="K41" s="112">
        <f t="shared" si="18"/>
        <v>0.0157347</v>
      </c>
      <c r="L41" s="112">
        <f t="shared" si="18"/>
        <v>0.01643172</v>
      </c>
      <c r="M41" s="112">
        <f t="shared" si="18"/>
        <v>0.01566426</v>
      </c>
      <c r="N41" s="112">
        <f t="shared" si="18"/>
        <v>0.01590294</v>
      </c>
      <c r="O41" s="112">
        <f t="shared" si="18"/>
        <v>0.0139209</v>
      </c>
      <c r="P41" s="112">
        <f t="shared" si="18"/>
        <v>0.01330278</v>
      </c>
      <c r="Q41" s="112">
        <f t="shared" si="18"/>
        <v>0.01384254</v>
      </c>
      <c r="R41" s="112">
        <f t="shared" si="18"/>
        <v>0.0094185</v>
      </c>
      <c r="S41" s="112">
        <f t="shared" si="18"/>
        <v>0.00815166</v>
      </c>
    </row>
    <row r="42" ht="15.0" customHeight="1">
      <c r="A42" s="47" t="s">
        <v>214</v>
      </c>
      <c r="B42" s="47"/>
      <c r="C42" s="126">
        <f t="shared" ref="C42:S42" si="19">C37*$C124*$C102*$C105</f>
        <v>5.120952</v>
      </c>
      <c r="D42" s="126">
        <f t="shared" si="19"/>
        <v>4.7125518</v>
      </c>
      <c r="E42" s="126">
        <f t="shared" si="19"/>
        <v>4.634934</v>
      </c>
      <c r="F42" s="126">
        <f t="shared" si="19"/>
        <v>3.9314448</v>
      </c>
      <c r="G42" s="126">
        <f t="shared" si="19"/>
        <v>4.9145292</v>
      </c>
      <c r="H42" s="126">
        <f t="shared" si="19"/>
        <v>4.1545146</v>
      </c>
      <c r="I42" s="126">
        <f t="shared" si="19"/>
        <v>4.8455418</v>
      </c>
      <c r="J42" s="126">
        <f t="shared" si="19"/>
        <v>4.9648794</v>
      </c>
      <c r="K42" s="126">
        <f t="shared" si="19"/>
        <v>4.877757</v>
      </c>
      <c r="L42" s="126">
        <f t="shared" si="19"/>
        <v>5.0938332</v>
      </c>
      <c r="M42" s="126">
        <f t="shared" si="19"/>
        <v>4.8559206</v>
      </c>
      <c r="N42" s="126">
        <f t="shared" si="19"/>
        <v>4.9299114</v>
      </c>
      <c r="O42" s="126">
        <f t="shared" si="19"/>
        <v>4.315479</v>
      </c>
      <c r="P42" s="126">
        <f t="shared" si="19"/>
        <v>4.1238618</v>
      </c>
      <c r="Q42" s="126">
        <f t="shared" si="19"/>
        <v>4.2911874</v>
      </c>
      <c r="R42" s="126">
        <f t="shared" si="19"/>
        <v>2.919735</v>
      </c>
      <c r="S42" s="126">
        <f t="shared" si="19"/>
        <v>2.5270146</v>
      </c>
    </row>
    <row r="43" ht="12.75" customHeight="1">
      <c r="A43" s="120" t="s">
        <v>215</v>
      </c>
      <c r="B43" s="120"/>
      <c r="C43" s="121">
        <f t="shared" ref="C43:S43" si="20">ROUND(C38+C40+C42,1)</f>
        <v>2003.4</v>
      </c>
      <c r="D43" s="121">
        <f t="shared" si="20"/>
        <v>1843.6</v>
      </c>
      <c r="E43" s="121">
        <f t="shared" si="20"/>
        <v>1813.3</v>
      </c>
      <c r="F43" s="121">
        <f t="shared" si="20"/>
        <v>1538.1</v>
      </c>
      <c r="G43" s="121">
        <f t="shared" si="20"/>
        <v>1922.7</v>
      </c>
      <c r="H43" s="121">
        <f t="shared" si="20"/>
        <v>1625.3</v>
      </c>
      <c r="I43" s="121">
        <f t="shared" si="20"/>
        <v>1895.6</v>
      </c>
      <c r="J43" s="121">
        <f t="shared" si="20"/>
        <v>1942.4</v>
      </c>
      <c r="K43" s="121">
        <f t="shared" si="20"/>
        <v>1908.3</v>
      </c>
      <c r="L43" s="121">
        <f t="shared" si="20"/>
        <v>1992.7</v>
      </c>
      <c r="M43" s="121">
        <f t="shared" si="20"/>
        <v>1899.7</v>
      </c>
      <c r="N43" s="121">
        <f t="shared" si="20"/>
        <v>1928.7</v>
      </c>
      <c r="O43" s="121">
        <f t="shared" si="20"/>
        <v>1688.3</v>
      </c>
      <c r="P43" s="121">
        <f t="shared" si="20"/>
        <v>1613.3</v>
      </c>
      <c r="Q43" s="121">
        <f t="shared" si="20"/>
        <v>1678.7</v>
      </c>
      <c r="R43" s="121">
        <f t="shared" si="20"/>
        <v>1142.2</v>
      </c>
      <c r="S43" s="121">
        <f t="shared" si="20"/>
        <v>988.6</v>
      </c>
    </row>
    <row r="44" ht="12.75" customHeight="1"/>
    <row r="45" ht="15.75" customHeight="1">
      <c r="A45" s="92" t="s">
        <v>134</v>
      </c>
      <c r="B45" s="92"/>
    </row>
    <row r="46" ht="12.75" customHeight="1">
      <c r="A46" s="47"/>
      <c r="B46" s="47"/>
    </row>
    <row r="47" ht="12.75" customHeight="1">
      <c r="A47" s="65" t="s">
        <v>195</v>
      </c>
      <c r="B47" s="65"/>
      <c r="C47" s="95" t="s">
        <v>76</v>
      </c>
      <c r="D47" s="95" t="s">
        <v>77</v>
      </c>
      <c r="E47" s="95" t="s">
        <v>78</v>
      </c>
      <c r="F47" s="96" t="s">
        <v>79</v>
      </c>
      <c r="G47" s="96" t="s">
        <v>80</v>
      </c>
      <c r="H47" s="96" t="s">
        <v>81</v>
      </c>
      <c r="I47" s="96" t="s">
        <v>82</v>
      </c>
      <c r="J47" s="96" t="s">
        <v>83</v>
      </c>
      <c r="K47" s="96" t="s">
        <v>65</v>
      </c>
      <c r="L47" s="96" t="s">
        <v>66</v>
      </c>
      <c r="M47" s="96" t="s">
        <v>185</v>
      </c>
      <c r="N47" s="96" t="s">
        <v>186</v>
      </c>
      <c r="O47" s="96" t="s">
        <v>187</v>
      </c>
      <c r="P47" s="96" t="s">
        <v>188</v>
      </c>
      <c r="Q47" s="96" t="s">
        <v>189</v>
      </c>
      <c r="R47" s="96" t="s">
        <v>190</v>
      </c>
      <c r="S47" s="96" t="s">
        <v>191</v>
      </c>
    </row>
    <row r="48" ht="15.0" customHeight="1">
      <c r="A48" s="55" t="s">
        <v>216</v>
      </c>
      <c r="B48" s="55"/>
      <c r="C48" s="115">
        <v>123902.0</v>
      </c>
      <c r="D48" s="115">
        <v>114042.9</v>
      </c>
      <c r="E48" s="122">
        <v>111960.2</v>
      </c>
      <c r="F48" s="125">
        <v>102932.67199999999</v>
      </c>
      <c r="G48" s="125">
        <v>113634.0</v>
      </c>
      <c r="H48" s="125">
        <v>114751.4</v>
      </c>
      <c r="I48" s="125">
        <v>106340.8</v>
      </c>
      <c r="J48" s="124">
        <v>66131.4</v>
      </c>
      <c r="K48" s="124">
        <v>80602.0</v>
      </c>
      <c r="L48" s="125">
        <v>71843.0</v>
      </c>
      <c r="M48" s="125">
        <v>104242.0</v>
      </c>
      <c r="N48" s="125">
        <v>88510.0</v>
      </c>
      <c r="O48" s="125">
        <v>92405.0</v>
      </c>
      <c r="P48" s="125">
        <v>67420.0</v>
      </c>
      <c r="Q48" s="125">
        <v>57371.0</v>
      </c>
      <c r="R48" s="125">
        <v>76104.0</v>
      </c>
      <c r="S48" s="125">
        <v>70030.0</v>
      </c>
      <c r="T48" s="127"/>
    </row>
    <row r="49" ht="12.75" customHeight="1">
      <c r="A49" s="25" t="s">
        <v>197</v>
      </c>
      <c r="B49" s="25"/>
      <c r="C49" s="73">
        <f t="shared" ref="C49:S49" si="21">ROUND(C48*$C127,-1)</f>
        <v>11280</v>
      </c>
      <c r="D49" s="73">
        <f t="shared" si="21"/>
        <v>10380</v>
      </c>
      <c r="E49" s="73">
        <f t="shared" si="21"/>
        <v>10190</v>
      </c>
      <c r="F49" s="73">
        <f t="shared" si="21"/>
        <v>9370</v>
      </c>
      <c r="G49" s="73">
        <f t="shared" si="21"/>
        <v>10350</v>
      </c>
      <c r="H49" s="73">
        <f t="shared" si="21"/>
        <v>10450</v>
      </c>
      <c r="I49" s="73">
        <f t="shared" si="21"/>
        <v>9680</v>
      </c>
      <c r="J49" s="73">
        <f t="shared" si="21"/>
        <v>6020</v>
      </c>
      <c r="K49" s="73">
        <f t="shared" si="21"/>
        <v>7340</v>
      </c>
      <c r="L49" s="73">
        <f t="shared" si="21"/>
        <v>6540</v>
      </c>
      <c r="M49" s="73">
        <f t="shared" si="21"/>
        <v>9490</v>
      </c>
      <c r="N49" s="73">
        <f t="shared" si="21"/>
        <v>8060</v>
      </c>
      <c r="O49" s="73">
        <f t="shared" si="21"/>
        <v>8410</v>
      </c>
      <c r="P49" s="73">
        <f t="shared" si="21"/>
        <v>6140</v>
      </c>
      <c r="Q49" s="73">
        <f t="shared" si="21"/>
        <v>5220</v>
      </c>
      <c r="R49" s="73">
        <f t="shared" si="21"/>
        <v>6930</v>
      </c>
      <c r="S49" s="73">
        <f t="shared" si="21"/>
        <v>6380</v>
      </c>
      <c r="T49" s="25"/>
      <c r="U49" s="25"/>
      <c r="V49" s="25"/>
      <c r="W49" s="25"/>
      <c r="X49" s="25"/>
      <c r="Y49" s="25"/>
      <c r="Z49" s="25"/>
    </row>
    <row r="50" ht="15.0" customHeight="1">
      <c r="A50" s="47" t="s">
        <v>217</v>
      </c>
      <c r="B50" s="47"/>
      <c r="C50" s="78">
        <f t="shared" ref="C50:S50" si="22">ROUND(C48*$C128,1)</f>
        <v>707.4</v>
      </c>
      <c r="D50" s="78">
        <f t="shared" si="22"/>
        <v>651.1</v>
      </c>
      <c r="E50" s="78">
        <f t="shared" si="22"/>
        <v>639.2</v>
      </c>
      <c r="F50" s="78">
        <f t="shared" si="22"/>
        <v>587.7</v>
      </c>
      <c r="G50" s="78">
        <f t="shared" si="22"/>
        <v>648.8</v>
      </c>
      <c r="H50" s="78">
        <f t="shared" si="22"/>
        <v>655.2</v>
      </c>
      <c r="I50" s="78">
        <f t="shared" si="22"/>
        <v>607.2</v>
      </c>
      <c r="J50" s="78">
        <f t="shared" si="22"/>
        <v>377.6</v>
      </c>
      <c r="K50" s="78">
        <f t="shared" si="22"/>
        <v>460.2</v>
      </c>
      <c r="L50" s="78">
        <f t="shared" si="22"/>
        <v>410.2</v>
      </c>
      <c r="M50" s="78">
        <f t="shared" si="22"/>
        <v>595.2</v>
      </c>
      <c r="N50" s="78">
        <f t="shared" si="22"/>
        <v>505.4</v>
      </c>
      <c r="O50" s="78">
        <f t="shared" si="22"/>
        <v>527.6</v>
      </c>
      <c r="P50" s="78">
        <f t="shared" si="22"/>
        <v>384.9</v>
      </c>
      <c r="Q50" s="78">
        <f t="shared" si="22"/>
        <v>327.6</v>
      </c>
      <c r="R50" s="78">
        <f t="shared" si="22"/>
        <v>434.5</v>
      </c>
      <c r="S50" s="78">
        <f t="shared" si="22"/>
        <v>399.8</v>
      </c>
    </row>
    <row r="51" ht="15.0" customHeight="1">
      <c r="A51" s="25" t="s">
        <v>218</v>
      </c>
      <c r="B51" s="25"/>
      <c r="C51" s="112">
        <f t="shared" ref="C51:S51" si="23">($C132*C49*$C102)</f>
        <v>0.1128</v>
      </c>
      <c r="D51" s="112">
        <f t="shared" si="23"/>
        <v>0.1038</v>
      </c>
      <c r="E51" s="112">
        <f t="shared" si="23"/>
        <v>0.1019</v>
      </c>
      <c r="F51" s="112">
        <f t="shared" si="23"/>
        <v>0.0937</v>
      </c>
      <c r="G51" s="112">
        <f t="shared" si="23"/>
        <v>0.1035</v>
      </c>
      <c r="H51" s="112">
        <f t="shared" si="23"/>
        <v>0.1045</v>
      </c>
      <c r="I51" s="112">
        <f t="shared" si="23"/>
        <v>0.0968</v>
      </c>
      <c r="J51" s="112">
        <f t="shared" si="23"/>
        <v>0.0602</v>
      </c>
      <c r="K51" s="112">
        <f t="shared" si="23"/>
        <v>0.0734</v>
      </c>
      <c r="L51" s="112">
        <f t="shared" si="23"/>
        <v>0.0654</v>
      </c>
      <c r="M51" s="112">
        <f t="shared" si="23"/>
        <v>0.0949</v>
      </c>
      <c r="N51" s="112">
        <f t="shared" si="23"/>
        <v>0.0806</v>
      </c>
      <c r="O51" s="112">
        <f t="shared" si="23"/>
        <v>0.0841</v>
      </c>
      <c r="P51" s="112">
        <f t="shared" si="23"/>
        <v>0.0614</v>
      </c>
      <c r="Q51" s="112">
        <f t="shared" si="23"/>
        <v>0.0522</v>
      </c>
      <c r="R51" s="112">
        <f t="shared" si="23"/>
        <v>0.0693</v>
      </c>
      <c r="S51" s="112">
        <f t="shared" si="23"/>
        <v>0.0638</v>
      </c>
    </row>
    <row r="52" ht="15.0" customHeight="1">
      <c r="A52" s="47" t="s">
        <v>219</v>
      </c>
      <c r="B52" s="47"/>
      <c r="C52" s="126">
        <f t="shared" ref="C52:S52" si="24">C49*$C102*$C104*$C132</f>
        <v>2.3688</v>
      </c>
      <c r="D52" s="126">
        <f t="shared" si="24"/>
        <v>2.1798</v>
      </c>
      <c r="E52" s="126">
        <f t="shared" si="24"/>
        <v>2.1399</v>
      </c>
      <c r="F52" s="126">
        <f t="shared" si="24"/>
        <v>1.9677</v>
      </c>
      <c r="G52" s="126">
        <f t="shared" si="24"/>
        <v>2.1735</v>
      </c>
      <c r="H52" s="126">
        <f t="shared" si="24"/>
        <v>2.1945</v>
      </c>
      <c r="I52" s="126">
        <f t="shared" si="24"/>
        <v>2.0328</v>
      </c>
      <c r="J52" s="126">
        <f t="shared" si="24"/>
        <v>1.2642</v>
      </c>
      <c r="K52" s="126">
        <f t="shared" si="24"/>
        <v>1.5414</v>
      </c>
      <c r="L52" s="126">
        <f t="shared" si="24"/>
        <v>1.3734</v>
      </c>
      <c r="M52" s="126">
        <f t="shared" si="24"/>
        <v>1.9929</v>
      </c>
      <c r="N52" s="126">
        <f t="shared" si="24"/>
        <v>1.6926</v>
      </c>
      <c r="O52" s="126">
        <f t="shared" si="24"/>
        <v>1.7661</v>
      </c>
      <c r="P52" s="126">
        <f t="shared" si="24"/>
        <v>1.2894</v>
      </c>
      <c r="Q52" s="126">
        <f t="shared" si="24"/>
        <v>1.0962</v>
      </c>
      <c r="R52" s="126">
        <f t="shared" si="24"/>
        <v>1.4553</v>
      </c>
      <c r="S52" s="126">
        <f t="shared" si="24"/>
        <v>1.3398</v>
      </c>
    </row>
    <row r="53" ht="15.0" customHeight="1">
      <c r="A53" s="25" t="s">
        <v>220</v>
      </c>
      <c r="B53" s="25"/>
      <c r="C53" s="128">
        <f t="shared" ref="C53:S53" si="25">($C133*C49*$C102)</f>
        <v>0.006768</v>
      </c>
      <c r="D53" s="128">
        <f t="shared" si="25"/>
        <v>0.006228</v>
      </c>
      <c r="E53" s="128">
        <f t="shared" si="25"/>
        <v>0.006114</v>
      </c>
      <c r="F53" s="128">
        <f t="shared" si="25"/>
        <v>0.005622</v>
      </c>
      <c r="G53" s="128">
        <f t="shared" si="25"/>
        <v>0.00621</v>
      </c>
      <c r="H53" s="128">
        <f t="shared" si="25"/>
        <v>0.00627</v>
      </c>
      <c r="I53" s="128">
        <f t="shared" si="25"/>
        <v>0.005808</v>
      </c>
      <c r="J53" s="128">
        <f t="shared" si="25"/>
        <v>0.003612</v>
      </c>
      <c r="K53" s="128">
        <f t="shared" si="25"/>
        <v>0.004404</v>
      </c>
      <c r="L53" s="128">
        <f t="shared" si="25"/>
        <v>0.003924</v>
      </c>
      <c r="M53" s="128">
        <f t="shared" si="25"/>
        <v>0.005694</v>
      </c>
      <c r="N53" s="128">
        <f t="shared" si="25"/>
        <v>0.004836</v>
      </c>
      <c r="O53" s="128">
        <f t="shared" si="25"/>
        <v>0.005046</v>
      </c>
      <c r="P53" s="128">
        <f t="shared" si="25"/>
        <v>0.003684</v>
      </c>
      <c r="Q53" s="128">
        <f t="shared" si="25"/>
        <v>0.003132</v>
      </c>
      <c r="R53" s="128">
        <f t="shared" si="25"/>
        <v>0.004158</v>
      </c>
      <c r="S53" s="128">
        <f t="shared" si="25"/>
        <v>0.003828</v>
      </c>
    </row>
    <row r="54" ht="15.0" customHeight="1">
      <c r="A54" s="47" t="s">
        <v>221</v>
      </c>
      <c r="B54" s="47"/>
      <c r="C54" s="126">
        <f t="shared" ref="C54:S54" si="26">C49*$C133*$C102*$C105</f>
        <v>2.09808</v>
      </c>
      <c r="D54" s="126">
        <f t="shared" si="26"/>
        <v>1.93068</v>
      </c>
      <c r="E54" s="126">
        <f t="shared" si="26"/>
        <v>1.89534</v>
      </c>
      <c r="F54" s="126">
        <f t="shared" si="26"/>
        <v>1.74282</v>
      </c>
      <c r="G54" s="126">
        <f t="shared" si="26"/>
        <v>1.9251</v>
      </c>
      <c r="H54" s="126">
        <f t="shared" si="26"/>
        <v>1.9437</v>
      </c>
      <c r="I54" s="126">
        <f t="shared" si="26"/>
        <v>1.80048</v>
      </c>
      <c r="J54" s="126">
        <f t="shared" si="26"/>
        <v>1.11972</v>
      </c>
      <c r="K54" s="126">
        <f t="shared" si="26"/>
        <v>1.36524</v>
      </c>
      <c r="L54" s="126">
        <f t="shared" si="26"/>
        <v>1.21644</v>
      </c>
      <c r="M54" s="126">
        <f t="shared" si="26"/>
        <v>1.76514</v>
      </c>
      <c r="N54" s="126">
        <f t="shared" si="26"/>
        <v>1.49916</v>
      </c>
      <c r="O54" s="126">
        <f t="shared" si="26"/>
        <v>1.56426</v>
      </c>
      <c r="P54" s="126">
        <f t="shared" si="26"/>
        <v>1.14204</v>
      </c>
      <c r="Q54" s="126">
        <f t="shared" si="26"/>
        <v>0.97092</v>
      </c>
      <c r="R54" s="126">
        <f t="shared" si="26"/>
        <v>1.28898</v>
      </c>
      <c r="S54" s="126">
        <f t="shared" si="26"/>
        <v>1.18668</v>
      </c>
    </row>
    <row r="55" ht="12.75" customHeight="1">
      <c r="A55" s="120" t="s">
        <v>222</v>
      </c>
      <c r="B55" s="120"/>
      <c r="C55" s="121">
        <f t="shared" ref="C55:S55" si="27">C50+C52+C54</f>
        <v>711.86688</v>
      </c>
      <c r="D55" s="121">
        <f t="shared" si="27"/>
        <v>655.21048</v>
      </c>
      <c r="E55" s="121">
        <f t="shared" si="27"/>
        <v>643.23524</v>
      </c>
      <c r="F55" s="121">
        <f t="shared" si="27"/>
        <v>591.41052</v>
      </c>
      <c r="G55" s="121">
        <f t="shared" si="27"/>
        <v>652.8986</v>
      </c>
      <c r="H55" s="121">
        <f t="shared" si="27"/>
        <v>659.3382</v>
      </c>
      <c r="I55" s="121">
        <f t="shared" si="27"/>
        <v>611.03328</v>
      </c>
      <c r="J55" s="121">
        <f t="shared" si="27"/>
        <v>379.98392</v>
      </c>
      <c r="K55" s="121">
        <f t="shared" si="27"/>
        <v>463.10664</v>
      </c>
      <c r="L55" s="121">
        <f t="shared" si="27"/>
        <v>412.78984</v>
      </c>
      <c r="M55" s="121">
        <f t="shared" si="27"/>
        <v>598.95804</v>
      </c>
      <c r="N55" s="121">
        <f t="shared" si="27"/>
        <v>508.59176</v>
      </c>
      <c r="O55" s="121">
        <f t="shared" si="27"/>
        <v>530.93036</v>
      </c>
      <c r="P55" s="121">
        <f t="shared" si="27"/>
        <v>387.33144</v>
      </c>
      <c r="Q55" s="121">
        <f t="shared" si="27"/>
        <v>329.66712</v>
      </c>
      <c r="R55" s="121">
        <f t="shared" si="27"/>
        <v>437.24428</v>
      </c>
      <c r="S55" s="121">
        <f t="shared" si="27"/>
        <v>402.32648</v>
      </c>
    </row>
    <row r="56" ht="12.75" customHeight="1">
      <c r="A56" s="47"/>
      <c r="B56" s="47"/>
      <c r="C56" s="78"/>
      <c r="D56" s="78"/>
      <c r="E56" s="78"/>
      <c r="F56" s="78"/>
      <c r="G56" s="78"/>
    </row>
    <row r="57" ht="15.75" customHeight="1">
      <c r="A57" s="92" t="s">
        <v>135</v>
      </c>
      <c r="B57" s="92"/>
      <c r="C57" s="78"/>
      <c r="D57" s="78"/>
      <c r="E57" s="78"/>
      <c r="F57" s="78"/>
      <c r="G57" s="78"/>
    </row>
    <row r="58" ht="15.75" customHeight="1">
      <c r="A58" s="92"/>
      <c r="B58" s="92"/>
      <c r="C58" s="78"/>
      <c r="D58" s="78"/>
      <c r="E58" s="78"/>
      <c r="F58" s="78"/>
      <c r="G58" s="78"/>
    </row>
    <row r="59" ht="12.75" customHeight="1">
      <c r="A59" s="65" t="s">
        <v>195</v>
      </c>
      <c r="B59" s="65"/>
      <c r="C59" s="95" t="s">
        <v>76</v>
      </c>
      <c r="D59" s="95" t="s">
        <v>77</v>
      </c>
      <c r="E59" s="95" t="s">
        <v>78</v>
      </c>
      <c r="F59" s="96" t="s">
        <v>79</v>
      </c>
      <c r="G59" s="96" t="s">
        <v>80</v>
      </c>
      <c r="H59" s="96" t="s">
        <v>81</v>
      </c>
      <c r="I59" s="96" t="s">
        <v>82</v>
      </c>
      <c r="J59" s="96" t="s">
        <v>83</v>
      </c>
      <c r="K59" s="96" t="s">
        <v>65</v>
      </c>
      <c r="L59" s="96" t="s">
        <v>66</v>
      </c>
      <c r="M59" s="96" t="s">
        <v>185</v>
      </c>
      <c r="N59" s="96" t="s">
        <v>186</v>
      </c>
      <c r="O59" s="96" t="s">
        <v>187</v>
      </c>
      <c r="P59" s="96" t="s">
        <v>188</v>
      </c>
      <c r="Q59" s="96" t="s">
        <v>189</v>
      </c>
      <c r="R59" s="96" t="s">
        <v>190</v>
      </c>
      <c r="S59" s="96" t="s">
        <v>191</v>
      </c>
    </row>
    <row r="60" ht="15.0" customHeight="1">
      <c r="A60" s="117" t="s">
        <v>223</v>
      </c>
      <c r="B60" s="117"/>
      <c r="C60" s="117">
        <v>0.0</v>
      </c>
      <c r="D60" s="117">
        <v>0.0</v>
      </c>
      <c r="E60" s="117">
        <v>0.0</v>
      </c>
      <c r="F60" s="129">
        <v>0.0</v>
      </c>
      <c r="G60" s="129">
        <v>0.0</v>
      </c>
      <c r="H60" s="129">
        <v>0.0</v>
      </c>
      <c r="I60" s="129">
        <v>0.0</v>
      </c>
      <c r="J60" s="130">
        <v>0.0</v>
      </c>
      <c r="K60" s="130">
        <v>0.0</v>
      </c>
      <c r="L60" s="129">
        <v>70395.0</v>
      </c>
      <c r="M60" s="129">
        <v>56457.0</v>
      </c>
      <c r="N60" s="129">
        <v>82149.0</v>
      </c>
      <c r="O60" s="129">
        <f>94780+21</f>
        <v>94801</v>
      </c>
      <c r="P60" s="129">
        <v>82926.0</v>
      </c>
      <c r="Q60" s="118">
        <v>114187.0</v>
      </c>
      <c r="R60" s="129">
        <v>110635.0</v>
      </c>
      <c r="S60" s="129">
        <v>80864.0</v>
      </c>
      <c r="T60" s="127"/>
    </row>
    <row r="61" ht="12.75" customHeight="1">
      <c r="A61" s="73" t="s">
        <v>197</v>
      </c>
      <c r="B61" s="73"/>
      <c r="C61" s="73">
        <f t="shared" ref="C61:K61" si="28">ROUND(C60*$C139,-1)</f>
        <v>0</v>
      </c>
      <c r="D61" s="73">
        <f t="shared" si="28"/>
        <v>0</v>
      </c>
      <c r="E61" s="73">
        <f t="shared" si="28"/>
        <v>0</v>
      </c>
      <c r="F61" s="73">
        <f t="shared" si="28"/>
        <v>0</v>
      </c>
      <c r="G61" s="73">
        <f t="shared" si="28"/>
        <v>0</v>
      </c>
      <c r="H61" s="73">
        <f t="shared" si="28"/>
        <v>0</v>
      </c>
      <c r="I61" s="73">
        <f t="shared" si="28"/>
        <v>0</v>
      </c>
      <c r="J61" s="73">
        <f t="shared" si="28"/>
        <v>0</v>
      </c>
      <c r="K61" s="73">
        <f t="shared" si="28"/>
        <v>0</v>
      </c>
      <c r="L61" s="73">
        <f t="shared" ref="L61:S61" si="29">ROUND(L60*$C149,-1)</f>
        <v>72650</v>
      </c>
      <c r="M61" s="73">
        <f t="shared" si="29"/>
        <v>58260</v>
      </c>
      <c r="N61" s="73">
        <f t="shared" si="29"/>
        <v>84780</v>
      </c>
      <c r="O61" s="73">
        <f t="shared" si="29"/>
        <v>97830</v>
      </c>
      <c r="P61" s="73">
        <f t="shared" si="29"/>
        <v>85580</v>
      </c>
      <c r="Q61" s="73">
        <f t="shared" si="29"/>
        <v>117840</v>
      </c>
      <c r="R61" s="73">
        <f t="shared" si="29"/>
        <v>114180</v>
      </c>
      <c r="S61" s="73">
        <f t="shared" si="29"/>
        <v>83450</v>
      </c>
    </row>
    <row r="62" ht="15.0" customHeight="1">
      <c r="A62" s="78" t="s">
        <v>224</v>
      </c>
      <c r="B62" s="78"/>
      <c r="C62" s="78">
        <f t="shared" ref="C62:K62" si="30">ROUND(C60*$C140,1)</f>
        <v>0</v>
      </c>
      <c r="D62" s="78">
        <f t="shared" si="30"/>
        <v>0</v>
      </c>
      <c r="E62" s="78">
        <f t="shared" si="30"/>
        <v>0</v>
      </c>
      <c r="F62" s="78">
        <f t="shared" si="30"/>
        <v>0</v>
      </c>
      <c r="G62" s="78">
        <f t="shared" si="30"/>
        <v>0</v>
      </c>
      <c r="H62" s="78">
        <f t="shared" si="30"/>
        <v>0</v>
      </c>
      <c r="I62" s="78">
        <f t="shared" si="30"/>
        <v>0</v>
      </c>
      <c r="J62" s="78">
        <f t="shared" si="30"/>
        <v>0</v>
      </c>
      <c r="K62" s="78">
        <f t="shared" si="30"/>
        <v>0</v>
      </c>
      <c r="L62" s="78">
        <f t="shared" ref="L62:S62" si="31">ROUND(L60*$C150,1)</f>
        <v>3739.4</v>
      </c>
      <c r="M62" s="78">
        <f t="shared" si="31"/>
        <v>2999</v>
      </c>
      <c r="N62" s="78">
        <f t="shared" si="31"/>
        <v>4363.8</v>
      </c>
      <c r="O62" s="78">
        <f t="shared" si="31"/>
        <v>5035.8</v>
      </c>
      <c r="P62" s="78">
        <f t="shared" si="31"/>
        <v>4405</v>
      </c>
      <c r="Q62" s="78">
        <f t="shared" si="31"/>
        <v>6065.6</v>
      </c>
      <c r="R62" s="78">
        <f t="shared" si="31"/>
        <v>5876.9</v>
      </c>
      <c r="S62" s="78">
        <f t="shared" si="31"/>
        <v>4295.5</v>
      </c>
    </row>
    <row r="63" ht="15.0" customHeight="1">
      <c r="A63" s="73" t="s">
        <v>225</v>
      </c>
      <c r="B63" s="73"/>
      <c r="C63" s="73">
        <f t="shared" ref="C63:K63" si="32">($L144*C61*$C114)</f>
        <v>0</v>
      </c>
      <c r="D63" s="73">
        <f t="shared" si="32"/>
        <v>0</v>
      </c>
      <c r="E63" s="73">
        <f t="shared" si="32"/>
        <v>0</v>
      </c>
      <c r="F63" s="73">
        <f t="shared" si="32"/>
        <v>0</v>
      </c>
      <c r="G63" s="73">
        <f t="shared" si="32"/>
        <v>0</v>
      </c>
      <c r="H63" s="73">
        <f t="shared" si="32"/>
        <v>0</v>
      </c>
      <c r="I63" s="73">
        <f t="shared" si="32"/>
        <v>0</v>
      </c>
      <c r="J63" s="73">
        <f t="shared" si="32"/>
        <v>0</v>
      </c>
      <c r="K63" s="73">
        <f t="shared" si="32"/>
        <v>0</v>
      </c>
      <c r="L63" s="73">
        <f t="shared" ref="L63:S63" si="33">($C153*L61*$C102)</f>
        <v>0.07265</v>
      </c>
      <c r="M63" s="73">
        <f t="shared" si="33"/>
        <v>0.05826</v>
      </c>
      <c r="N63" s="73">
        <f t="shared" si="33"/>
        <v>0.08478</v>
      </c>
      <c r="O63" s="73">
        <f t="shared" si="33"/>
        <v>0.09783</v>
      </c>
      <c r="P63" s="73">
        <f t="shared" si="33"/>
        <v>0.08558</v>
      </c>
      <c r="Q63" s="73">
        <f t="shared" si="33"/>
        <v>0.11784</v>
      </c>
      <c r="R63" s="73">
        <f t="shared" si="33"/>
        <v>0.11418</v>
      </c>
      <c r="S63" s="73">
        <f t="shared" si="33"/>
        <v>0.08345</v>
      </c>
    </row>
    <row r="64" ht="15.0" customHeight="1">
      <c r="A64" s="78" t="s">
        <v>226</v>
      </c>
      <c r="B64" s="78"/>
      <c r="C64" s="78">
        <f t="shared" ref="C64:K64" si="34">C61*$C114*$C116*$L144</f>
        <v>0</v>
      </c>
      <c r="D64" s="78">
        <f t="shared" si="34"/>
        <v>0</v>
      </c>
      <c r="E64" s="78">
        <f t="shared" si="34"/>
        <v>0</v>
      </c>
      <c r="F64" s="78">
        <f t="shared" si="34"/>
        <v>0</v>
      </c>
      <c r="G64" s="78">
        <f t="shared" si="34"/>
        <v>0</v>
      </c>
      <c r="H64" s="78">
        <f t="shared" si="34"/>
        <v>0</v>
      </c>
      <c r="I64" s="78">
        <f t="shared" si="34"/>
        <v>0</v>
      </c>
      <c r="J64" s="78">
        <f t="shared" si="34"/>
        <v>0</v>
      </c>
      <c r="K64" s="78">
        <f t="shared" si="34"/>
        <v>0</v>
      </c>
      <c r="L64" s="131">
        <f t="shared" ref="L64:S64" si="35">L61*$C102*$C104*$C153</f>
        <v>1.52565</v>
      </c>
      <c r="M64" s="131">
        <f t="shared" si="35"/>
        <v>1.22346</v>
      </c>
      <c r="N64" s="131">
        <f t="shared" si="35"/>
        <v>1.78038</v>
      </c>
      <c r="O64" s="131">
        <f t="shared" si="35"/>
        <v>2.05443</v>
      </c>
      <c r="P64" s="131">
        <f t="shared" si="35"/>
        <v>1.79718</v>
      </c>
      <c r="Q64" s="131">
        <f t="shared" si="35"/>
        <v>2.47464</v>
      </c>
      <c r="R64" s="131">
        <f t="shared" si="35"/>
        <v>2.39778</v>
      </c>
      <c r="S64" s="131">
        <f t="shared" si="35"/>
        <v>1.75245</v>
      </c>
    </row>
    <row r="65" ht="15.0" customHeight="1">
      <c r="A65" s="73" t="s">
        <v>227</v>
      </c>
      <c r="B65" s="73"/>
      <c r="C65" s="73">
        <f t="shared" ref="C65:K65" si="36">($C145*C61*$C114)</f>
        <v>0</v>
      </c>
      <c r="D65" s="73">
        <f t="shared" si="36"/>
        <v>0</v>
      </c>
      <c r="E65" s="73">
        <f t="shared" si="36"/>
        <v>0</v>
      </c>
      <c r="F65" s="73">
        <f t="shared" si="36"/>
        <v>0</v>
      </c>
      <c r="G65" s="73">
        <f t="shared" si="36"/>
        <v>0</v>
      </c>
      <c r="H65" s="73">
        <f t="shared" si="36"/>
        <v>0</v>
      </c>
      <c r="I65" s="73">
        <f t="shared" si="36"/>
        <v>0</v>
      </c>
      <c r="J65" s="73">
        <f t="shared" si="36"/>
        <v>0</v>
      </c>
      <c r="K65" s="73">
        <f t="shared" si="36"/>
        <v>0</v>
      </c>
      <c r="L65" s="106">
        <f t="shared" ref="L65:S65" si="37">($C154*L61*$C102)</f>
        <v>0.07265</v>
      </c>
      <c r="M65" s="106">
        <f t="shared" si="37"/>
        <v>0.05826</v>
      </c>
      <c r="N65" s="106">
        <f t="shared" si="37"/>
        <v>0.08478</v>
      </c>
      <c r="O65" s="106">
        <f t="shared" si="37"/>
        <v>0.09783</v>
      </c>
      <c r="P65" s="106">
        <f t="shared" si="37"/>
        <v>0.08558</v>
      </c>
      <c r="Q65" s="106">
        <f t="shared" si="37"/>
        <v>0.11784</v>
      </c>
      <c r="R65" s="106">
        <f t="shared" si="37"/>
        <v>0.11418</v>
      </c>
      <c r="S65" s="106">
        <f t="shared" si="37"/>
        <v>0.08345</v>
      </c>
    </row>
    <row r="66" ht="15.0" customHeight="1">
      <c r="A66" s="78" t="s">
        <v>228</v>
      </c>
      <c r="B66" s="78"/>
      <c r="C66" s="78">
        <f t="shared" ref="C66:K66" si="38">C61*$C145*$C114*$C117</f>
        <v>0</v>
      </c>
      <c r="D66" s="78">
        <f t="shared" si="38"/>
        <v>0</v>
      </c>
      <c r="E66" s="78">
        <f t="shared" si="38"/>
        <v>0</v>
      </c>
      <c r="F66" s="78">
        <f t="shared" si="38"/>
        <v>0</v>
      </c>
      <c r="G66" s="78">
        <f t="shared" si="38"/>
        <v>0</v>
      </c>
      <c r="H66" s="78">
        <f t="shared" si="38"/>
        <v>0</v>
      </c>
      <c r="I66" s="78">
        <f t="shared" si="38"/>
        <v>0</v>
      </c>
      <c r="J66" s="78">
        <f t="shared" si="38"/>
        <v>0</v>
      </c>
      <c r="K66" s="78">
        <f t="shared" si="38"/>
        <v>0</v>
      </c>
      <c r="L66" s="78">
        <f t="shared" ref="L66:S66" si="39">L61*$C154*$C102*$C105</f>
        <v>22.5215</v>
      </c>
      <c r="M66" s="78">
        <f t="shared" si="39"/>
        <v>18.0606</v>
      </c>
      <c r="N66" s="78">
        <f t="shared" si="39"/>
        <v>26.2818</v>
      </c>
      <c r="O66" s="78">
        <f t="shared" si="39"/>
        <v>30.3273</v>
      </c>
      <c r="P66" s="78">
        <f t="shared" si="39"/>
        <v>26.5298</v>
      </c>
      <c r="Q66" s="78">
        <f t="shared" si="39"/>
        <v>36.5304</v>
      </c>
      <c r="R66" s="78">
        <f t="shared" si="39"/>
        <v>35.3958</v>
      </c>
      <c r="S66" s="78">
        <f t="shared" si="39"/>
        <v>25.8695</v>
      </c>
    </row>
    <row r="67" ht="12.75" customHeight="1">
      <c r="A67" s="121" t="s">
        <v>229</v>
      </c>
      <c r="B67" s="121"/>
      <c r="C67" s="121">
        <f t="shared" ref="C67:S67" si="40">C62+C64+C66</f>
        <v>0</v>
      </c>
      <c r="D67" s="121">
        <f t="shared" si="40"/>
        <v>0</v>
      </c>
      <c r="E67" s="121">
        <f t="shared" si="40"/>
        <v>0</v>
      </c>
      <c r="F67" s="121">
        <f t="shared" si="40"/>
        <v>0</v>
      </c>
      <c r="G67" s="121">
        <f t="shared" si="40"/>
        <v>0</v>
      </c>
      <c r="H67" s="121">
        <f t="shared" si="40"/>
        <v>0</v>
      </c>
      <c r="I67" s="121">
        <f t="shared" si="40"/>
        <v>0</v>
      </c>
      <c r="J67" s="121">
        <f t="shared" si="40"/>
        <v>0</v>
      </c>
      <c r="K67" s="121">
        <f t="shared" si="40"/>
        <v>0</v>
      </c>
      <c r="L67" s="121">
        <f t="shared" si="40"/>
        <v>3763.44715</v>
      </c>
      <c r="M67" s="121">
        <f t="shared" si="40"/>
        <v>3018.28406</v>
      </c>
      <c r="N67" s="121">
        <f t="shared" si="40"/>
        <v>4391.86218</v>
      </c>
      <c r="O67" s="121">
        <f t="shared" si="40"/>
        <v>5068.18173</v>
      </c>
      <c r="P67" s="121">
        <f t="shared" si="40"/>
        <v>4433.32698</v>
      </c>
      <c r="Q67" s="121">
        <f t="shared" si="40"/>
        <v>6104.60504</v>
      </c>
      <c r="R67" s="121">
        <f t="shared" si="40"/>
        <v>5914.69358</v>
      </c>
      <c r="S67" s="121">
        <f t="shared" si="40"/>
        <v>4323.12195</v>
      </c>
    </row>
    <row r="68" ht="12.75" customHeight="1">
      <c r="A68" s="121"/>
      <c r="B68" s="121"/>
      <c r="C68" s="121"/>
      <c r="D68" s="121"/>
      <c r="E68" s="121"/>
      <c r="F68" s="121"/>
      <c r="G68" s="121"/>
      <c r="H68" s="121"/>
      <c r="I68" s="121"/>
      <c r="J68" s="121"/>
      <c r="K68" s="121"/>
      <c r="L68" s="121"/>
      <c r="M68" s="121"/>
      <c r="N68" s="121"/>
      <c r="O68" s="121"/>
      <c r="P68" s="121"/>
      <c r="Q68" s="121"/>
      <c r="R68" s="121"/>
      <c r="S68" s="121"/>
    </row>
    <row r="69" ht="15.75" customHeight="1">
      <c r="A69" s="92" t="s">
        <v>230</v>
      </c>
      <c r="B69" s="92"/>
      <c r="C69" s="78"/>
      <c r="D69" s="78"/>
      <c r="E69" s="78"/>
      <c r="F69" s="78"/>
      <c r="G69" s="78"/>
    </row>
    <row r="70" ht="15.75" customHeight="1">
      <c r="A70" s="92"/>
      <c r="B70" s="92"/>
      <c r="C70" s="78"/>
      <c r="D70" s="78"/>
      <c r="E70" s="78"/>
      <c r="F70" s="78"/>
      <c r="G70" s="78"/>
    </row>
    <row r="71" ht="12.75" customHeight="1">
      <c r="A71" s="65" t="s">
        <v>195</v>
      </c>
      <c r="B71" s="65"/>
      <c r="C71" s="95" t="s">
        <v>76</v>
      </c>
      <c r="D71" s="95" t="s">
        <v>77</v>
      </c>
      <c r="E71" s="95" t="s">
        <v>78</v>
      </c>
      <c r="F71" s="96" t="s">
        <v>79</v>
      </c>
      <c r="G71" s="96" t="s">
        <v>80</v>
      </c>
      <c r="H71" s="96" t="s">
        <v>81</v>
      </c>
      <c r="I71" s="96" t="s">
        <v>82</v>
      </c>
      <c r="J71" s="96" t="s">
        <v>83</v>
      </c>
      <c r="K71" s="96" t="s">
        <v>65</v>
      </c>
      <c r="L71" s="96" t="s">
        <v>66</v>
      </c>
      <c r="M71" s="96" t="s">
        <v>185</v>
      </c>
      <c r="N71" s="96" t="s">
        <v>186</v>
      </c>
      <c r="O71" s="96" t="s">
        <v>187</v>
      </c>
      <c r="P71" s="96" t="s">
        <v>188</v>
      </c>
      <c r="Q71" s="96" t="s">
        <v>189</v>
      </c>
      <c r="R71" s="96" t="s">
        <v>190</v>
      </c>
      <c r="S71" s="96" t="s">
        <v>191</v>
      </c>
    </row>
    <row r="72" ht="15.0" customHeight="1">
      <c r="A72" s="117" t="s">
        <v>231</v>
      </c>
      <c r="B72" s="117"/>
      <c r="C72" s="117">
        <v>0.0</v>
      </c>
      <c r="D72" s="117">
        <v>0.0</v>
      </c>
      <c r="E72" s="117">
        <v>0.0</v>
      </c>
      <c r="F72" s="129">
        <v>0.0</v>
      </c>
      <c r="G72" s="129">
        <v>0.0</v>
      </c>
      <c r="H72" s="129">
        <v>0.0</v>
      </c>
      <c r="I72" s="129">
        <v>0.0</v>
      </c>
      <c r="J72" s="130">
        <v>0.0</v>
      </c>
      <c r="K72" s="130">
        <v>0.0</v>
      </c>
      <c r="L72" s="129">
        <v>0.0</v>
      </c>
      <c r="M72" s="129">
        <v>0.0</v>
      </c>
      <c r="N72" s="129">
        <v>0.0</v>
      </c>
      <c r="O72" s="129">
        <v>0.0</v>
      </c>
      <c r="P72" s="129">
        <v>0.0</v>
      </c>
      <c r="Q72" s="129">
        <v>0.0</v>
      </c>
      <c r="R72" s="129">
        <v>10000.0</v>
      </c>
      <c r="S72" s="129">
        <v>20000.0</v>
      </c>
    </row>
    <row r="73" ht="12.75" customHeight="1">
      <c r="A73" s="73" t="s">
        <v>197</v>
      </c>
      <c r="B73" s="73"/>
      <c r="C73" s="73">
        <f t="shared" ref="C73:K73" si="41">ROUND(C72*$C151,-1)</f>
        <v>0</v>
      </c>
      <c r="D73" s="73">
        <f t="shared" si="41"/>
        <v>0</v>
      </c>
      <c r="E73" s="73">
        <f t="shared" si="41"/>
        <v>0</v>
      </c>
      <c r="F73" s="73">
        <f t="shared" si="41"/>
        <v>0</v>
      </c>
      <c r="G73" s="73">
        <f t="shared" si="41"/>
        <v>0</v>
      </c>
      <c r="H73" s="73">
        <f t="shared" si="41"/>
        <v>0</v>
      </c>
      <c r="I73" s="73">
        <f t="shared" si="41"/>
        <v>0</v>
      </c>
      <c r="J73" s="73">
        <f t="shared" si="41"/>
        <v>0</v>
      </c>
      <c r="K73" s="73">
        <f t="shared" si="41"/>
        <v>0</v>
      </c>
      <c r="L73" s="73">
        <f t="shared" ref="L73:Q73" si="42">ROUND(L72*$C161,-1)</f>
        <v>0</v>
      </c>
      <c r="M73" s="73">
        <f t="shared" si="42"/>
        <v>0</v>
      </c>
      <c r="N73" s="73">
        <f t="shared" si="42"/>
        <v>0</v>
      </c>
      <c r="O73" s="73">
        <f t="shared" si="42"/>
        <v>0</v>
      </c>
      <c r="P73" s="73">
        <f t="shared" si="42"/>
        <v>0</v>
      </c>
      <c r="Q73" s="73">
        <f t="shared" si="42"/>
        <v>0</v>
      </c>
      <c r="R73" s="73">
        <f t="shared" ref="R73:S73" si="43">ROUND(R72*$C149,-1)</f>
        <v>10320</v>
      </c>
      <c r="S73" s="73">
        <f t="shared" si="43"/>
        <v>20640</v>
      </c>
    </row>
    <row r="74" ht="15.0" customHeight="1">
      <c r="A74" s="78" t="s">
        <v>232</v>
      </c>
      <c r="B74" s="78"/>
      <c r="C74" s="78">
        <f t="shared" ref="C74:K74" si="44">ROUND(C72*$C152,1)</f>
        <v>0</v>
      </c>
      <c r="D74" s="78">
        <f t="shared" si="44"/>
        <v>0</v>
      </c>
      <c r="E74" s="78">
        <f t="shared" si="44"/>
        <v>0</v>
      </c>
      <c r="F74" s="78">
        <f t="shared" si="44"/>
        <v>0</v>
      </c>
      <c r="G74" s="78">
        <f t="shared" si="44"/>
        <v>0</v>
      </c>
      <c r="H74" s="78">
        <f t="shared" si="44"/>
        <v>0</v>
      </c>
      <c r="I74" s="78">
        <f t="shared" si="44"/>
        <v>0</v>
      </c>
      <c r="J74" s="78">
        <f t="shared" si="44"/>
        <v>0</v>
      </c>
      <c r="K74" s="78">
        <f t="shared" si="44"/>
        <v>0</v>
      </c>
      <c r="L74" s="78">
        <f t="shared" ref="L74:Q74" si="45">ROUND(L72*$C162,1)</f>
        <v>0</v>
      </c>
      <c r="M74" s="78">
        <f t="shared" si="45"/>
        <v>0</v>
      </c>
      <c r="N74" s="78">
        <f t="shared" si="45"/>
        <v>0</v>
      </c>
      <c r="O74" s="78">
        <f t="shared" si="45"/>
        <v>0</v>
      </c>
      <c r="P74" s="78">
        <f t="shared" si="45"/>
        <v>0</v>
      </c>
      <c r="Q74" s="78">
        <f t="shared" si="45"/>
        <v>0</v>
      </c>
      <c r="R74" s="78">
        <f t="shared" ref="R74:S74" si="46">ROUND(R72*$C150,1)</f>
        <v>531.2</v>
      </c>
      <c r="S74" s="78">
        <f t="shared" si="46"/>
        <v>1062.4</v>
      </c>
    </row>
    <row r="75" ht="15.0" customHeight="1">
      <c r="A75" s="73" t="s">
        <v>233</v>
      </c>
      <c r="B75" s="73"/>
      <c r="C75" s="73">
        <f t="shared" ref="C75:K75" si="47">($L156*C73*$C126)</f>
        <v>0</v>
      </c>
      <c r="D75" s="73">
        <f t="shared" si="47"/>
        <v>0</v>
      </c>
      <c r="E75" s="73">
        <f t="shared" si="47"/>
        <v>0</v>
      </c>
      <c r="F75" s="73">
        <f t="shared" si="47"/>
        <v>0</v>
      </c>
      <c r="G75" s="73">
        <f t="shared" si="47"/>
        <v>0</v>
      </c>
      <c r="H75" s="73">
        <f t="shared" si="47"/>
        <v>0</v>
      </c>
      <c r="I75" s="73">
        <f t="shared" si="47"/>
        <v>0</v>
      </c>
      <c r="J75" s="73">
        <f t="shared" si="47"/>
        <v>0</v>
      </c>
      <c r="K75" s="73">
        <f t="shared" si="47"/>
        <v>0</v>
      </c>
      <c r="L75" s="73">
        <f t="shared" ref="L75:Q75" si="48">($C165*L73*$C114)</f>
        <v>0</v>
      </c>
      <c r="M75" s="73">
        <f t="shared" si="48"/>
        <v>0</v>
      </c>
      <c r="N75" s="73">
        <f t="shared" si="48"/>
        <v>0</v>
      </c>
      <c r="O75" s="73">
        <f t="shared" si="48"/>
        <v>0</v>
      </c>
      <c r="P75" s="73">
        <f t="shared" si="48"/>
        <v>0</v>
      </c>
      <c r="Q75" s="73">
        <f t="shared" si="48"/>
        <v>0</v>
      </c>
      <c r="R75" s="73">
        <f t="shared" ref="R75:S75" si="49">($C153*R73*$C102)</f>
        <v>0.01032</v>
      </c>
      <c r="S75" s="73">
        <f t="shared" si="49"/>
        <v>0.02064</v>
      </c>
    </row>
    <row r="76" ht="15.0" customHeight="1">
      <c r="A76" s="78" t="s">
        <v>234</v>
      </c>
      <c r="B76" s="78"/>
      <c r="C76" s="78">
        <f t="shared" ref="C76:K76" si="50">C73*$C126*$C128*$L156</f>
        <v>0</v>
      </c>
      <c r="D76" s="78">
        <f t="shared" si="50"/>
        <v>0</v>
      </c>
      <c r="E76" s="78">
        <f t="shared" si="50"/>
        <v>0</v>
      </c>
      <c r="F76" s="78">
        <f t="shared" si="50"/>
        <v>0</v>
      </c>
      <c r="G76" s="78">
        <f t="shared" si="50"/>
        <v>0</v>
      </c>
      <c r="H76" s="78">
        <f t="shared" si="50"/>
        <v>0</v>
      </c>
      <c r="I76" s="78">
        <f t="shared" si="50"/>
        <v>0</v>
      </c>
      <c r="J76" s="78">
        <f t="shared" si="50"/>
        <v>0</v>
      </c>
      <c r="K76" s="78">
        <f t="shared" si="50"/>
        <v>0</v>
      </c>
      <c r="L76" s="131">
        <f t="shared" ref="L76:Q76" si="51">L73*$C114*$C116*$C165</f>
        <v>0</v>
      </c>
      <c r="M76" s="131">
        <f t="shared" si="51"/>
        <v>0</v>
      </c>
      <c r="N76" s="131">
        <f t="shared" si="51"/>
        <v>0</v>
      </c>
      <c r="O76" s="131">
        <f t="shared" si="51"/>
        <v>0</v>
      </c>
      <c r="P76" s="131">
        <f t="shared" si="51"/>
        <v>0</v>
      </c>
      <c r="Q76" s="131">
        <f t="shared" si="51"/>
        <v>0</v>
      </c>
      <c r="R76" s="126">
        <f t="shared" ref="R76:S76" si="52">R73*$C102*$C104*$C153</f>
        <v>0.21672</v>
      </c>
      <c r="S76" s="126">
        <f t="shared" si="52"/>
        <v>0.43344</v>
      </c>
    </row>
    <row r="77" ht="15.0" customHeight="1">
      <c r="A77" s="73" t="s">
        <v>235</v>
      </c>
      <c r="B77" s="73"/>
      <c r="C77" s="73">
        <f t="shared" ref="C77:K77" si="53">($C157*C73*$C126)</f>
        <v>0</v>
      </c>
      <c r="D77" s="73">
        <f t="shared" si="53"/>
        <v>0</v>
      </c>
      <c r="E77" s="73">
        <f t="shared" si="53"/>
        <v>0</v>
      </c>
      <c r="F77" s="73">
        <f t="shared" si="53"/>
        <v>0</v>
      </c>
      <c r="G77" s="73">
        <f t="shared" si="53"/>
        <v>0</v>
      </c>
      <c r="H77" s="73">
        <f t="shared" si="53"/>
        <v>0</v>
      </c>
      <c r="I77" s="73">
        <f t="shared" si="53"/>
        <v>0</v>
      </c>
      <c r="J77" s="73">
        <f t="shared" si="53"/>
        <v>0</v>
      </c>
      <c r="K77" s="73">
        <f t="shared" si="53"/>
        <v>0</v>
      </c>
      <c r="L77" s="106">
        <f t="shared" ref="L77:S77" si="54">($C166*L73*$C114)</f>
        <v>0</v>
      </c>
      <c r="M77" s="106">
        <f t="shared" si="54"/>
        <v>0</v>
      </c>
      <c r="N77" s="106">
        <f t="shared" si="54"/>
        <v>0</v>
      </c>
      <c r="O77" s="106">
        <f t="shared" si="54"/>
        <v>0</v>
      </c>
      <c r="P77" s="106">
        <f t="shared" si="54"/>
        <v>0</v>
      </c>
      <c r="Q77" s="106">
        <f t="shared" si="54"/>
        <v>0</v>
      </c>
      <c r="R77" s="106">
        <f t="shared" si="54"/>
        <v>0</v>
      </c>
      <c r="S77" s="106">
        <f t="shared" si="54"/>
        <v>0</v>
      </c>
    </row>
    <row r="78" ht="15.0" customHeight="1">
      <c r="A78" s="78" t="s">
        <v>236</v>
      </c>
      <c r="B78" s="78"/>
      <c r="C78" s="78">
        <f t="shared" ref="C78:K78" si="55">C73*$C157*$C126*$C129</f>
        <v>0</v>
      </c>
      <c r="D78" s="78">
        <f t="shared" si="55"/>
        <v>0</v>
      </c>
      <c r="E78" s="78">
        <f t="shared" si="55"/>
        <v>0</v>
      </c>
      <c r="F78" s="78">
        <f t="shared" si="55"/>
        <v>0</v>
      </c>
      <c r="G78" s="78">
        <f t="shared" si="55"/>
        <v>0</v>
      </c>
      <c r="H78" s="78">
        <f t="shared" si="55"/>
        <v>0</v>
      </c>
      <c r="I78" s="78">
        <f t="shared" si="55"/>
        <v>0</v>
      </c>
      <c r="J78" s="78">
        <f t="shared" si="55"/>
        <v>0</v>
      </c>
      <c r="K78" s="78">
        <f t="shared" si="55"/>
        <v>0</v>
      </c>
      <c r="L78" s="78">
        <f t="shared" ref="L78:Q78" si="56">L73*$C166*$C114*$C117</f>
        <v>0</v>
      </c>
      <c r="M78" s="78">
        <f t="shared" si="56"/>
        <v>0</v>
      </c>
      <c r="N78" s="78">
        <f t="shared" si="56"/>
        <v>0</v>
      </c>
      <c r="O78" s="78">
        <f t="shared" si="56"/>
        <v>0</v>
      </c>
      <c r="P78" s="78">
        <f t="shared" si="56"/>
        <v>0</v>
      </c>
      <c r="Q78" s="78">
        <f t="shared" si="56"/>
        <v>0</v>
      </c>
      <c r="R78" s="78">
        <f t="shared" ref="R78:S78" si="57">R73*$C154*$C102*$C105</f>
        <v>3.1992</v>
      </c>
      <c r="S78" s="78">
        <f t="shared" si="57"/>
        <v>6.3984</v>
      </c>
    </row>
    <row r="79" ht="12.75" customHeight="1">
      <c r="A79" s="121" t="s">
        <v>229</v>
      </c>
      <c r="B79" s="121"/>
      <c r="C79" s="121">
        <f t="shared" ref="C79:S79" si="58">C74+C76+C78</f>
        <v>0</v>
      </c>
      <c r="D79" s="121">
        <f t="shared" si="58"/>
        <v>0</v>
      </c>
      <c r="E79" s="121">
        <f t="shared" si="58"/>
        <v>0</v>
      </c>
      <c r="F79" s="121">
        <f t="shared" si="58"/>
        <v>0</v>
      </c>
      <c r="G79" s="121">
        <f t="shared" si="58"/>
        <v>0</v>
      </c>
      <c r="H79" s="121">
        <f t="shared" si="58"/>
        <v>0</v>
      </c>
      <c r="I79" s="121">
        <f t="shared" si="58"/>
        <v>0</v>
      </c>
      <c r="J79" s="121">
        <f t="shared" si="58"/>
        <v>0</v>
      </c>
      <c r="K79" s="121">
        <f t="shared" si="58"/>
        <v>0</v>
      </c>
      <c r="L79" s="121">
        <f t="shared" si="58"/>
        <v>0</v>
      </c>
      <c r="M79" s="121">
        <f t="shared" si="58"/>
        <v>0</v>
      </c>
      <c r="N79" s="121">
        <f t="shared" si="58"/>
        <v>0</v>
      </c>
      <c r="O79" s="121">
        <f t="shared" si="58"/>
        <v>0</v>
      </c>
      <c r="P79" s="121">
        <f t="shared" si="58"/>
        <v>0</v>
      </c>
      <c r="Q79" s="121">
        <f t="shared" si="58"/>
        <v>0</v>
      </c>
      <c r="R79" s="121">
        <f t="shared" si="58"/>
        <v>534.61592</v>
      </c>
      <c r="S79" s="121">
        <f t="shared" si="58"/>
        <v>1069.23184</v>
      </c>
    </row>
    <row r="80" ht="12.75" customHeight="1">
      <c r="A80" s="78"/>
      <c r="B80" s="78"/>
      <c r="C80" s="78"/>
      <c r="D80" s="78"/>
      <c r="E80" s="78"/>
      <c r="F80" s="78"/>
      <c r="G80" s="78"/>
      <c r="H80" s="78"/>
      <c r="I80" s="78"/>
      <c r="J80" s="78"/>
      <c r="K80" s="78"/>
      <c r="L80" s="78"/>
      <c r="M80" s="78"/>
      <c r="N80" s="78"/>
      <c r="O80" s="78"/>
      <c r="P80" s="78"/>
      <c r="Q80" s="78"/>
      <c r="R80" s="78"/>
      <c r="S80" s="78"/>
      <c r="T80" s="25"/>
      <c r="U80" s="25"/>
      <c r="V80" s="25"/>
      <c r="W80" s="25"/>
      <c r="X80" s="25"/>
      <c r="Y80" s="25"/>
      <c r="Z80" s="25"/>
    </row>
    <row r="81" ht="15.75" customHeight="1">
      <c r="A81" s="132" t="s">
        <v>237</v>
      </c>
      <c r="B81" s="92"/>
      <c r="C81" s="78"/>
      <c r="D81" s="78"/>
      <c r="E81" s="78"/>
      <c r="F81" s="78"/>
      <c r="G81" s="78"/>
    </row>
    <row r="82" ht="12.75" customHeight="1">
      <c r="A82" s="47"/>
      <c r="B82" s="47"/>
      <c r="C82" s="78"/>
      <c r="D82" s="78"/>
      <c r="E82" s="78"/>
      <c r="F82" s="78"/>
      <c r="G82" s="78"/>
    </row>
    <row r="83" ht="12.75" customHeight="1">
      <c r="A83" s="25"/>
      <c r="B83" s="25"/>
      <c r="C83" s="133" t="s">
        <v>76</v>
      </c>
      <c r="D83" s="133" t="s">
        <v>77</v>
      </c>
      <c r="E83" s="133" t="s">
        <v>78</v>
      </c>
      <c r="F83" s="133" t="s">
        <v>79</v>
      </c>
      <c r="G83" s="133" t="s">
        <v>80</v>
      </c>
      <c r="H83" s="96" t="s">
        <v>81</v>
      </c>
      <c r="I83" s="133" t="s">
        <v>82</v>
      </c>
      <c r="J83" s="133" t="s">
        <v>83</v>
      </c>
      <c r="K83" s="133" t="s">
        <v>84</v>
      </c>
      <c r="L83" s="133" t="s">
        <v>85</v>
      </c>
      <c r="M83" s="133" t="s">
        <v>185</v>
      </c>
      <c r="N83" s="133" t="s">
        <v>186</v>
      </c>
      <c r="O83" s="96" t="s">
        <v>187</v>
      </c>
      <c r="P83" s="96" t="s">
        <v>188</v>
      </c>
      <c r="Q83" s="96" t="s">
        <v>189</v>
      </c>
      <c r="R83" s="96" t="s">
        <v>190</v>
      </c>
      <c r="S83" s="96" t="s">
        <v>191</v>
      </c>
    </row>
    <row r="84" ht="12.75" customHeight="1">
      <c r="A84" s="25" t="s">
        <v>238</v>
      </c>
      <c r="B84" s="134"/>
      <c r="C84" s="97">
        <v>0.0</v>
      </c>
      <c r="D84" s="97">
        <v>0.0</v>
      </c>
      <c r="E84" s="97">
        <v>3209.090909090909</v>
      </c>
      <c r="F84" s="97">
        <v>13742.727272727272</v>
      </c>
      <c r="G84" s="97">
        <v>18775.454545454544</v>
      </c>
      <c r="H84" s="97">
        <v>15740.90909090909</v>
      </c>
      <c r="I84" s="97">
        <v>20769.090909090908</v>
      </c>
      <c r="J84" s="97">
        <v>25349.05</v>
      </c>
      <c r="K84" s="97">
        <v>24310.0</v>
      </c>
      <c r="L84" s="97">
        <v>19412.0</v>
      </c>
      <c r="M84" s="97">
        <v>21513.49</v>
      </c>
      <c r="N84" s="97">
        <v>20283.0</v>
      </c>
      <c r="O84" s="97">
        <v>21104.0</v>
      </c>
      <c r="P84" s="97">
        <v>18169.0</v>
      </c>
      <c r="Q84" s="97">
        <v>15141.0</v>
      </c>
      <c r="R84" s="97">
        <v>15389.0</v>
      </c>
      <c r="S84" s="97">
        <v>17546.0</v>
      </c>
      <c r="T84" s="73"/>
    </row>
    <row r="85" ht="15.75" customHeight="1">
      <c r="A85" s="135" t="s">
        <v>239</v>
      </c>
      <c r="B85" s="135"/>
      <c r="C85" s="136">
        <f t="shared" ref="C85:S85" si="59">C84*0.6</f>
        <v>0</v>
      </c>
      <c r="D85" s="136">
        <f t="shared" si="59"/>
        <v>0</v>
      </c>
      <c r="E85" s="136">
        <f t="shared" si="59"/>
        <v>1925.454545</v>
      </c>
      <c r="F85" s="136">
        <f t="shared" si="59"/>
        <v>8245.636364</v>
      </c>
      <c r="G85" s="136">
        <f t="shared" si="59"/>
        <v>11265.27273</v>
      </c>
      <c r="H85" s="136">
        <f t="shared" si="59"/>
        <v>9444.545455</v>
      </c>
      <c r="I85" s="136">
        <f t="shared" si="59"/>
        <v>12461.45455</v>
      </c>
      <c r="J85" s="136">
        <f t="shared" si="59"/>
        <v>15209.43</v>
      </c>
      <c r="K85" s="136">
        <f t="shared" si="59"/>
        <v>14586</v>
      </c>
      <c r="L85" s="136">
        <f t="shared" si="59"/>
        <v>11647.2</v>
      </c>
      <c r="M85" s="136">
        <f t="shared" si="59"/>
        <v>12908.094</v>
      </c>
      <c r="N85" s="136">
        <f t="shared" si="59"/>
        <v>12169.8</v>
      </c>
      <c r="O85" s="136">
        <f t="shared" si="59"/>
        <v>12662.4</v>
      </c>
      <c r="P85" s="136">
        <f t="shared" si="59"/>
        <v>10901.4</v>
      </c>
      <c r="Q85" s="136">
        <f t="shared" si="59"/>
        <v>9084.6</v>
      </c>
      <c r="R85" s="136">
        <f t="shared" si="59"/>
        <v>9233.4</v>
      </c>
      <c r="S85" s="136">
        <f t="shared" si="59"/>
        <v>10527.6</v>
      </c>
      <c r="T85" s="25"/>
      <c r="U85" s="25"/>
      <c r="V85" s="92"/>
      <c r="W85" s="25"/>
      <c r="X85" s="25"/>
      <c r="Y85" s="25"/>
      <c r="Z85" s="25"/>
    </row>
    <row r="86" ht="15.75" customHeight="1">
      <c r="A86" s="135" t="s">
        <v>197</v>
      </c>
      <c r="B86" s="135"/>
      <c r="C86" s="136">
        <f t="shared" ref="C86:S86" si="60">(C85*2000)*$C136</f>
        <v>0</v>
      </c>
      <c r="D86" s="136">
        <f t="shared" si="60"/>
        <v>0</v>
      </c>
      <c r="E86" s="136">
        <f t="shared" si="60"/>
        <v>33656.94545</v>
      </c>
      <c r="F86" s="136">
        <f t="shared" si="60"/>
        <v>144133.7236</v>
      </c>
      <c r="G86" s="136">
        <f t="shared" si="60"/>
        <v>196916.9673</v>
      </c>
      <c r="H86" s="136">
        <f t="shared" si="60"/>
        <v>165090.6545</v>
      </c>
      <c r="I86" s="136">
        <f t="shared" si="60"/>
        <v>217826.2255</v>
      </c>
      <c r="J86" s="136">
        <f t="shared" si="60"/>
        <v>265860.8364</v>
      </c>
      <c r="K86" s="136">
        <f t="shared" si="60"/>
        <v>254963.28</v>
      </c>
      <c r="L86" s="136">
        <f t="shared" si="60"/>
        <v>203593.056</v>
      </c>
      <c r="M86" s="136">
        <f t="shared" si="60"/>
        <v>225633.4831</v>
      </c>
      <c r="N86" s="136">
        <f t="shared" si="60"/>
        <v>212728.104</v>
      </c>
      <c r="O86" s="136">
        <f t="shared" si="60"/>
        <v>221338.752</v>
      </c>
      <c r="P86" s="136">
        <f t="shared" si="60"/>
        <v>190556.472</v>
      </c>
      <c r="Q86" s="136">
        <f t="shared" si="60"/>
        <v>158798.808</v>
      </c>
      <c r="R86" s="136">
        <f t="shared" si="60"/>
        <v>161399.832</v>
      </c>
      <c r="S86" s="136">
        <f t="shared" si="60"/>
        <v>184022.448</v>
      </c>
      <c r="T86" s="25"/>
      <c r="U86" s="25"/>
      <c r="V86" s="92"/>
      <c r="W86" s="25"/>
      <c r="X86" s="25"/>
      <c r="Y86" s="25"/>
      <c r="Z86" s="25"/>
    </row>
    <row r="87" ht="15.75" customHeight="1">
      <c r="A87" s="135" t="s">
        <v>240</v>
      </c>
      <c r="B87" s="135"/>
      <c r="C87" s="136">
        <f t="shared" ref="C87:S87" si="61">C85*1640</f>
        <v>0</v>
      </c>
      <c r="D87" s="136">
        <f t="shared" si="61"/>
        <v>0</v>
      </c>
      <c r="E87" s="136">
        <f t="shared" si="61"/>
        <v>3157745.455</v>
      </c>
      <c r="F87" s="136">
        <f t="shared" si="61"/>
        <v>13522843.64</v>
      </c>
      <c r="G87" s="136">
        <f t="shared" si="61"/>
        <v>18475047.27</v>
      </c>
      <c r="H87" s="136">
        <f t="shared" si="61"/>
        <v>15489054.55</v>
      </c>
      <c r="I87" s="136">
        <f t="shared" si="61"/>
        <v>20436785.45</v>
      </c>
      <c r="J87" s="136">
        <f t="shared" si="61"/>
        <v>24943465.2</v>
      </c>
      <c r="K87" s="136">
        <f t="shared" si="61"/>
        <v>23921040</v>
      </c>
      <c r="L87" s="136">
        <f t="shared" si="61"/>
        <v>19101408</v>
      </c>
      <c r="M87" s="136">
        <f t="shared" si="61"/>
        <v>21169274.16</v>
      </c>
      <c r="N87" s="136">
        <f t="shared" si="61"/>
        <v>19958472</v>
      </c>
      <c r="O87" s="136">
        <f t="shared" si="61"/>
        <v>20766336</v>
      </c>
      <c r="P87" s="136">
        <f t="shared" si="61"/>
        <v>17878296</v>
      </c>
      <c r="Q87" s="136">
        <f t="shared" si="61"/>
        <v>14898744</v>
      </c>
      <c r="R87" s="136">
        <f t="shared" si="61"/>
        <v>15142776</v>
      </c>
      <c r="S87" s="136">
        <f t="shared" si="61"/>
        <v>17265264</v>
      </c>
      <c r="T87" s="25"/>
      <c r="U87" s="25"/>
      <c r="V87" s="92"/>
      <c r="W87" s="25"/>
      <c r="X87" s="25"/>
      <c r="Y87" s="25"/>
      <c r="Z87" s="25"/>
    </row>
    <row r="88" ht="12.75" customHeight="1">
      <c r="A88" s="137" t="s">
        <v>241</v>
      </c>
      <c r="B88" s="137"/>
      <c r="C88" s="138">
        <f t="shared" ref="C88:S88" si="62">C87/1000</f>
        <v>0</v>
      </c>
      <c r="D88" s="138">
        <f t="shared" si="62"/>
        <v>0</v>
      </c>
      <c r="E88" s="138">
        <f t="shared" si="62"/>
        <v>3157.745455</v>
      </c>
      <c r="F88" s="138">
        <f t="shared" si="62"/>
        <v>13522.84364</v>
      </c>
      <c r="G88" s="138">
        <f t="shared" si="62"/>
        <v>18475.04727</v>
      </c>
      <c r="H88" s="138">
        <f t="shared" si="62"/>
        <v>15489.05455</v>
      </c>
      <c r="I88" s="138">
        <f t="shared" si="62"/>
        <v>20436.78545</v>
      </c>
      <c r="J88" s="138">
        <f t="shared" si="62"/>
        <v>24943.4652</v>
      </c>
      <c r="K88" s="138">
        <f t="shared" si="62"/>
        <v>23921.04</v>
      </c>
      <c r="L88" s="138">
        <f t="shared" si="62"/>
        <v>19101.408</v>
      </c>
      <c r="M88" s="138">
        <f t="shared" si="62"/>
        <v>21169.27416</v>
      </c>
      <c r="N88" s="138">
        <f t="shared" si="62"/>
        <v>19958.472</v>
      </c>
      <c r="O88" s="138">
        <f t="shared" si="62"/>
        <v>20766.336</v>
      </c>
      <c r="P88" s="138">
        <f t="shared" si="62"/>
        <v>17878.296</v>
      </c>
      <c r="Q88" s="138">
        <f t="shared" si="62"/>
        <v>14898.744</v>
      </c>
      <c r="R88" s="138">
        <f t="shared" si="62"/>
        <v>15142.776</v>
      </c>
      <c r="S88" s="138">
        <f t="shared" si="62"/>
        <v>17265.264</v>
      </c>
      <c r="T88" s="25"/>
      <c r="U88" s="25"/>
      <c r="V88" s="65"/>
      <c r="W88" s="25"/>
      <c r="X88" s="25"/>
      <c r="Y88" s="25"/>
      <c r="Z88" s="25"/>
    </row>
    <row r="89" ht="12.75" customHeight="1">
      <c r="A89" s="135" t="s">
        <v>242</v>
      </c>
      <c r="B89" s="135"/>
      <c r="C89" s="136">
        <f t="shared" ref="C89:S89" si="63">C85*126</f>
        <v>0</v>
      </c>
      <c r="D89" s="136">
        <f t="shared" si="63"/>
        <v>0</v>
      </c>
      <c r="E89" s="136">
        <f t="shared" si="63"/>
        <v>242607.2727</v>
      </c>
      <c r="F89" s="136">
        <f t="shared" si="63"/>
        <v>1038950.182</v>
      </c>
      <c r="G89" s="136">
        <f t="shared" si="63"/>
        <v>1419424.364</v>
      </c>
      <c r="H89" s="136">
        <f t="shared" si="63"/>
        <v>1190012.727</v>
      </c>
      <c r="I89" s="136">
        <f t="shared" si="63"/>
        <v>1570143.273</v>
      </c>
      <c r="J89" s="136">
        <f t="shared" si="63"/>
        <v>1916388.18</v>
      </c>
      <c r="K89" s="136">
        <f t="shared" si="63"/>
        <v>1837836</v>
      </c>
      <c r="L89" s="136">
        <f t="shared" si="63"/>
        <v>1467547.2</v>
      </c>
      <c r="M89" s="136">
        <f t="shared" si="63"/>
        <v>1626419.844</v>
      </c>
      <c r="N89" s="136">
        <f t="shared" si="63"/>
        <v>1533394.8</v>
      </c>
      <c r="O89" s="136">
        <f t="shared" si="63"/>
        <v>1595462.4</v>
      </c>
      <c r="P89" s="136">
        <f t="shared" si="63"/>
        <v>1373576.4</v>
      </c>
      <c r="Q89" s="136">
        <f t="shared" si="63"/>
        <v>1144659.6</v>
      </c>
      <c r="R89" s="136">
        <f t="shared" si="63"/>
        <v>1163408.4</v>
      </c>
      <c r="S89" s="136">
        <f t="shared" si="63"/>
        <v>1326477.6</v>
      </c>
      <c r="T89" s="25"/>
      <c r="U89" s="25"/>
      <c r="V89" s="25"/>
      <c r="W89" s="25"/>
      <c r="X89" s="25"/>
      <c r="Y89" s="25"/>
      <c r="Z89" s="25"/>
    </row>
    <row r="90" ht="12.75" customHeight="1">
      <c r="A90" s="135" t="s">
        <v>243</v>
      </c>
      <c r="B90" s="135"/>
      <c r="C90" s="136">
        <f t="shared" ref="C90:S90" si="64">C89/1000000</f>
        <v>0</v>
      </c>
      <c r="D90" s="136">
        <f t="shared" si="64"/>
        <v>0</v>
      </c>
      <c r="E90" s="136">
        <f t="shared" si="64"/>
        <v>0.2426072727</v>
      </c>
      <c r="F90" s="136">
        <f t="shared" si="64"/>
        <v>1.038950182</v>
      </c>
      <c r="G90" s="136">
        <f t="shared" si="64"/>
        <v>1.419424364</v>
      </c>
      <c r="H90" s="136">
        <f t="shared" si="64"/>
        <v>1.190012727</v>
      </c>
      <c r="I90" s="136">
        <f t="shared" si="64"/>
        <v>1.570143273</v>
      </c>
      <c r="J90" s="136">
        <f t="shared" si="64"/>
        <v>1.91638818</v>
      </c>
      <c r="K90" s="136">
        <f t="shared" si="64"/>
        <v>1.837836</v>
      </c>
      <c r="L90" s="136">
        <f t="shared" si="64"/>
        <v>1.4675472</v>
      </c>
      <c r="M90" s="136">
        <f t="shared" si="64"/>
        <v>1.626419844</v>
      </c>
      <c r="N90" s="136">
        <f t="shared" si="64"/>
        <v>1.5333948</v>
      </c>
      <c r="O90" s="136">
        <f t="shared" si="64"/>
        <v>1.5954624</v>
      </c>
      <c r="P90" s="136">
        <f t="shared" si="64"/>
        <v>1.3735764</v>
      </c>
      <c r="Q90" s="136">
        <f t="shared" si="64"/>
        <v>1.1446596</v>
      </c>
      <c r="R90" s="136">
        <f t="shared" si="64"/>
        <v>1.1634084</v>
      </c>
      <c r="S90" s="136">
        <f t="shared" si="64"/>
        <v>1.3264776</v>
      </c>
      <c r="T90" s="25"/>
      <c r="U90" s="25"/>
      <c r="V90" s="25"/>
      <c r="W90" s="25"/>
      <c r="X90" s="25"/>
      <c r="Y90" s="25"/>
      <c r="Z90" s="25"/>
    </row>
    <row r="91" ht="12.75" customHeight="1">
      <c r="A91" s="137" t="s">
        <v>244</v>
      </c>
      <c r="B91" s="137"/>
      <c r="C91" s="138">
        <f t="shared" ref="C91:S91" si="65">C90*25</f>
        <v>0</v>
      </c>
      <c r="D91" s="138">
        <f t="shared" si="65"/>
        <v>0</v>
      </c>
      <c r="E91" s="138">
        <f t="shared" si="65"/>
        <v>6.065181818</v>
      </c>
      <c r="F91" s="138">
        <f t="shared" si="65"/>
        <v>25.97375455</v>
      </c>
      <c r="G91" s="138">
        <f t="shared" si="65"/>
        <v>35.48560909</v>
      </c>
      <c r="H91" s="138">
        <f t="shared" si="65"/>
        <v>29.75031818</v>
      </c>
      <c r="I91" s="138">
        <f t="shared" si="65"/>
        <v>39.25358182</v>
      </c>
      <c r="J91" s="138">
        <f t="shared" si="65"/>
        <v>47.9097045</v>
      </c>
      <c r="K91" s="138">
        <f t="shared" si="65"/>
        <v>45.9459</v>
      </c>
      <c r="L91" s="138">
        <f t="shared" si="65"/>
        <v>36.68868</v>
      </c>
      <c r="M91" s="138">
        <f t="shared" si="65"/>
        <v>40.6604961</v>
      </c>
      <c r="N91" s="138">
        <f t="shared" si="65"/>
        <v>38.33487</v>
      </c>
      <c r="O91" s="138">
        <f t="shared" si="65"/>
        <v>39.88656</v>
      </c>
      <c r="P91" s="138">
        <f t="shared" si="65"/>
        <v>34.33941</v>
      </c>
      <c r="Q91" s="138">
        <f t="shared" si="65"/>
        <v>28.61649</v>
      </c>
      <c r="R91" s="138">
        <f t="shared" si="65"/>
        <v>29.08521</v>
      </c>
      <c r="S91" s="138">
        <f t="shared" si="65"/>
        <v>33.16194</v>
      </c>
      <c r="T91" s="25"/>
      <c r="U91" s="25"/>
      <c r="V91" s="25"/>
      <c r="W91" s="25"/>
      <c r="X91" s="25"/>
      <c r="Y91" s="25"/>
      <c r="Z91" s="25"/>
    </row>
    <row r="92" ht="12.75" customHeight="1">
      <c r="A92" s="135" t="s">
        <v>245</v>
      </c>
      <c r="B92" s="135"/>
      <c r="C92" s="136">
        <f t="shared" ref="C92:S92" si="66">C85*63</f>
        <v>0</v>
      </c>
      <c r="D92" s="136">
        <f t="shared" si="66"/>
        <v>0</v>
      </c>
      <c r="E92" s="136">
        <f t="shared" si="66"/>
        <v>121303.6364</v>
      </c>
      <c r="F92" s="136">
        <f t="shared" si="66"/>
        <v>519475.0909</v>
      </c>
      <c r="G92" s="136">
        <f t="shared" si="66"/>
        <v>709712.1818</v>
      </c>
      <c r="H92" s="136">
        <f t="shared" si="66"/>
        <v>595006.3636</v>
      </c>
      <c r="I92" s="136">
        <f t="shared" si="66"/>
        <v>785071.6364</v>
      </c>
      <c r="J92" s="136">
        <f t="shared" si="66"/>
        <v>958194.09</v>
      </c>
      <c r="K92" s="136">
        <f t="shared" si="66"/>
        <v>918918</v>
      </c>
      <c r="L92" s="136">
        <f t="shared" si="66"/>
        <v>733773.6</v>
      </c>
      <c r="M92" s="136">
        <f t="shared" si="66"/>
        <v>813209.922</v>
      </c>
      <c r="N92" s="136">
        <f t="shared" si="66"/>
        <v>766697.4</v>
      </c>
      <c r="O92" s="136">
        <f t="shared" si="66"/>
        <v>797731.2</v>
      </c>
      <c r="P92" s="136">
        <f t="shared" si="66"/>
        <v>686788.2</v>
      </c>
      <c r="Q92" s="136">
        <f t="shared" si="66"/>
        <v>572329.8</v>
      </c>
      <c r="R92" s="136">
        <f t="shared" si="66"/>
        <v>581704.2</v>
      </c>
      <c r="S92" s="136">
        <f t="shared" si="66"/>
        <v>663238.8</v>
      </c>
      <c r="T92" s="25"/>
      <c r="U92" s="25"/>
      <c r="V92" s="25"/>
      <c r="W92" s="25"/>
      <c r="X92" s="25"/>
      <c r="Y92" s="25"/>
      <c r="Z92" s="25"/>
    </row>
    <row r="93" ht="12.75" customHeight="1">
      <c r="A93" s="135" t="s">
        <v>246</v>
      </c>
      <c r="B93" s="135"/>
      <c r="C93" s="136">
        <f t="shared" ref="C93:S93" si="67">C92/1000000</f>
        <v>0</v>
      </c>
      <c r="D93" s="136">
        <f t="shared" si="67"/>
        <v>0</v>
      </c>
      <c r="E93" s="136">
        <f t="shared" si="67"/>
        <v>0.1213036364</v>
      </c>
      <c r="F93" s="136">
        <f t="shared" si="67"/>
        <v>0.5194750909</v>
      </c>
      <c r="G93" s="136">
        <f t="shared" si="67"/>
        <v>0.7097121818</v>
      </c>
      <c r="H93" s="136">
        <f t="shared" si="67"/>
        <v>0.5950063636</v>
      </c>
      <c r="I93" s="136">
        <f t="shared" si="67"/>
        <v>0.7850716364</v>
      </c>
      <c r="J93" s="136">
        <f t="shared" si="67"/>
        <v>0.95819409</v>
      </c>
      <c r="K93" s="136">
        <f t="shared" si="67"/>
        <v>0.918918</v>
      </c>
      <c r="L93" s="136">
        <f t="shared" si="67"/>
        <v>0.7337736</v>
      </c>
      <c r="M93" s="136">
        <f t="shared" si="67"/>
        <v>0.813209922</v>
      </c>
      <c r="N93" s="136">
        <f t="shared" si="67"/>
        <v>0.7666974</v>
      </c>
      <c r="O93" s="136">
        <f t="shared" si="67"/>
        <v>0.7977312</v>
      </c>
      <c r="P93" s="136">
        <f t="shared" si="67"/>
        <v>0.6867882</v>
      </c>
      <c r="Q93" s="136">
        <f t="shared" si="67"/>
        <v>0.5723298</v>
      </c>
      <c r="R93" s="136">
        <f t="shared" si="67"/>
        <v>0.5817042</v>
      </c>
      <c r="S93" s="136">
        <f t="shared" si="67"/>
        <v>0.6632388</v>
      </c>
      <c r="T93" s="97"/>
      <c r="U93" s="25"/>
      <c r="V93" s="25"/>
      <c r="W93" s="25"/>
      <c r="X93" s="25"/>
      <c r="Y93" s="25"/>
      <c r="Z93" s="25"/>
    </row>
    <row r="94" ht="12.75" customHeight="1">
      <c r="A94" s="137" t="s">
        <v>247</v>
      </c>
      <c r="B94" s="137"/>
      <c r="C94" s="138">
        <f t="shared" ref="C94:S94" si="68">C93*298</f>
        <v>0</v>
      </c>
      <c r="D94" s="138">
        <f t="shared" si="68"/>
        <v>0</v>
      </c>
      <c r="E94" s="138">
        <f t="shared" si="68"/>
        <v>36.14848364</v>
      </c>
      <c r="F94" s="138">
        <f t="shared" si="68"/>
        <v>154.8035771</v>
      </c>
      <c r="G94" s="138">
        <f t="shared" si="68"/>
        <v>211.4942302</v>
      </c>
      <c r="H94" s="138">
        <f t="shared" si="68"/>
        <v>177.3118964</v>
      </c>
      <c r="I94" s="138">
        <f t="shared" si="68"/>
        <v>233.9513476</v>
      </c>
      <c r="J94" s="138">
        <f t="shared" si="68"/>
        <v>285.5418388</v>
      </c>
      <c r="K94" s="138">
        <f t="shared" si="68"/>
        <v>273.837564</v>
      </c>
      <c r="L94" s="138">
        <f t="shared" si="68"/>
        <v>218.6645328</v>
      </c>
      <c r="M94" s="138">
        <f t="shared" si="68"/>
        <v>242.3365568</v>
      </c>
      <c r="N94" s="138">
        <f t="shared" si="68"/>
        <v>228.4758252</v>
      </c>
      <c r="O94" s="138">
        <f t="shared" si="68"/>
        <v>237.7238976</v>
      </c>
      <c r="P94" s="138">
        <f t="shared" si="68"/>
        <v>204.6628836</v>
      </c>
      <c r="Q94" s="138">
        <f t="shared" si="68"/>
        <v>170.5542804</v>
      </c>
      <c r="R94" s="138">
        <f t="shared" si="68"/>
        <v>173.3478516</v>
      </c>
      <c r="S94" s="138">
        <f t="shared" si="68"/>
        <v>197.6451624</v>
      </c>
      <c r="T94" s="25"/>
      <c r="U94" s="25"/>
      <c r="V94" s="25"/>
      <c r="W94" s="25"/>
      <c r="X94" s="25"/>
      <c r="Y94" s="25"/>
      <c r="Z94" s="25"/>
    </row>
    <row r="95" ht="15.75" customHeight="1">
      <c r="A95" s="135" t="s">
        <v>248</v>
      </c>
      <c r="B95" s="135"/>
      <c r="C95" s="136">
        <f t="shared" ref="C95:S95" si="69">C88</f>
        <v>0</v>
      </c>
      <c r="D95" s="136">
        <f t="shared" si="69"/>
        <v>0</v>
      </c>
      <c r="E95" s="136">
        <f t="shared" si="69"/>
        <v>3157.745455</v>
      </c>
      <c r="F95" s="136">
        <f t="shared" si="69"/>
        <v>13522.84364</v>
      </c>
      <c r="G95" s="136">
        <f t="shared" si="69"/>
        <v>18475.04727</v>
      </c>
      <c r="H95" s="136">
        <f t="shared" si="69"/>
        <v>15489.05455</v>
      </c>
      <c r="I95" s="136">
        <f t="shared" si="69"/>
        <v>20436.78545</v>
      </c>
      <c r="J95" s="136">
        <f t="shared" si="69"/>
        <v>24943.4652</v>
      </c>
      <c r="K95" s="136">
        <f t="shared" si="69"/>
        <v>23921.04</v>
      </c>
      <c r="L95" s="136">
        <f t="shared" si="69"/>
        <v>19101.408</v>
      </c>
      <c r="M95" s="136">
        <f t="shared" si="69"/>
        <v>21169.27416</v>
      </c>
      <c r="N95" s="136">
        <f t="shared" si="69"/>
        <v>19958.472</v>
      </c>
      <c r="O95" s="136">
        <f t="shared" si="69"/>
        <v>20766.336</v>
      </c>
      <c r="P95" s="136">
        <f t="shared" si="69"/>
        <v>17878.296</v>
      </c>
      <c r="Q95" s="136">
        <f t="shared" si="69"/>
        <v>14898.744</v>
      </c>
      <c r="R95" s="136">
        <f t="shared" si="69"/>
        <v>15142.776</v>
      </c>
      <c r="S95" s="136">
        <f t="shared" si="69"/>
        <v>17265.264</v>
      </c>
      <c r="T95" s="25"/>
      <c r="U95" s="25"/>
      <c r="V95" s="92"/>
      <c r="W95" s="25"/>
      <c r="X95" s="25"/>
      <c r="Y95" s="25"/>
      <c r="Z95" s="25"/>
    </row>
    <row r="96" ht="15.75" customHeight="1">
      <c r="A96" s="137" t="s">
        <v>249</v>
      </c>
      <c r="B96" s="137"/>
      <c r="C96" s="138">
        <f t="shared" ref="C96:S96" si="70">C91+C94</f>
        <v>0</v>
      </c>
      <c r="D96" s="138">
        <f t="shared" si="70"/>
        <v>0</v>
      </c>
      <c r="E96" s="138">
        <f t="shared" si="70"/>
        <v>42.21366545</v>
      </c>
      <c r="F96" s="138">
        <f t="shared" si="70"/>
        <v>180.7773316</v>
      </c>
      <c r="G96" s="138">
        <f t="shared" si="70"/>
        <v>246.9798393</v>
      </c>
      <c r="H96" s="138">
        <f t="shared" si="70"/>
        <v>207.0622145</v>
      </c>
      <c r="I96" s="138">
        <f t="shared" si="70"/>
        <v>273.2049295</v>
      </c>
      <c r="J96" s="138">
        <f t="shared" si="70"/>
        <v>333.4515433</v>
      </c>
      <c r="K96" s="138">
        <f t="shared" si="70"/>
        <v>319.783464</v>
      </c>
      <c r="L96" s="138">
        <f t="shared" si="70"/>
        <v>255.3532128</v>
      </c>
      <c r="M96" s="138">
        <f t="shared" si="70"/>
        <v>282.9970529</v>
      </c>
      <c r="N96" s="138">
        <f t="shared" si="70"/>
        <v>266.8106952</v>
      </c>
      <c r="O96" s="138">
        <f t="shared" si="70"/>
        <v>277.6104576</v>
      </c>
      <c r="P96" s="138">
        <f t="shared" si="70"/>
        <v>239.0022936</v>
      </c>
      <c r="Q96" s="138">
        <f t="shared" si="70"/>
        <v>199.1707704</v>
      </c>
      <c r="R96" s="138">
        <f t="shared" si="70"/>
        <v>202.4330616</v>
      </c>
      <c r="S96" s="138">
        <f t="shared" si="70"/>
        <v>230.8071024</v>
      </c>
      <c r="T96" s="25"/>
      <c r="U96" s="25"/>
      <c r="V96" s="92"/>
      <c r="W96" s="25"/>
      <c r="X96" s="25"/>
      <c r="Y96" s="25"/>
      <c r="Z96" s="25"/>
    </row>
    <row r="97" ht="15.0" customHeight="1">
      <c r="A97" s="139" t="s">
        <v>250</v>
      </c>
      <c r="B97" s="140"/>
      <c r="C97" s="141">
        <f t="shared" ref="C97:S97" si="71">C95+C96</f>
        <v>0</v>
      </c>
      <c r="D97" s="142">
        <f t="shared" si="71"/>
        <v>0</v>
      </c>
      <c r="E97" s="142">
        <f t="shared" si="71"/>
        <v>3199.95912</v>
      </c>
      <c r="F97" s="142">
        <f t="shared" si="71"/>
        <v>13703.62097</v>
      </c>
      <c r="G97" s="142">
        <f t="shared" si="71"/>
        <v>18722.02711</v>
      </c>
      <c r="H97" s="142">
        <f t="shared" si="71"/>
        <v>15696.11676</v>
      </c>
      <c r="I97" s="142">
        <f t="shared" si="71"/>
        <v>20709.99038</v>
      </c>
      <c r="J97" s="142">
        <f t="shared" si="71"/>
        <v>25276.91674</v>
      </c>
      <c r="K97" s="142">
        <f t="shared" si="71"/>
        <v>24240.82346</v>
      </c>
      <c r="L97" s="142">
        <f t="shared" si="71"/>
        <v>19356.76121</v>
      </c>
      <c r="M97" s="142">
        <f t="shared" si="71"/>
        <v>21452.27121</v>
      </c>
      <c r="N97" s="142">
        <f t="shared" si="71"/>
        <v>20225.2827</v>
      </c>
      <c r="O97" s="142">
        <f t="shared" si="71"/>
        <v>21043.94646</v>
      </c>
      <c r="P97" s="142">
        <f t="shared" si="71"/>
        <v>18117.29829</v>
      </c>
      <c r="Q97" s="142">
        <f t="shared" si="71"/>
        <v>15097.91477</v>
      </c>
      <c r="R97" s="142">
        <f t="shared" si="71"/>
        <v>15345.20906</v>
      </c>
      <c r="S97" s="142">
        <f t="shared" si="71"/>
        <v>17496.0711</v>
      </c>
      <c r="T97" s="25"/>
      <c r="U97" s="25"/>
      <c r="V97" s="65"/>
      <c r="W97" s="25"/>
      <c r="X97" s="25"/>
      <c r="Y97" s="25"/>
      <c r="Z97" s="25"/>
    </row>
    <row r="98" ht="12.75" customHeight="1"/>
    <row r="99" ht="15.75" customHeight="1">
      <c r="A99" s="64" t="s">
        <v>251</v>
      </c>
      <c r="G99" s="47"/>
    </row>
    <row r="100" ht="15.75" customHeight="1">
      <c r="A100" s="65" t="s">
        <v>252</v>
      </c>
      <c r="B100" s="65"/>
      <c r="J100" s="92"/>
    </row>
    <row r="101" ht="15.75" customHeight="1">
      <c r="A101" s="113" t="s">
        <v>253</v>
      </c>
      <c r="B101" s="113"/>
      <c r="C101" s="128">
        <f>((1)/(42))</f>
        <v>0.02380952381</v>
      </c>
      <c r="J101" s="92"/>
    </row>
    <row r="102" ht="15.75" customHeight="1">
      <c r="A102" s="113" t="s">
        <v>254</v>
      </c>
      <c r="B102" s="113"/>
      <c r="C102" s="114">
        <v>1.0E-6</v>
      </c>
      <c r="J102" s="92"/>
    </row>
    <row r="103" ht="12.75" customHeight="1">
      <c r="A103" s="113" t="s">
        <v>255</v>
      </c>
      <c r="B103" s="113"/>
      <c r="C103" s="25">
        <v>0.001</v>
      </c>
      <c r="J103" s="65"/>
      <c r="R103" s="79"/>
      <c r="S103" s="79"/>
    </row>
    <row r="104" ht="15.0" customHeight="1">
      <c r="A104" s="143" t="s">
        <v>256</v>
      </c>
      <c r="B104" s="143"/>
      <c r="C104" s="61">
        <v>21.0</v>
      </c>
      <c r="J104" s="65"/>
      <c r="K104" s="65"/>
      <c r="R104" s="79"/>
      <c r="S104" s="79"/>
    </row>
    <row r="105" ht="12.75" customHeight="1">
      <c r="A105" s="143" t="s">
        <v>257</v>
      </c>
      <c r="B105" s="143"/>
      <c r="C105" s="61">
        <v>310.0</v>
      </c>
      <c r="K105" s="97"/>
      <c r="R105" s="79"/>
      <c r="S105" s="79"/>
    </row>
    <row r="106" ht="12.75" customHeight="1">
      <c r="A106" s="25"/>
      <c r="B106" s="25"/>
      <c r="C106" s="25"/>
      <c r="K106" s="97"/>
      <c r="R106" s="79"/>
      <c r="S106" s="79"/>
    </row>
    <row r="107" ht="12.75" customHeight="1">
      <c r="A107" s="65" t="s">
        <v>258</v>
      </c>
      <c r="B107" s="65"/>
      <c r="J107" s="25"/>
      <c r="K107" s="25"/>
      <c r="L107" s="25"/>
      <c r="M107" s="25"/>
      <c r="N107" s="25"/>
      <c r="O107" s="25"/>
    </row>
    <row r="108" ht="12.75" customHeight="1">
      <c r="A108" s="47" t="s">
        <v>259</v>
      </c>
      <c r="B108" s="47"/>
      <c r="C108" s="144">
        <f>C101*C110</f>
        <v>0.1496904762</v>
      </c>
    </row>
    <row r="109" ht="15.75" customHeight="1">
      <c r="A109" s="47" t="s">
        <v>260</v>
      </c>
      <c r="B109" s="47"/>
      <c r="C109" s="47">
        <f>(C101*C110*C111*C112*C113*C103)</f>
        <v>0.01166938181</v>
      </c>
      <c r="J109" s="92"/>
    </row>
    <row r="110" ht="15.75" customHeight="1">
      <c r="A110" s="143" t="s">
        <v>261</v>
      </c>
      <c r="B110" s="143"/>
      <c r="C110" s="61">
        <v>6.287</v>
      </c>
      <c r="J110" s="92"/>
      <c r="K110" s="65"/>
      <c r="P110" s="25"/>
      <c r="Q110" s="25"/>
    </row>
    <row r="111" ht="12.75" customHeight="1">
      <c r="A111" s="143" t="s">
        <v>262</v>
      </c>
      <c r="B111" s="143"/>
      <c r="C111" s="61">
        <v>21.49</v>
      </c>
      <c r="J111" s="65"/>
      <c r="K111" s="25"/>
      <c r="L111" s="25"/>
      <c r="M111" s="25"/>
      <c r="N111" s="25"/>
      <c r="O111" s="25"/>
    </row>
    <row r="112" ht="12.75" customHeight="1">
      <c r="A112" s="143" t="s">
        <v>263</v>
      </c>
      <c r="B112" s="143"/>
      <c r="C112" s="61">
        <v>0.99</v>
      </c>
    </row>
    <row r="113" ht="16.5" customHeight="1">
      <c r="A113" s="143" t="s">
        <v>264</v>
      </c>
      <c r="B113" s="143"/>
      <c r="C113" s="145">
        <f>((12.011+32)/12.011)</f>
        <v>3.664224461</v>
      </c>
    </row>
    <row r="114" ht="15.0" customHeight="1">
      <c r="A114" s="143" t="s">
        <v>265</v>
      </c>
      <c r="B114" s="143"/>
      <c r="C114" s="146">
        <v>2.0</v>
      </c>
      <c r="P114" s="25"/>
      <c r="Q114" s="25"/>
    </row>
    <row r="115" ht="15.0" customHeight="1">
      <c r="A115" s="143" t="s">
        <v>266</v>
      </c>
      <c r="B115" s="143"/>
      <c r="C115" s="145">
        <v>0.6</v>
      </c>
    </row>
    <row r="116" ht="12.75" customHeight="1"/>
    <row r="117" ht="12.75" customHeight="1">
      <c r="A117" s="65" t="s">
        <v>267</v>
      </c>
      <c r="B117" s="65"/>
    </row>
    <row r="118" ht="12.75" customHeight="1">
      <c r="A118" s="47" t="s">
        <v>268</v>
      </c>
      <c r="B118" s="47"/>
      <c r="C118" s="144">
        <f>C101*C120</f>
        <v>0.1386904762</v>
      </c>
    </row>
    <row r="119" ht="15.0" customHeight="1">
      <c r="A119" s="47" t="s">
        <v>269</v>
      </c>
      <c r="B119" s="47"/>
      <c r="C119" s="144">
        <f>(C101*C120*C121*C122*C113*C103)</f>
        <v>0.01003706654</v>
      </c>
    </row>
    <row r="120" ht="12.75" customHeight="1">
      <c r="A120" s="143" t="s">
        <v>261</v>
      </c>
      <c r="B120" s="143"/>
      <c r="C120" s="143">
        <v>5.825</v>
      </c>
    </row>
    <row r="121" ht="12.75" customHeight="1">
      <c r="A121" s="143" t="s">
        <v>262</v>
      </c>
      <c r="B121" s="143"/>
      <c r="C121" s="143">
        <v>19.95</v>
      </c>
    </row>
    <row r="122" ht="12.75" customHeight="1">
      <c r="A122" s="143" t="s">
        <v>263</v>
      </c>
      <c r="B122" s="143"/>
      <c r="C122" s="143">
        <v>0.99</v>
      </c>
    </row>
    <row r="123" ht="15.0" customHeight="1">
      <c r="A123" s="143" t="s">
        <v>270</v>
      </c>
      <c r="B123" s="143"/>
      <c r="C123" s="147">
        <v>10.0</v>
      </c>
    </row>
    <row r="124" ht="15.0" customHeight="1">
      <c r="A124" s="143" t="s">
        <v>271</v>
      </c>
      <c r="B124" s="143"/>
      <c r="C124" s="143">
        <v>0.6</v>
      </c>
    </row>
    <row r="125" ht="15.75" customHeight="1">
      <c r="I125" s="148"/>
    </row>
    <row r="126" ht="12.75" customHeight="1">
      <c r="A126" s="65" t="s">
        <v>272</v>
      </c>
      <c r="B126" s="65"/>
    </row>
    <row r="127" ht="12.75" customHeight="1">
      <c r="A127" s="47" t="s">
        <v>273</v>
      </c>
      <c r="B127" s="47"/>
      <c r="C127" s="144">
        <f>C101*C129</f>
        <v>0.09104761905</v>
      </c>
    </row>
    <row r="128" ht="15.0" customHeight="1">
      <c r="A128" s="47" t="s">
        <v>274</v>
      </c>
      <c r="B128" s="47"/>
      <c r="C128" s="144">
        <f>(C101*C129*C130*C131*C113*C103)</f>
        <v>0.005709554074</v>
      </c>
    </row>
    <row r="129" ht="12.75" customHeight="1">
      <c r="A129" s="143" t="s">
        <v>261</v>
      </c>
      <c r="B129" s="143"/>
      <c r="C129" s="61">
        <v>3.824</v>
      </c>
    </row>
    <row r="130" ht="12.75" customHeight="1">
      <c r="A130" s="143" t="s">
        <v>262</v>
      </c>
      <c r="B130" s="143"/>
      <c r="C130" s="143">
        <v>17.2</v>
      </c>
    </row>
    <row r="131" ht="12.75" customHeight="1">
      <c r="A131" s="143" t="s">
        <v>263</v>
      </c>
      <c r="B131" s="143"/>
      <c r="C131" s="143">
        <v>0.995</v>
      </c>
    </row>
    <row r="132" ht="15.75" customHeight="1">
      <c r="A132" s="143" t="s">
        <v>275</v>
      </c>
      <c r="B132" s="143"/>
      <c r="C132" s="147">
        <v>10.0</v>
      </c>
      <c r="I132" s="49"/>
    </row>
    <row r="133" ht="15.0" customHeight="1">
      <c r="A133" s="143" t="s">
        <v>276</v>
      </c>
      <c r="B133" s="143"/>
      <c r="C133" s="143">
        <v>0.6</v>
      </c>
    </row>
    <row r="134" ht="12.0" customHeight="1">
      <c r="O134" s="56" t="s">
        <v>277</v>
      </c>
    </row>
    <row r="135" ht="12.75" customHeight="1">
      <c r="A135" s="65" t="s">
        <v>152</v>
      </c>
      <c r="B135" s="65"/>
      <c r="C135" s="65" t="s">
        <v>278</v>
      </c>
      <c r="L135" s="47" t="s">
        <v>279</v>
      </c>
      <c r="O135" s="25" t="s">
        <v>280</v>
      </c>
      <c r="P135" s="25" t="s">
        <v>281</v>
      </c>
      <c r="Q135" s="25" t="s">
        <v>281</v>
      </c>
    </row>
    <row r="136" ht="12.75" customHeight="1">
      <c r="A136" s="47" t="s">
        <v>282</v>
      </c>
      <c r="B136" s="47"/>
      <c r="C136" s="47">
        <v>0.00874</v>
      </c>
      <c r="L136" s="144">
        <v>0.00874</v>
      </c>
      <c r="M136" s="56" t="s">
        <v>143</v>
      </c>
      <c r="O136" s="101"/>
      <c r="P136" s="101" t="s">
        <v>283</v>
      </c>
      <c r="Q136" s="101" t="s">
        <v>283</v>
      </c>
      <c r="R136" s="101" t="s">
        <v>284</v>
      </c>
      <c r="S136" s="101" t="s">
        <v>284</v>
      </c>
    </row>
    <row r="137" ht="15.0" customHeight="1">
      <c r="A137" s="47" t="s">
        <v>285</v>
      </c>
      <c r="B137" s="47"/>
      <c r="C137" s="47">
        <v>8.2E-4</v>
      </c>
      <c r="L137" s="149">
        <f>C136*(O141/2200)</f>
        <v>0.0001175132727</v>
      </c>
      <c r="M137" s="56" t="s">
        <v>286</v>
      </c>
    </row>
    <row r="138" ht="12.75" customHeight="1">
      <c r="A138" s="143" t="s">
        <v>287</v>
      </c>
      <c r="B138" s="143"/>
      <c r="C138" s="143">
        <v>17.48</v>
      </c>
      <c r="D138" s="56" t="s">
        <v>288</v>
      </c>
      <c r="L138" s="126">
        <v>17.48</v>
      </c>
      <c r="M138" s="25" t="s">
        <v>143</v>
      </c>
      <c r="O138" s="25" t="s">
        <v>289</v>
      </c>
      <c r="P138" s="25">
        <v>17.48</v>
      </c>
      <c r="Q138" s="25">
        <v>17.48</v>
      </c>
      <c r="R138" s="25">
        <v>126.0</v>
      </c>
      <c r="S138" s="25">
        <v>126.0</v>
      </c>
    </row>
    <row r="139" ht="13.5" customHeight="1">
      <c r="A139" s="143" t="s">
        <v>262</v>
      </c>
      <c r="B139" s="143"/>
      <c r="C139" s="150">
        <f>(1/(P138/Q138))/3.34</f>
        <v>0.2994011976</v>
      </c>
      <c r="L139" s="126">
        <v>28.09</v>
      </c>
      <c r="M139" s="25" t="s">
        <v>143</v>
      </c>
      <c r="P139" s="54"/>
      <c r="Q139" s="54"/>
      <c r="R139" s="54"/>
      <c r="S139" s="54"/>
    </row>
    <row r="140" ht="22.5" customHeight="1">
      <c r="A140" s="143" t="s">
        <v>263</v>
      </c>
      <c r="B140" s="143"/>
      <c r="C140" s="143">
        <v>0.99</v>
      </c>
      <c r="L140" s="126">
        <v>0.99</v>
      </c>
      <c r="O140" s="56" t="s">
        <v>290</v>
      </c>
      <c r="R140" s="151"/>
      <c r="S140" s="151"/>
    </row>
    <row r="141" ht="15.0" customHeight="1">
      <c r="A141" s="143" t="s">
        <v>291</v>
      </c>
      <c r="B141" s="143"/>
      <c r="C141" s="150">
        <f>R138/P138</f>
        <v>7.208237986</v>
      </c>
      <c r="L141" s="126">
        <v>7.21</v>
      </c>
      <c r="M141" s="25" t="s">
        <v>143</v>
      </c>
      <c r="O141" s="56">
        <v>29.58</v>
      </c>
      <c r="P141" s="56" t="s">
        <v>292</v>
      </c>
      <c r="Q141" s="56" t="s">
        <v>292</v>
      </c>
    </row>
    <row r="142" ht="15.0" customHeight="1">
      <c r="A142" s="143" t="s">
        <v>293</v>
      </c>
      <c r="B142" s="143"/>
      <c r="C142" s="150">
        <f>S138/P138</f>
        <v>7.208237986</v>
      </c>
      <c r="L142" s="126">
        <v>3.6</v>
      </c>
      <c r="M142" s="56" t="s">
        <v>143</v>
      </c>
    </row>
    <row r="143" ht="12.75" customHeight="1">
      <c r="O143" s="56" t="s">
        <v>294</v>
      </c>
    </row>
    <row r="144" ht="12.75" customHeight="1">
      <c r="A144" s="65" t="s">
        <v>295</v>
      </c>
      <c r="B144" s="65"/>
      <c r="C144" s="65"/>
      <c r="O144" s="56">
        <v>116.27</v>
      </c>
      <c r="P144" s="56" t="s">
        <v>296</v>
      </c>
      <c r="Q144" s="56" t="s">
        <v>296</v>
      </c>
    </row>
    <row r="145" ht="12.75" customHeight="1">
      <c r="A145" s="143" t="s">
        <v>297</v>
      </c>
      <c r="B145" s="143"/>
      <c r="C145" s="47">
        <v>0.01015</v>
      </c>
      <c r="L145" s="56" t="s">
        <v>298</v>
      </c>
      <c r="O145" s="56">
        <f>O144*0.001*C136</f>
        <v>0.0010161998</v>
      </c>
      <c r="P145" s="56" t="s">
        <v>299</v>
      </c>
      <c r="Q145" s="56" t="s">
        <v>299</v>
      </c>
    </row>
    <row r="146" ht="12.75" customHeight="1"/>
    <row r="147" ht="12.75" customHeight="1"/>
    <row r="148" ht="12.75" customHeight="1">
      <c r="A148" s="65" t="s">
        <v>135</v>
      </c>
      <c r="B148" s="65"/>
      <c r="C148" s="65"/>
    </row>
    <row r="149" ht="12.75" customHeight="1">
      <c r="A149" s="47" t="s">
        <v>300</v>
      </c>
      <c r="B149" s="47"/>
      <c r="C149" s="47">
        <v>1.032</v>
      </c>
    </row>
    <row r="150" ht="12.75" customHeight="1">
      <c r="A150" s="47" t="s">
        <v>301</v>
      </c>
      <c r="B150" s="47"/>
      <c r="C150" s="47">
        <f>(53.12*2.2)/2200</f>
        <v>0.05312</v>
      </c>
    </row>
    <row r="151" ht="12.75" customHeight="1">
      <c r="A151" s="143" t="s">
        <v>302</v>
      </c>
      <c r="B151" s="143"/>
      <c r="C151" s="143">
        <v>53.07</v>
      </c>
    </row>
    <row r="152" ht="12.75" customHeight="1">
      <c r="A152" s="143" t="s">
        <v>303</v>
      </c>
      <c r="B152" s="143"/>
      <c r="C152" s="143">
        <v>0.995</v>
      </c>
    </row>
    <row r="153" ht="12.75" customHeight="1">
      <c r="A153" s="143" t="s">
        <v>304</v>
      </c>
      <c r="B153" s="143"/>
      <c r="C153" s="143">
        <v>1.0</v>
      </c>
    </row>
    <row r="154" ht="12.75" customHeight="1">
      <c r="A154" s="143" t="s">
        <v>305</v>
      </c>
      <c r="B154" s="143"/>
      <c r="C154" s="143">
        <v>1.0</v>
      </c>
    </row>
    <row r="155" ht="12.75" customHeight="1"/>
    <row r="156" ht="12.75" customHeight="1"/>
    <row r="157" ht="12.75" customHeight="1">
      <c r="B157" s="47"/>
    </row>
    <row r="158" ht="12.75" customHeight="1">
      <c r="G158" s="47" t="s">
        <v>306</v>
      </c>
    </row>
    <row r="159" ht="30.0" customHeight="1">
      <c r="A159" s="47" t="s">
        <v>307</v>
      </c>
      <c r="B159" s="152"/>
      <c r="C159" s="152" t="s">
        <v>308</v>
      </c>
      <c r="D159" s="152" t="s">
        <v>309</v>
      </c>
      <c r="E159" s="152" t="s">
        <v>310</v>
      </c>
      <c r="F159" s="152" t="s">
        <v>311</v>
      </c>
    </row>
    <row r="160" ht="42.0" customHeight="1">
      <c r="A160" s="152" t="s">
        <v>312</v>
      </c>
      <c r="B160" s="152"/>
      <c r="C160" s="152" t="s">
        <v>313</v>
      </c>
      <c r="D160" s="152" t="s">
        <v>314</v>
      </c>
      <c r="E160" s="152" t="s">
        <v>315</v>
      </c>
      <c r="F160" s="152" t="s">
        <v>315</v>
      </c>
    </row>
    <row r="161" ht="13.5" customHeight="1">
      <c r="A161" s="153" t="s">
        <v>135</v>
      </c>
      <c r="B161" s="153"/>
      <c r="C161" s="153">
        <v>117.1</v>
      </c>
      <c r="D161" s="153">
        <v>53.12</v>
      </c>
      <c r="E161" s="153">
        <v>117.0</v>
      </c>
      <c r="F161" s="153">
        <v>53.07</v>
      </c>
    </row>
    <row r="162" ht="12.75" customHeight="1"/>
    <row r="163" ht="12.75" customHeight="1">
      <c r="A163" s="56" t="s">
        <v>316</v>
      </c>
    </row>
    <row r="164" ht="12.75" customHeight="1"/>
    <row r="165" ht="12.75" customHeight="1">
      <c r="A165" s="104" t="s">
        <v>317</v>
      </c>
      <c r="B165" s="104"/>
    </row>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2:H4"/>
    <mergeCell ref="A99:C99"/>
  </mergeCells>
  <hyperlinks>
    <hyperlink r:id="rId2" ref="A165"/>
  </hyperlinks>
  <printOptions/>
  <pageMargins bottom="0.75" footer="0.0" header="0.0" left="0.7" right="0.7" top="0.75"/>
  <pageSetup orientation="landscape"/>
  <headerFooter>
    <oddHeader>&amp;LMC GHG DRAFT August 14, 2010. Do not Circulate until final.</oddHeader>
  </headerFooter>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63"/>
    <col customWidth="1" min="2" max="8" width="8.88"/>
    <col customWidth="1" min="9" max="26" width="10.0"/>
  </cols>
  <sheetData>
    <row r="1" ht="18.0" customHeight="1">
      <c r="A1" s="154" t="s">
        <v>8</v>
      </c>
      <c r="B1" s="90"/>
      <c r="C1" s="90"/>
      <c r="D1" s="90"/>
      <c r="E1" s="90"/>
      <c r="F1" s="90"/>
      <c r="G1" s="90"/>
      <c r="H1" s="91"/>
    </row>
    <row r="2" ht="12.75" customHeight="1">
      <c r="A2" s="110" t="s">
        <v>318</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c r="A20" s="155" t="s">
        <v>319</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c r="A35" s="155" t="s">
        <v>320</v>
      </c>
    </row>
    <row r="36" ht="12.75" customHeight="1"/>
    <row r="37" ht="12.75" customHeight="1"/>
    <row r="38" ht="12.75" customHeight="1"/>
    <row r="39" ht="15.75" customHeight="1">
      <c r="A39" s="92" t="s">
        <v>251</v>
      </c>
    </row>
    <row r="40" ht="12.75" customHeight="1">
      <c r="A40" s="56" t="s">
        <v>261</v>
      </c>
      <c r="B40" s="156" t="s">
        <v>321</v>
      </c>
    </row>
    <row r="41" ht="12.75" customHeight="1"/>
    <row r="42" ht="12.75" customHeight="1"/>
    <row r="43" ht="12.75" customHeight="1">
      <c r="A43" s="56" t="s">
        <v>262</v>
      </c>
      <c r="B43" s="156" t="s">
        <v>322</v>
      </c>
    </row>
    <row r="44" ht="12.75" customHeight="1"/>
    <row r="45" ht="12.75" customHeight="1">
      <c r="A45" s="56" t="s">
        <v>263</v>
      </c>
      <c r="B45" s="156" t="s">
        <v>322</v>
      </c>
    </row>
    <row r="46" ht="12.75" customHeight="1"/>
    <row r="47" ht="12.75" customHeight="1">
      <c r="A47" s="56" t="s">
        <v>323</v>
      </c>
      <c r="B47" s="156" t="s">
        <v>324</v>
      </c>
    </row>
    <row r="48" ht="12.75" customHeight="1"/>
    <row r="49" ht="15.0" customHeight="1">
      <c r="A49" s="56" t="s">
        <v>325</v>
      </c>
      <c r="B49" s="156" t="s">
        <v>326</v>
      </c>
    </row>
    <row r="50" ht="12.75" customHeight="1"/>
    <row r="51" ht="12.75" customHeight="1"/>
    <row r="52" ht="15.0" customHeight="1">
      <c r="A52" s="56" t="s">
        <v>327</v>
      </c>
      <c r="B52" s="156" t="s">
        <v>328</v>
      </c>
    </row>
    <row r="53" ht="12.75" customHeight="1"/>
    <row r="54" ht="12.75" customHeight="1"/>
    <row r="55" ht="15.0" customHeight="1"/>
    <row r="56" ht="15.0" customHeight="1">
      <c r="A56" s="56" t="s">
        <v>329</v>
      </c>
      <c r="B56" s="156" t="s">
        <v>330</v>
      </c>
    </row>
    <row r="57" ht="12.75" customHeight="1"/>
    <row r="58" ht="39.0" customHeight="1"/>
    <row r="59" ht="15.0" customHeight="1">
      <c r="A59" s="56" t="s">
        <v>331</v>
      </c>
      <c r="B59" s="156" t="s">
        <v>332</v>
      </c>
    </row>
    <row r="60" ht="12.75" customHeight="1"/>
    <row r="61" ht="12.75" customHeight="1"/>
    <row r="62" ht="24.75" customHeight="1"/>
    <row r="63" ht="15.0" customHeight="1">
      <c r="A63" s="56" t="s">
        <v>333</v>
      </c>
      <c r="B63" s="156" t="s">
        <v>334</v>
      </c>
    </row>
    <row r="64" ht="12.75" customHeight="1"/>
    <row r="65" ht="12.75" customHeight="1"/>
    <row r="66" ht="15.75" customHeight="1"/>
    <row r="67" ht="12.75" customHeight="1">
      <c r="A67" s="56" t="s">
        <v>255</v>
      </c>
      <c r="B67" s="83" t="s">
        <v>335</v>
      </c>
      <c r="C67" s="83"/>
      <c r="D67" s="12"/>
      <c r="E67" s="12"/>
      <c r="F67" s="12"/>
      <c r="G67" s="12"/>
      <c r="H67" s="12"/>
    </row>
    <row r="68" ht="12.75" customHeight="1">
      <c r="A68" s="56" t="s">
        <v>253</v>
      </c>
      <c r="B68" s="83" t="s">
        <v>335</v>
      </c>
      <c r="D68" s="12"/>
      <c r="E68" s="12"/>
      <c r="F68" s="12"/>
      <c r="G68" s="12"/>
      <c r="H68" s="12"/>
    </row>
    <row r="69" ht="12.75" customHeight="1">
      <c r="D69" s="12"/>
      <c r="E69" s="12"/>
      <c r="F69" s="12"/>
      <c r="G69" s="12"/>
      <c r="H69" s="12"/>
    </row>
    <row r="70" ht="15.75" customHeight="1">
      <c r="A70" s="92" t="s">
        <v>132</v>
      </c>
    </row>
    <row r="71" ht="12.75" customHeight="1">
      <c r="A71" s="55" t="s">
        <v>336</v>
      </c>
      <c r="B71" s="157" t="s">
        <v>337</v>
      </c>
      <c r="C71" s="158"/>
      <c r="D71" s="158"/>
      <c r="E71" s="158"/>
      <c r="F71" s="158"/>
      <c r="G71" s="158"/>
      <c r="H71" s="159"/>
    </row>
    <row r="72" ht="12.75" customHeight="1">
      <c r="A72" s="55"/>
      <c r="B72" s="160"/>
      <c r="C72" s="7"/>
      <c r="D72" s="7"/>
      <c r="E72" s="7"/>
      <c r="F72" s="7"/>
      <c r="G72" s="7"/>
      <c r="H72" s="8"/>
    </row>
    <row r="73" ht="12.75" customHeight="1">
      <c r="A73" s="56" t="s">
        <v>259</v>
      </c>
      <c r="B73" s="83" t="s">
        <v>338</v>
      </c>
    </row>
    <row r="74" ht="12.75" customHeight="1">
      <c r="A74" s="56" t="s">
        <v>339</v>
      </c>
      <c r="B74" s="83" t="s">
        <v>338</v>
      </c>
    </row>
    <row r="75" ht="12.75" customHeight="1"/>
    <row r="76" ht="15.75" customHeight="1">
      <c r="A76" s="64" t="s">
        <v>204</v>
      </c>
    </row>
    <row r="77" ht="12.75" customHeight="1">
      <c r="A77" s="55" t="s">
        <v>340</v>
      </c>
      <c r="B77" s="157" t="s">
        <v>337</v>
      </c>
      <c r="C77" s="158"/>
      <c r="D77" s="158"/>
      <c r="E77" s="158"/>
      <c r="F77" s="158"/>
      <c r="G77" s="158"/>
      <c r="H77" s="159"/>
    </row>
    <row r="78" ht="12.75" customHeight="1">
      <c r="A78" s="55"/>
      <c r="B78" s="160"/>
      <c r="C78" s="7"/>
      <c r="D78" s="7"/>
      <c r="E78" s="7"/>
      <c r="F78" s="7"/>
      <c r="G78" s="7"/>
      <c r="H78" s="8"/>
    </row>
    <row r="79" ht="12.75" customHeight="1">
      <c r="A79" s="55" t="s">
        <v>341</v>
      </c>
      <c r="B79" s="157" t="s">
        <v>337</v>
      </c>
      <c r="C79" s="158"/>
      <c r="D79" s="158"/>
      <c r="E79" s="158"/>
      <c r="F79" s="158"/>
      <c r="G79" s="158"/>
      <c r="H79" s="159"/>
    </row>
    <row r="80" ht="12.75" customHeight="1">
      <c r="A80" s="55"/>
      <c r="B80" s="160"/>
      <c r="C80" s="7"/>
      <c r="D80" s="7"/>
      <c r="E80" s="7"/>
      <c r="F80" s="7"/>
      <c r="G80" s="7"/>
      <c r="H80" s="8"/>
    </row>
    <row r="81" ht="12.75" customHeight="1">
      <c r="A81" s="55" t="s">
        <v>342</v>
      </c>
      <c r="B81" s="157" t="s">
        <v>337</v>
      </c>
      <c r="C81" s="158"/>
      <c r="D81" s="158"/>
      <c r="E81" s="158"/>
      <c r="F81" s="158"/>
      <c r="G81" s="158"/>
      <c r="H81" s="159"/>
    </row>
    <row r="82" ht="12.75" customHeight="1">
      <c r="A82" s="55"/>
      <c r="B82" s="160"/>
      <c r="C82" s="7"/>
      <c r="D82" s="7"/>
      <c r="E82" s="7"/>
      <c r="F82" s="7"/>
      <c r="G82" s="7"/>
      <c r="H82" s="8"/>
    </row>
    <row r="83" ht="12.75" customHeight="1">
      <c r="A83" s="55" t="s">
        <v>343</v>
      </c>
      <c r="B83" s="157" t="s">
        <v>337</v>
      </c>
      <c r="C83" s="158"/>
      <c r="D83" s="158"/>
      <c r="E83" s="158"/>
      <c r="F83" s="158"/>
      <c r="G83" s="158"/>
      <c r="H83" s="159"/>
    </row>
    <row r="84" ht="12.75" customHeight="1">
      <c r="A84" s="55"/>
      <c r="B84" s="160"/>
      <c r="C84" s="7"/>
      <c r="D84" s="7"/>
      <c r="E84" s="7"/>
      <c r="F84" s="7"/>
      <c r="G84" s="7"/>
      <c r="H84" s="8"/>
    </row>
    <row r="85" ht="12.75" customHeight="1">
      <c r="A85" s="56" t="s">
        <v>268</v>
      </c>
      <c r="B85" s="83" t="s">
        <v>338</v>
      </c>
    </row>
    <row r="86" ht="12.75" customHeight="1">
      <c r="A86" s="56" t="s">
        <v>344</v>
      </c>
      <c r="B86" s="83" t="s">
        <v>338</v>
      </c>
    </row>
    <row r="87" ht="12.75" customHeight="1">
      <c r="B87" s="83"/>
      <c r="C87" s="83"/>
      <c r="D87" s="83"/>
    </row>
    <row r="88" ht="15.75" customHeight="1">
      <c r="A88" s="92" t="s">
        <v>134</v>
      </c>
      <c r="B88" s="83"/>
      <c r="C88" s="83"/>
      <c r="D88" s="83"/>
    </row>
    <row r="89" ht="12.75" customHeight="1">
      <c r="A89" s="55" t="s">
        <v>345</v>
      </c>
      <c r="B89" s="157" t="s">
        <v>337</v>
      </c>
      <c r="C89" s="158"/>
      <c r="D89" s="158"/>
      <c r="E89" s="158"/>
      <c r="F89" s="158"/>
      <c r="G89" s="158"/>
      <c r="H89" s="159"/>
    </row>
    <row r="90" ht="12.75" customHeight="1">
      <c r="A90" s="55"/>
      <c r="B90" s="160"/>
      <c r="C90" s="7"/>
      <c r="D90" s="7"/>
      <c r="E90" s="7"/>
      <c r="F90" s="7"/>
      <c r="G90" s="7"/>
      <c r="H90" s="8"/>
    </row>
    <row r="91" ht="12.75" customHeight="1">
      <c r="A91" s="56" t="s">
        <v>273</v>
      </c>
      <c r="B91" s="56" t="s">
        <v>338</v>
      </c>
    </row>
    <row r="92" ht="12.75" customHeight="1">
      <c r="A92" s="56" t="s">
        <v>346</v>
      </c>
      <c r="B92" s="56" t="s">
        <v>338</v>
      </c>
    </row>
    <row r="93" ht="12.75" customHeight="1"/>
    <row r="94" ht="15.75" customHeight="1">
      <c r="A94" s="64" t="s">
        <v>347</v>
      </c>
    </row>
    <row r="95" ht="12.75" customHeight="1">
      <c r="A95" s="47" t="s">
        <v>348</v>
      </c>
    </row>
    <row r="96" ht="12.75" customHeight="1">
      <c r="A96" s="161" t="s">
        <v>349</v>
      </c>
    </row>
    <row r="97" ht="12.75" customHeight="1"/>
    <row r="98" ht="12.75" customHeight="1"/>
    <row r="99" ht="12.75" customHeight="1">
      <c r="A99" s="156" t="s">
        <v>350</v>
      </c>
    </row>
    <row r="100" ht="12.75" customHeight="1"/>
    <row r="101" ht="12.75" customHeight="1"/>
    <row r="102" ht="12.75" customHeight="1">
      <c r="A102" s="47" t="s">
        <v>351</v>
      </c>
    </row>
    <row r="103" ht="12.75" customHeight="1">
      <c r="A103" s="156" t="s">
        <v>352</v>
      </c>
    </row>
    <row r="104" ht="12.75" customHeight="1"/>
    <row r="105" ht="12.75" customHeight="1">
      <c r="A105" s="156" t="s">
        <v>353</v>
      </c>
    </row>
    <row r="106" ht="12.75" customHeight="1"/>
    <row r="107" ht="12.75" customHeight="1"/>
    <row r="108" ht="12.75" customHeight="1">
      <c r="A108" s="47" t="s">
        <v>354</v>
      </c>
    </row>
    <row r="109" ht="12.75" customHeight="1">
      <c r="A109" s="12" t="s">
        <v>355</v>
      </c>
    </row>
    <row r="110" ht="12.75" customHeight="1"/>
    <row r="111" ht="12.75" customHeight="1"/>
    <row r="112" ht="12.75" customHeight="1"/>
    <row r="113" ht="12.75" customHeight="1">
      <c r="A113" s="56" t="s">
        <v>356</v>
      </c>
    </row>
    <row r="114" ht="12.75" customHeight="1">
      <c r="A114" s="56" t="s">
        <v>357</v>
      </c>
    </row>
    <row r="115" ht="12.75" customHeight="1">
      <c r="A115" s="162" t="s">
        <v>358</v>
      </c>
    </row>
    <row r="116" ht="12.75" customHeight="1">
      <c r="A116" s="162" t="s">
        <v>359</v>
      </c>
    </row>
    <row r="117" ht="21.0" customHeight="1">
      <c r="A117" s="162" t="s">
        <v>360</v>
      </c>
    </row>
    <row r="118" ht="75.0" customHeight="1">
      <c r="A118" s="163" t="s">
        <v>361</v>
      </c>
    </row>
    <row r="119" ht="12.75" customHeight="1"/>
    <row r="120" ht="12.75" customHeight="1"/>
    <row r="121" ht="12.75" customHeight="1"/>
    <row r="122" ht="12.75" customHeight="1">
      <c r="A122" s="56" t="s">
        <v>362</v>
      </c>
    </row>
    <row r="123" ht="12.75" customHeight="1">
      <c r="A123" s="56" t="s">
        <v>363</v>
      </c>
    </row>
    <row r="124" ht="12.75" customHeight="1">
      <c r="A124" s="56" t="s">
        <v>364</v>
      </c>
    </row>
    <row r="125" ht="12.75" customHeight="1">
      <c r="A125" s="56" t="s">
        <v>365</v>
      </c>
    </row>
    <row r="126" ht="12.75" customHeight="1">
      <c r="A126" s="56" t="s">
        <v>366</v>
      </c>
    </row>
    <row r="127" ht="12.75" customHeight="1">
      <c r="A127" s="56" t="s">
        <v>367</v>
      </c>
    </row>
    <row r="128" ht="12.75" customHeight="1"/>
    <row r="129" ht="12.75" customHeight="1">
      <c r="A129" s="56" t="s">
        <v>368</v>
      </c>
    </row>
    <row r="130" ht="12.75" customHeight="1">
      <c r="A130" s="104" t="s">
        <v>369</v>
      </c>
    </row>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2">
    <mergeCell ref="A1:H1"/>
    <mergeCell ref="A2:H4"/>
    <mergeCell ref="A20:F22"/>
    <mergeCell ref="A35:H37"/>
    <mergeCell ref="B40:H42"/>
    <mergeCell ref="B43:H44"/>
    <mergeCell ref="B45:H46"/>
    <mergeCell ref="B47:H48"/>
    <mergeCell ref="B49:H51"/>
    <mergeCell ref="B52:H55"/>
    <mergeCell ref="B56:H58"/>
    <mergeCell ref="B59:H62"/>
    <mergeCell ref="B63:H66"/>
    <mergeCell ref="B68:C68"/>
    <mergeCell ref="B71:H72"/>
    <mergeCell ref="B73:D73"/>
    <mergeCell ref="B74:D74"/>
    <mergeCell ref="A76:B76"/>
    <mergeCell ref="B77:H78"/>
    <mergeCell ref="B79:H80"/>
    <mergeCell ref="B81:H82"/>
    <mergeCell ref="A103:H104"/>
    <mergeCell ref="A105:H106"/>
    <mergeCell ref="A109:H112"/>
    <mergeCell ref="A118:G118"/>
    <mergeCell ref="B83:H84"/>
    <mergeCell ref="B85:D85"/>
    <mergeCell ref="B86:D86"/>
    <mergeCell ref="B89:H90"/>
    <mergeCell ref="A94:C94"/>
    <mergeCell ref="A96:H98"/>
    <mergeCell ref="A99:H101"/>
  </mergeCells>
  <hyperlinks>
    <hyperlink r:id="rId1" ref="A130"/>
  </hyperlinks>
  <printOptions/>
  <pageMargins bottom="0.75" footer="0.0" header="0.0" left="0.7" right="0.7" top="0.75"/>
  <pageSetup orientation="landscape"/>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0"/>
    <col customWidth="1" min="2" max="2" width="8.38"/>
    <col customWidth="1" min="3" max="14" width="13.5"/>
    <col customWidth="1" min="15" max="15" width="17.38"/>
    <col customWidth="1" min="16" max="16" width="35.13"/>
    <col customWidth="1" min="17" max="17" width="105.38"/>
    <col customWidth="1" min="18" max="26" width="10.0"/>
  </cols>
  <sheetData>
    <row r="1" ht="12.75" customHeight="1">
      <c r="A1" s="56" t="s">
        <v>370</v>
      </c>
      <c r="C1" s="164"/>
      <c r="D1" s="164"/>
      <c r="E1" s="164"/>
      <c r="F1" s="164"/>
      <c r="G1" s="164"/>
      <c r="H1" s="164"/>
      <c r="I1" s="164"/>
      <c r="J1" s="164"/>
      <c r="K1" s="164"/>
      <c r="L1" s="164"/>
      <c r="M1" s="164"/>
      <c r="N1" s="164"/>
      <c r="O1" s="164"/>
      <c r="P1" s="164"/>
    </row>
    <row r="2" ht="12.75" customHeight="1">
      <c r="C2" s="164"/>
      <c r="D2" s="164"/>
      <c r="E2" s="164"/>
      <c r="F2" s="164"/>
      <c r="G2" s="164"/>
      <c r="H2" s="164"/>
      <c r="I2" s="164"/>
      <c r="J2" s="164"/>
      <c r="K2" s="164"/>
      <c r="L2" s="164"/>
      <c r="M2" s="164"/>
      <c r="N2" s="164"/>
      <c r="O2" s="164"/>
      <c r="P2" s="164"/>
    </row>
    <row r="3" ht="12.75" customHeight="1">
      <c r="A3" s="165" t="s">
        <v>371</v>
      </c>
      <c r="B3" s="165"/>
      <c r="C3" s="165"/>
      <c r="D3" s="165"/>
      <c r="E3" s="165"/>
      <c r="F3" s="165"/>
      <c r="G3" s="165"/>
      <c r="H3" s="165"/>
      <c r="I3" s="165"/>
      <c r="J3" s="165"/>
      <c r="K3" s="165"/>
      <c r="L3" s="165"/>
      <c r="M3" s="165"/>
      <c r="N3" s="165"/>
      <c r="O3" s="165"/>
      <c r="P3" s="165"/>
      <c r="Q3" s="166"/>
      <c r="R3" s="166"/>
      <c r="S3" s="166"/>
      <c r="T3" s="166"/>
      <c r="U3" s="166"/>
      <c r="V3" s="166"/>
      <c r="W3" s="166"/>
      <c r="X3" s="166"/>
      <c r="Y3" s="166"/>
      <c r="Z3" s="166"/>
    </row>
    <row r="4" ht="49.5" customHeight="1">
      <c r="A4" s="167"/>
      <c r="B4" s="167"/>
      <c r="C4" s="167" t="s">
        <v>57</v>
      </c>
      <c r="D4" s="167" t="s">
        <v>58</v>
      </c>
      <c r="E4" s="167" t="s">
        <v>59</v>
      </c>
      <c r="F4" s="167" t="s">
        <v>60</v>
      </c>
      <c r="G4" s="167" t="s">
        <v>61</v>
      </c>
      <c r="H4" s="167" t="s">
        <v>62</v>
      </c>
      <c r="I4" s="167" t="s">
        <v>63</v>
      </c>
      <c r="J4" s="167" t="s">
        <v>64</v>
      </c>
      <c r="K4" s="167" t="s">
        <v>65</v>
      </c>
      <c r="L4" s="167" t="s">
        <v>372</v>
      </c>
      <c r="M4" s="167" t="s">
        <v>185</v>
      </c>
      <c r="N4" s="167" t="s">
        <v>186</v>
      </c>
      <c r="O4" s="167" t="s">
        <v>69</v>
      </c>
      <c r="P4" s="168" t="s">
        <v>373</v>
      </c>
      <c r="Q4" s="169" t="s">
        <v>374</v>
      </c>
      <c r="R4" s="169"/>
      <c r="S4" s="169"/>
      <c r="T4" s="169"/>
      <c r="U4" s="169"/>
      <c r="V4" s="169"/>
      <c r="W4" s="169"/>
      <c r="X4" s="169"/>
      <c r="Y4" s="169"/>
      <c r="Z4" s="169"/>
    </row>
    <row r="5" ht="12.75" customHeight="1">
      <c r="A5" s="167" t="s">
        <v>164</v>
      </c>
      <c r="B5" s="167"/>
      <c r="C5" s="167"/>
      <c r="D5" s="167"/>
      <c r="E5" s="167"/>
      <c r="F5" s="167"/>
      <c r="G5" s="167"/>
      <c r="H5" s="167"/>
      <c r="I5" s="167"/>
      <c r="J5" s="167"/>
      <c r="K5" s="167"/>
      <c r="L5" s="167"/>
      <c r="M5" s="167"/>
      <c r="N5" s="167"/>
      <c r="O5" s="167"/>
      <c r="P5" s="168"/>
      <c r="Q5" s="169"/>
      <c r="R5" s="169"/>
      <c r="S5" s="169"/>
      <c r="T5" s="169"/>
      <c r="U5" s="169"/>
      <c r="V5" s="169"/>
      <c r="W5" s="169"/>
      <c r="X5" s="169"/>
      <c r="Y5" s="169"/>
      <c r="Z5" s="169"/>
    </row>
    <row r="6" ht="12.75" customHeight="1">
      <c r="A6" s="170"/>
      <c r="B6" s="171"/>
      <c r="C6" s="171"/>
      <c r="D6" s="171"/>
      <c r="E6" s="171"/>
      <c r="F6" s="171"/>
      <c r="G6" s="171"/>
      <c r="H6" s="171"/>
      <c r="I6" s="171"/>
      <c r="J6" s="171"/>
      <c r="K6" s="171"/>
      <c r="L6" s="171"/>
      <c r="M6" s="171"/>
      <c r="N6" s="171"/>
      <c r="O6" s="171"/>
      <c r="P6" s="172"/>
      <c r="Q6" s="173"/>
      <c r="R6" s="173"/>
      <c r="S6" s="173"/>
      <c r="T6" s="173"/>
      <c r="U6" s="173"/>
      <c r="V6" s="173"/>
      <c r="W6" s="173"/>
      <c r="X6" s="173"/>
      <c r="Y6" s="173"/>
      <c r="Z6" s="173"/>
    </row>
    <row r="7" ht="12.75" customHeight="1">
      <c r="A7" s="174" t="s">
        <v>375</v>
      </c>
      <c r="B7" s="174"/>
      <c r="C7" s="174">
        <f t="shared" ref="C7:O7" si="1">C29</f>
        <v>0</v>
      </c>
      <c r="D7" s="174">
        <f t="shared" si="1"/>
        <v>0</v>
      </c>
      <c r="E7" s="174">
        <f t="shared" si="1"/>
        <v>2933.29586</v>
      </c>
      <c r="F7" s="174">
        <f t="shared" si="1"/>
        <v>12561.65255</v>
      </c>
      <c r="G7" s="174">
        <f t="shared" si="1"/>
        <v>17161.85819</v>
      </c>
      <c r="H7" s="174">
        <f t="shared" si="1"/>
        <v>14388.10703</v>
      </c>
      <c r="I7" s="174">
        <f t="shared" si="1"/>
        <v>18984.15785</v>
      </c>
      <c r="J7" s="174">
        <f t="shared" si="1"/>
        <v>23170.50701</v>
      </c>
      <c r="K7" s="174">
        <f t="shared" si="1"/>
        <v>22220.75484</v>
      </c>
      <c r="L7" s="174">
        <f t="shared" si="1"/>
        <v>17743.69778</v>
      </c>
      <c r="M7" s="174">
        <f t="shared" si="1"/>
        <v>19664.58195</v>
      </c>
      <c r="N7" s="174">
        <f t="shared" si="1"/>
        <v>18598.3422</v>
      </c>
      <c r="O7" s="174">
        <f t="shared" si="1"/>
        <v>19290.28425</v>
      </c>
      <c r="P7" s="175"/>
      <c r="Q7" s="176"/>
      <c r="R7" s="176"/>
      <c r="S7" s="176"/>
      <c r="T7" s="176"/>
      <c r="U7" s="176"/>
      <c r="V7" s="176"/>
      <c r="W7" s="176"/>
      <c r="X7" s="176"/>
      <c r="Y7" s="176"/>
      <c r="Z7" s="176"/>
    </row>
    <row r="8" ht="12.75" customHeight="1">
      <c r="A8" s="174" t="s">
        <v>376</v>
      </c>
      <c r="B8" s="174"/>
      <c r="C8" s="174">
        <f t="shared" ref="C8:O8" si="2">C48</f>
        <v>0</v>
      </c>
      <c r="D8" s="174">
        <f t="shared" si="2"/>
        <v>0</v>
      </c>
      <c r="E8" s="174">
        <f t="shared" si="2"/>
        <v>32.78978011</v>
      </c>
      <c r="F8" s="174">
        <f t="shared" si="2"/>
        <v>140.3525167</v>
      </c>
      <c r="G8" s="174">
        <f t="shared" si="2"/>
        <v>191.835536</v>
      </c>
      <c r="H8" s="174">
        <f t="shared" si="2"/>
        <v>160.8844351</v>
      </c>
      <c r="I8" s="174">
        <f t="shared" si="2"/>
        <v>212.0610078</v>
      </c>
      <c r="J8" s="174">
        <f t="shared" si="2"/>
        <v>258.9473289</v>
      </c>
      <c r="K8" s="174">
        <f t="shared" si="2"/>
        <v>248.2216999</v>
      </c>
      <c r="L8" s="174">
        <f t="shared" si="2"/>
        <v>198.2709134</v>
      </c>
      <c r="M8" s="174">
        <f t="shared" si="2"/>
        <v>219.7221714</v>
      </c>
      <c r="N8" s="174">
        <f t="shared" si="2"/>
        <v>207.7707562</v>
      </c>
      <c r="O8" s="174">
        <f t="shared" si="2"/>
        <v>209.6041305</v>
      </c>
      <c r="P8" s="175"/>
      <c r="Q8" s="176"/>
      <c r="R8" s="176"/>
      <c r="S8" s="176"/>
      <c r="T8" s="176"/>
      <c r="U8" s="176"/>
      <c r="V8" s="176"/>
      <c r="W8" s="176"/>
      <c r="X8" s="176"/>
      <c r="Y8" s="176"/>
      <c r="Z8" s="176"/>
    </row>
    <row r="9" ht="12.75" customHeight="1">
      <c r="A9" s="174" t="s">
        <v>377</v>
      </c>
      <c r="B9" s="174"/>
      <c r="C9" s="174">
        <f t="shared" ref="C9:O9" si="3">C61</f>
        <v>0</v>
      </c>
      <c r="D9" s="174">
        <f t="shared" si="3"/>
        <v>0</v>
      </c>
      <c r="E9" s="174">
        <f t="shared" si="3"/>
        <v>-3709.597443</v>
      </c>
      <c r="F9" s="174">
        <f t="shared" si="3"/>
        <v>-15886.18223</v>
      </c>
      <c r="G9" s="174">
        <f t="shared" si="3"/>
        <v>-21703.78014</v>
      </c>
      <c r="H9" s="174">
        <f t="shared" si="3"/>
        <v>-18195.89595</v>
      </c>
      <c r="I9" s="174">
        <f t="shared" si="3"/>
        <v>-24008.49948</v>
      </c>
      <c r="J9" s="174">
        <f t="shared" si="3"/>
        <v>-29302.68353</v>
      </c>
      <c r="K9" s="174">
        <f t="shared" si="3"/>
        <v>-28101.68673</v>
      </c>
      <c r="L9" s="174">
        <f t="shared" si="3"/>
        <v>-22439.67324</v>
      </c>
      <c r="M9" s="174">
        <f t="shared" si="3"/>
        <v>-24868.94387</v>
      </c>
      <c r="N9" s="174">
        <f t="shared" si="3"/>
        <v>-23520.55449</v>
      </c>
      <c r="O9" s="174">
        <f t="shared" si="3"/>
        <v>-24401.52164</v>
      </c>
      <c r="P9" s="175"/>
      <c r="Q9" s="176"/>
      <c r="R9" s="176"/>
      <c r="S9" s="176"/>
      <c r="T9" s="176"/>
      <c r="U9" s="176"/>
      <c r="V9" s="176"/>
      <c r="W9" s="176"/>
      <c r="X9" s="176"/>
      <c r="Y9" s="176"/>
      <c r="Z9" s="176"/>
    </row>
    <row r="10" ht="12.75" customHeight="1">
      <c r="A10" s="177" t="s">
        <v>378</v>
      </c>
      <c r="B10" s="177"/>
      <c r="C10" s="177">
        <f t="shared" ref="C10:O10" si="4">C7+C8+C9</f>
        <v>0</v>
      </c>
      <c r="D10" s="177">
        <f t="shared" si="4"/>
        <v>0</v>
      </c>
      <c r="E10" s="177">
        <f t="shared" si="4"/>
        <v>-743.5118033</v>
      </c>
      <c r="F10" s="177">
        <f t="shared" si="4"/>
        <v>-3184.17716</v>
      </c>
      <c r="G10" s="177">
        <f t="shared" si="4"/>
        <v>-4350.086415</v>
      </c>
      <c r="H10" s="177">
        <f t="shared" si="4"/>
        <v>-3646.904489</v>
      </c>
      <c r="I10" s="177">
        <f t="shared" si="4"/>
        <v>-4812.280616</v>
      </c>
      <c r="J10" s="177">
        <f t="shared" si="4"/>
        <v>-5873.229187</v>
      </c>
      <c r="K10" s="177">
        <f t="shared" si="4"/>
        <v>-5632.710184</v>
      </c>
      <c r="L10" s="177">
        <f t="shared" si="4"/>
        <v>-4497.704548</v>
      </c>
      <c r="M10" s="177">
        <f t="shared" si="4"/>
        <v>-4984.639752</v>
      </c>
      <c r="N10" s="177">
        <f t="shared" si="4"/>
        <v>-4714.441539</v>
      </c>
      <c r="O10" s="177">
        <f t="shared" si="4"/>
        <v>-4901.633254</v>
      </c>
      <c r="P10" s="178"/>
      <c r="Q10" s="179"/>
      <c r="R10" s="179"/>
      <c r="S10" s="179"/>
      <c r="T10" s="179"/>
      <c r="U10" s="179"/>
      <c r="V10" s="179"/>
      <c r="W10" s="179"/>
      <c r="X10" s="179"/>
      <c r="Y10" s="179"/>
      <c r="Z10" s="179"/>
    </row>
    <row r="11" ht="12.75" customHeight="1">
      <c r="A11" s="170"/>
      <c r="B11" s="171"/>
      <c r="C11" s="171"/>
      <c r="D11" s="171"/>
      <c r="E11" s="171"/>
      <c r="F11" s="171"/>
      <c r="G11" s="171"/>
      <c r="H11" s="171"/>
      <c r="I11" s="171"/>
      <c r="J11" s="171"/>
      <c r="K11" s="171"/>
      <c r="L11" s="171"/>
      <c r="M11" s="171"/>
      <c r="N11" s="171"/>
      <c r="O11" s="171"/>
      <c r="P11" s="172"/>
      <c r="Q11" s="173"/>
      <c r="R11" s="173"/>
      <c r="S11" s="173"/>
      <c r="T11" s="173"/>
      <c r="U11" s="173"/>
      <c r="V11" s="173"/>
      <c r="W11" s="173"/>
      <c r="X11" s="173"/>
      <c r="Y11" s="173"/>
      <c r="Z11" s="173"/>
    </row>
    <row r="12" ht="15.75" customHeight="1">
      <c r="A12" s="180" t="s">
        <v>379</v>
      </c>
      <c r="B12" s="180"/>
      <c r="C12" s="181"/>
      <c r="D12" s="181"/>
      <c r="E12" s="181"/>
      <c r="F12" s="181"/>
      <c r="G12" s="181"/>
      <c r="H12" s="181"/>
      <c r="I12" s="181"/>
      <c r="J12" s="181"/>
      <c r="K12" s="181"/>
      <c r="L12" s="181"/>
      <c r="M12" s="181"/>
      <c r="N12" s="181"/>
      <c r="O12" s="181"/>
      <c r="P12" s="182"/>
      <c r="Q12" s="183"/>
      <c r="R12" s="183"/>
      <c r="S12" s="183"/>
      <c r="T12" s="183"/>
      <c r="U12" s="183"/>
      <c r="V12" s="183"/>
      <c r="W12" s="183"/>
      <c r="X12" s="183"/>
      <c r="Y12" s="183"/>
      <c r="Z12" s="183"/>
    </row>
    <row r="13" ht="12.75" customHeight="1">
      <c r="A13" s="184" t="s">
        <v>380</v>
      </c>
      <c r="B13" s="185"/>
      <c r="C13" s="185">
        <v>0.0</v>
      </c>
      <c r="D13" s="185">
        <v>0.0</v>
      </c>
      <c r="E13" s="185">
        <v>3209.090909090909</v>
      </c>
      <c r="F13" s="185">
        <v>13742.727272727272</v>
      </c>
      <c r="G13" s="185">
        <v>18775.454545454544</v>
      </c>
      <c r="H13" s="185">
        <v>15740.90909090909</v>
      </c>
      <c r="I13" s="185">
        <v>20769.090909090908</v>
      </c>
      <c r="J13" s="185">
        <v>25349.05</v>
      </c>
      <c r="K13" s="185">
        <v>24310.0</v>
      </c>
      <c r="L13" s="185">
        <v>19412.0</v>
      </c>
      <c r="M13" s="185">
        <v>21513.49</v>
      </c>
      <c r="N13" s="185">
        <v>20347.0</v>
      </c>
      <c r="O13" s="186">
        <v>21104.0</v>
      </c>
      <c r="P13" s="187" t="s">
        <v>381</v>
      </c>
      <c r="Q13" s="188"/>
      <c r="R13" s="188"/>
      <c r="S13" s="188"/>
      <c r="T13" s="188"/>
      <c r="U13" s="188"/>
      <c r="V13" s="188"/>
      <c r="W13" s="188"/>
      <c r="X13" s="188"/>
      <c r="Y13" s="188"/>
      <c r="Z13" s="188"/>
    </row>
    <row r="14" ht="12.75" customHeight="1">
      <c r="A14" s="184" t="s">
        <v>382</v>
      </c>
      <c r="B14" s="184"/>
      <c r="C14" s="184">
        <f t="shared" ref="C14:N14" si="5">ROUND(C13/30,0)</f>
        <v>0</v>
      </c>
      <c r="D14" s="184">
        <f t="shared" si="5"/>
        <v>0</v>
      </c>
      <c r="E14" s="184">
        <f t="shared" si="5"/>
        <v>107</v>
      </c>
      <c r="F14" s="184">
        <f t="shared" si="5"/>
        <v>458</v>
      </c>
      <c r="G14" s="184">
        <f t="shared" si="5"/>
        <v>626</v>
      </c>
      <c r="H14" s="184">
        <f t="shared" si="5"/>
        <v>525</v>
      </c>
      <c r="I14" s="184">
        <f t="shared" si="5"/>
        <v>692</v>
      </c>
      <c r="J14" s="184">
        <f t="shared" si="5"/>
        <v>845</v>
      </c>
      <c r="K14" s="184">
        <f t="shared" si="5"/>
        <v>810</v>
      </c>
      <c r="L14" s="184">
        <f t="shared" si="5"/>
        <v>647</v>
      </c>
      <c r="M14" s="184">
        <f t="shared" si="5"/>
        <v>717</v>
      </c>
      <c r="N14" s="184">
        <f t="shared" si="5"/>
        <v>678</v>
      </c>
      <c r="O14" s="189">
        <v>684.0</v>
      </c>
      <c r="P14" s="187" t="s">
        <v>381</v>
      </c>
      <c r="Q14" s="188" t="s">
        <v>383</v>
      </c>
      <c r="R14" s="188"/>
      <c r="S14" s="188"/>
      <c r="T14" s="188"/>
      <c r="U14" s="188"/>
      <c r="V14" s="188"/>
      <c r="W14" s="188"/>
      <c r="X14" s="188"/>
      <c r="Y14" s="188"/>
      <c r="Z14" s="188"/>
    </row>
    <row r="15" ht="12.75" customHeight="1">
      <c r="A15" s="170"/>
      <c r="B15" s="171"/>
      <c r="C15" s="171"/>
      <c r="D15" s="171"/>
      <c r="E15" s="171"/>
      <c r="F15" s="171"/>
      <c r="G15" s="171"/>
      <c r="H15" s="171"/>
      <c r="I15" s="171"/>
      <c r="J15" s="171"/>
      <c r="K15" s="171"/>
      <c r="L15" s="171"/>
      <c r="M15" s="171"/>
      <c r="N15" s="171"/>
      <c r="O15" s="190"/>
      <c r="P15" s="172"/>
      <c r="Q15" s="173"/>
      <c r="R15" s="173"/>
      <c r="S15" s="173"/>
      <c r="T15" s="173"/>
      <c r="U15" s="173"/>
      <c r="V15" s="173"/>
      <c r="W15" s="173"/>
      <c r="X15" s="173"/>
      <c r="Y15" s="173"/>
      <c r="Z15" s="173"/>
    </row>
    <row r="16" ht="15.75" customHeight="1">
      <c r="A16" s="191" t="s">
        <v>384</v>
      </c>
      <c r="B16" s="191"/>
      <c r="C16" s="192"/>
      <c r="D16" s="192"/>
      <c r="E16" s="192"/>
      <c r="F16" s="192"/>
      <c r="G16" s="192"/>
      <c r="H16" s="192"/>
      <c r="I16" s="192"/>
      <c r="J16" s="192"/>
      <c r="K16" s="192"/>
      <c r="L16" s="192"/>
      <c r="M16" s="192"/>
      <c r="N16" s="192"/>
      <c r="O16" s="193"/>
      <c r="P16" s="194"/>
      <c r="Q16" s="195"/>
      <c r="R16" s="195"/>
      <c r="S16" s="195"/>
      <c r="T16" s="195"/>
      <c r="U16" s="195"/>
      <c r="V16" s="195"/>
      <c r="W16" s="195"/>
      <c r="X16" s="195"/>
      <c r="Y16" s="195"/>
      <c r="Z16" s="195"/>
    </row>
    <row r="17" ht="12.75" customHeight="1">
      <c r="A17" s="196" t="s">
        <v>385</v>
      </c>
      <c r="B17" s="196"/>
      <c r="C17" s="196">
        <f t="shared" ref="C17:O17" si="6">C13</f>
        <v>0</v>
      </c>
      <c r="D17" s="196">
        <f t="shared" si="6"/>
        <v>0</v>
      </c>
      <c r="E17" s="196">
        <f t="shared" si="6"/>
        <v>3209.090909</v>
      </c>
      <c r="F17" s="196">
        <f t="shared" si="6"/>
        <v>13742.72727</v>
      </c>
      <c r="G17" s="196">
        <f t="shared" si="6"/>
        <v>18775.45455</v>
      </c>
      <c r="H17" s="196">
        <f t="shared" si="6"/>
        <v>15740.90909</v>
      </c>
      <c r="I17" s="196">
        <f t="shared" si="6"/>
        <v>20769.09091</v>
      </c>
      <c r="J17" s="196">
        <f t="shared" si="6"/>
        <v>25349.05</v>
      </c>
      <c r="K17" s="196">
        <f t="shared" si="6"/>
        <v>24310</v>
      </c>
      <c r="L17" s="196">
        <f t="shared" si="6"/>
        <v>19412</v>
      </c>
      <c r="M17" s="196">
        <f t="shared" si="6"/>
        <v>21513.49</v>
      </c>
      <c r="N17" s="196">
        <f t="shared" si="6"/>
        <v>20347</v>
      </c>
      <c r="O17" s="197">
        <f t="shared" si="6"/>
        <v>21104</v>
      </c>
      <c r="P17" s="198" t="s">
        <v>386</v>
      </c>
      <c r="Q17" s="199"/>
      <c r="R17" s="199"/>
      <c r="S17" s="199"/>
      <c r="T17" s="199"/>
      <c r="U17" s="199"/>
      <c r="V17" s="199"/>
      <c r="W17" s="199"/>
      <c r="X17" s="199"/>
      <c r="Y17" s="199"/>
      <c r="Z17" s="199"/>
    </row>
    <row r="18" ht="12.75" customHeight="1">
      <c r="A18" s="196" t="s">
        <v>239</v>
      </c>
      <c r="B18" s="196"/>
      <c r="C18" s="196">
        <f t="shared" ref="C18:O18" si="7">C17*0.55</f>
        <v>0</v>
      </c>
      <c r="D18" s="196">
        <f t="shared" si="7"/>
        <v>0</v>
      </c>
      <c r="E18" s="196">
        <f t="shared" si="7"/>
        <v>1765</v>
      </c>
      <c r="F18" s="196">
        <f t="shared" si="7"/>
        <v>7558.5</v>
      </c>
      <c r="G18" s="196">
        <f t="shared" si="7"/>
        <v>10326.5</v>
      </c>
      <c r="H18" s="196">
        <f t="shared" si="7"/>
        <v>8657.5</v>
      </c>
      <c r="I18" s="196">
        <f t="shared" si="7"/>
        <v>11423</v>
      </c>
      <c r="J18" s="196">
        <f t="shared" si="7"/>
        <v>13941.9775</v>
      </c>
      <c r="K18" s="196">
        <f t="shared" si="7"/>
        <v>13370.5</v>
      </c>
      <c r="L18" s="196">
        <f t="shared" si="7"/>
        <v>10676.6</v>
      </c>
      <c r="M18" s="196">
        <f t="shared" si="7"/>
        <v>11832.4195</v>
      </c>
      <c r="N18" s="196">
        <f t="shared" si="7"/>
        <v>11190.85</v>
      </c>
      <c r="O18" s="196">
        <f t="shared" si="7"/>
        <v>11607.2</v>
      </c>
      <c r="P18" s="198" t="s">
        <v>387</v>
      </c>
      <c r="Q18" s="199"/>
      <c r="R18" s="199"/>
      <c r="S18" s="199"/>
      <c r="T18" s="199"/>
      <c r="U18" s="199"/>
      <c r="V18" s="199"/>
      <c r="W18" s="199"/>
      <c r="X18" s="199"/>
      <c r="Y18" s="199"/>
      <c r="Z18" s="199"/>
    </row>
    <row r="19" ht="15.75" customHeight="1">
      <c r="A19" s="196" t="s">
        <v>240</v>
      </c>
      <c r="B19" s="196"/>
      <c r="C19" s="196">
        <f t="shared" ref="C19:O19" si="8">C18*1640</f>
        <v>0</v>
      </c>
      <c r="D19" s="196">
        <f t="shared" si="8"/>
        <v>0</v>
      </c>
      <c r="E19" s="196">
        <f t="shared" si="8"/>
        <v>2894600</v>
      </c>
      <c r="F19" s="196">
        <f t="shared" si="8"/>
        <v>12395940</v>
      </c>
      <c r="G19" s="196">
        <f t="shared" si="8"/>
        <v>16935460</v>
      </c>
      <c r="H19" s="196">
        <f t="shared" si="8"/>
        <v>14198300</v>
      </c>
      <c r="I19" s="196">
        <f t="shared" si="8"/>
        <v>18733720</v>
      </c>
      <c r="J19" s="196">
        <f t="shared" si="8"/>
        <v>22864843.1</v>
      </c>
      <c r="K19" s="196">
        <f t="shared" si="8"/>
        <v>21927620</v>
      </c>
      <c r="L19" s="196">
        <f t="shared" si="8"/>
        <v>17509624</v>
      </c>
      <c r="M19" s="196">
        <f t="shared" si="8"/>
        <v>19405167.98</v>
      </c>
      <c r="N19" s="196">
        <f t="shared" si="8"/>
        <v>18352994</v>
      </c>
      <c r="O19" s="196">
        <f t="shared" si="8"/>
        <v>19035808</v>
      </c>
      <c r="P19" s="198" t="s">
        <v>388</v>
      </c>
      <c r="Q19" s="200" t="s">
        <v>389</v>
      </c>
      <c r="R19" s="199"/>
      <c r="S19" s="199"/>
      <c r="T19" s="199"/>
      <c r="U19" s="199"/>
      <c r="V19" s="199"/>
      <c r="W19" s="199"/>
      <c r="X19" s="199"/>
      <c r="Y19" s="199"/>
      <c r="Z19" s="199"/>
    </row>
    <row r="20" ht="12.75" customHeight="1">
      <c r="A20" s="196" t="s">
        <v>241</v>
      </c>
      <c r="B20" s="196"/>
      <c r="C20" s="196">
        <f t="shared" ref="C20:O20" si="9">C19/1000</f>
        <v>0</v>
      </c>
      <c r="D20" s="196">
        <f t="shared" si="9"/>
        <v>0</v>
      </c>
      <c r="E20" s="196">
        <f t="shared" si="9"/>
        <v>2894.6</v>
      </c>
      <c r="F20" s="196">
        <f t="shared" si="9"/>
        <v>12395.94</v>
      </c>
      <c r="G20" s="196">
        <f t="shared" si="9"/>
        <v>16935.46</v>
      </c>
      <c r="H20" s="196">
        <f t="shared" si="9"/>
        <v>14198.3</v>
      </c>
      <c r="I20" s="196">
        <f t="shared" si="9"/>
        <v>18733.72</v>
      </c>
      <c r="J20" s="196">
        <f t="shared" si="9"/>
        <v>22864.8431</v>
      </c>
      <c r="K20" s="196">
        <f t="shared" si="9"/>
        <v>21927.62</v>
      </c>
      <c r="L20" s="196">
        <f t="shared" si="9"/>
        <v>17509.624</v>
      </c>
      <c r="M20" s="196">
        <f t="shared" si="9"/>
        <v>19405.16798</v>
      </c>
      <c r="N20" s="196">
        <f t="shared" si="9"/>
        <v>18352.994</v>
      </c>
      <c r="O20" s="196">
        <f t="shared" si="9"/>
        <v>19035.808</v>
      </c>
      <c r="P20" s="198" t="s">
        <v>390</v>
      </c>
      <c r="Q20" s="199"/>
      <c r="R20" s="199"/>
      <c r="S20" s="199"/>
      <c r="T20" s="199"/>
      <c r="U20" s="199"/>
      <c r="V20" s="199"/>
      <c r="W20" s="199"/>
      <c r="X20" s="199"/>
      <c r="Y20" s="199"/>
      <c r="Z20" s="199"/>
    </row>
    <row r="21" ht="15.75" customHeight="1">
      <c r="A21" s="196" t="s">
        <v>242</v>
      </c>
      <c r="B21" s="196"/>
      <c r="C21" s="196">
        <f t="shared" ref="C21:O21" si="10">C18*126</f>
        <v>0</v>
      </c>
      <c r="D21" s="196">
        <f t="shared" si="10"/>
        <v>0</v>
      </c>
      <c r="E21" s="196">
        <f t="shared" si="10"/>
        <v>222390</v>
      </c>
      <c r="F21" s="196">
        <f t="shared" si="10"/>
        <v>952371</v>
      </c>
      <c r="G21" s="196">
        <f t="shared" si="10"/>
        <v>1301139</v>
      </c>
      <c r="H21" s="196">
        <f t="shared" si="10"/>
        <v>1090845</v>
      </c>
      <c r="I21" s="196">
        <f t="shared" si="10"/>
        <v>1439298</v>
      </c>
      <c r="J21" s="196">
        <f t="shared" si="10"/>
        <v>1756689.165</v>
      </c>
      <c r="K21" s="196">
        <f t="shared" si="10"/>
        <v>1684683</v>
      </c>
      <c r="L21" s="196">
        <f t="shared" si="10"/>
        <v>1345251.6</v>
      </c>
      <c r="M21" s="196">
        <f t="shared" si="10"/>
        <v>1490884.857</v>
      </c>
      <c r="N21" s="196">
        <f t="shared" si="10"/>
        <v>1410047.1</v>
      </c>
      <c r="O21" s="196">
        <f t="shared" si="10"/>
        <v>1462507.2</v>
      </c>
      <c r="P21" s="198" t="s">
        <v>388</v>
      </c>
      <c r="Q21" s="200" t="s">
        <v>389</v>
      </c>
      <c r="R21" s="199"/>
      <c r="S21" s="199"/>
      <c r="T21" s="199"/>
      <c r="U21" s="199"/>
      <c r="V21" s="199"/>
      <c r="W21" s="199"/>
      <c r="X21" s="199"/>
      <c r="Y21" s="199"/>
      <c r="Z21" s="199"/>
    </row>
    <row r="22" ht="12.75" customHeight="1">
      <c r="A22" s="196" t="s">
        <v>243</v>
      </c>
      <c r="B22" s="196"/>
      <c r="C22" s="196">
        <f t="shared" ref="C22:O22" si="11">C21/1000000</f>
        <v>0</v>
      </c>
      <c r="D22" s="196">
        <f t="shared" si="11"/>
        <v>0</v>
      </c>
      <c r="E22" s="196">
        <f t="shared" si="11"/>
        <v>0.22239</v>
      </c>
      <c r="F22" s="196">
        <f t="shared" si="11"/>
        <v>0.952371</v>
      </c>
      <c r="G22" s="196">
        <f t="shared" si="11"/>
        <v>1.301139</v>
      </c>
      <c r="H22" s="196">
        <f t="shared" si="11"/>
        <v>1.090845</v>
      </c>
      <c r="I22" s="196">
        <f t="shared" si="11"/>
        <v>1.439298</v>
      </c>
      <c r="J22" s="196">
        <f t="shared" si="11"/>
        <v>1.756689165</v>
      </c>
      <c r="K22" s="196">
        <f t="shared" si="11"/>
        <v>1.684683</v>
      </c>
      <c r="L22" s="196">
        <f t="shared" si="11"/>
        <v>1.3452516</v>
      </c>
      <c r="M22" s="196">
        <f t="shared" si="11"/>
        <v>1.490884857</v>
      </c>
      <c r="N22" s="196">
        <f t="shared" si="11"/>
        <v>1.4100471</v>
      </c>
      <c r="O22" s="196">
        <f t="shared" si="11"/>
        <v>1.4625072</v>
      </c>
      <c r="P22" s="198" t="s">
        <v>391</v>
      </c>
      <c r="Q22" s="199"/>
      <c r="R22" s="199"/>
      <c r="S22" s="199"/>
      <c r="T22" s="199"/>
      <c r="U22" s="199"/>
      <c r="V22" s="199"/>
      <c r="W22" s="199"/>
      <c r="X22" s="199"/>
      <c r="Y22" s="199"/>
      <c r="Z22" s="199"/>
    </row>
    <row r="23" ht="12.75" customHeight="1">
      <c r="A23" s="196" t="s">
        <v>244</v>
      </c>
      <c r="B23" s="196"/>
      <c r="C23" s="196">
        <f t="shared" ref="C23:O23" si="12">C22*25</f>
        <v>0</v>
      </c>
      <c r="D23" s="196">
        <f t="shared" si="12"/>
        <v>0</v>
      </c>
      <c r="E23" s="196">
        <f t="shared" si="12"/>
        <v>5.55975</v>
      </c>
      <c r="F23" s="196">
        <f t="shared" si="12"/>
        <v>23.809275</v>
      </c>
      <c r="G23" s="196">
        <f t="shared" si="12"/>
        <v>32.528475</v>
      </c>
      <c r="H23" s="196">
        <f t="shared" si="12"/>
        <v>27.271125</v>
      </c>
      <c r="I23" s="196">
        <f t="shared" si="12"/>
        <v>35.98245</v>
      </c>
      <c r="J23" s="196">
        <f t="shared" si="12"/>
        <v>43.91722913</v>
      </c>
      <c r="K23" s="196">
        <f t="shared" si="12"/>
        <v>42.117075</v>
      </c>
      <c r="L23" s="196">
        <f t="shared" si="12"/>
        <v>33.63129</v>
      </c>
      <c r="M23" s="196">
        <f t="shared" si="12"/>
        <v>37.27212143</v>
      </c>
      <c r="N23" s="196">
        <f t="shared" si="12"/>
        <v>35.2511775</v>
      </c>
      <c r="O23" s="196">
        <f t="shared" si="12"/>
        <v>36.56268</v>
      </c>
      <c r="P23" s="198" t="s">
        <v>392</v>
      </c>
      <c r="Q23" s="199"/>
      <c r="R23" s="199"/>
      <c r="S23" s="199"/>
      <c r="T23" s="199"/>
      <c r="U23" s="199"/>
      <c r="V23" s="199"/>
      <c r="W23" s="199"/>
      <c r="X23" s="199"/>
      <c r="Y23" s="199"/>
      <c r="Z23" s="199"/>
    </row>
    <row r="24" ht="12.75" customHeight="1">
      <c r="A24" s="196" t="s">
        <v>245</v>
      </c>
      <c r="B24" s="196"/>
      <c r="C24" s="196">
        <f t="shared" ref="C24:O24" si="13">C18*63</f>
        <v>0</v>
      </c>
      <c r="D24" s="196">
        <f t="shared" si="13"/>
        <v>0</v>
      </c>
      <c r="E24" s="196">
        <f t="shared" si="13"/>
        <v>111195</v>
      </c>
      <c r="F24" s="196">
        <f t="shared" si="13"/>
        <v>476185.5</v>
      </c>
      <c r="G24" s="196">
        <f t="shared" si="13"/>
        <v>650569.5</v>
      </c>
      <c r="H24" s="196">
        <f t="shared" si="13"/>
        <v>545422.5</v>
      </c>
      <c r="I24" s="196">
        <f t="shared" si="13"/>
        <v>719649</v>
      </c>
      <c r="J24" s="196">
        <f t="shared" si="13"/>
        <v>878344.5825</v>
      </c>
      <c r="K24" s="196">
        <f t="shared" si="13"/>
        <v>842341.5</v>
      </c>
      <c r="L24" s="196">
        <f t="shared" si="13"/>
        <v>672625.8</v>
      </c>
      <c r="M24" s="196">
        <f t="shared" si="13"/>
        <v>745442.4285</v>
      </c>
      <c r="N24" s="196">
        <f t="shared" si="13"/>
        <v>705023.55</v>
      </c>
      <c r="O24" s="196">
        <f t="shared" si="13"/>
        <v>731253.6</v>
      </c>
      <c r="P24" s="198" t="s">
        <v>388</v>
      </c>
      <c r="Q24" s="201" t="s">
        <v>389</v>
      </c>
      <c r="R24" s="199"/>
      <c r="S24" s="199"/>
      <c r="T24" s="199"/>
      <c r="U24" s="199"/>
      <c r="V24" s="199"/>
      <c r="W24" s="199"/>
      <c r="X24" s="199"/>
      <c r="Y24" s="199"/>
      <c r="Z24" s="199"/>
    </row>
    <row r="25" ht="12.75" customHeight="1">
      <c r="A25" s="196" t="s">
        <v>246</v>
      </c>
      <c r="B25" s="196"/>
      <c r="C25" s="196">
        <f t="shared" ref="C25:O25" si="14">C24/1000000</f>
        <v>0</v>
      </c>
      <c r="D25" s="196">
        <f t="shared" si="14"/>
        <v>0</v>
      </c>
      <c r="E25" s="196">
        <f t="shared" si="14"/>
        <v>0.111195</v>
      </c>
      <c r="F25" s="196">
        <f t="shared" si="14"/>
        <v>0.4761855</v>
      </c>
      <c r="G25" s="196">
        <f t="shared" si="14"/>
        <v>0.6505695</v>
      </c>
      <c r="H25" s="196">
        <f t="shared" si="14"/>
        <v>0.5454225</v>
      </c>
      <c r="I25" s="196">
        <f t="shared" si="14"/>
        <v>0.719649</v>
      </c>
      <c r="J25" s="196">
        <f t="shared" si="14"/>
        <v>0.8783445825</v>
      </c>
      <c r="K25" s="196">
        <f t="shared" si="14"/>
        <v>0.8423415</v>
      </c>
      <c r="L25" s="196">
        <f t="shared" si="14"/>
        <v>0.6726258</v>
      </c>
      <c r="M25" s="196">
        <f t="shared" si="14"/>
        <v>0.7454424285</v>
      </c>
      <c r="N25" s="196">
        <f t="shared" si="14"/>
        <v>0.70502355</v>
      </c>
      <c r="O25" s="196">
        <f t="shared" si="14"/>
        <v>0.7312536</v>
      </c>
      <c r="P25" s="198" t="s">
        <v>391</v>
      </c>
      <c r="Q25" s="199"/>
      <c r="R25" s="199"/>
      <c r="S25" s="199"/>
      <c r="T25" s="199"/>
      <c r="U25" s="199"/>
      <c r="V25" s="199"/>
      <c r="W25" s="199"/>
      <c r="X25" s="199"/>
      <c r="Y25" s="199"/>
      <c r="Z25" s="199"/>
    </row>
    <row r="26" ht="12.75" customHeight="1">
      <c r="A26" s="196" t="s">
        <v>247</v>
      </c>
      <c r="B26" s="196"/>
      <c r="C26" s="196">
        <f t="shared" ref="C26:O26" si="15">C25*298</f>
        <v>0</v>
      </c>
      <c r="D26" s="196">
        <f t="shared" si="15"/>
        <v>0</v>
      </c>
      <c r="E26" s="196">
        <f t="shared" si="15"/>
        <v>33.13611</v>
      </c>
      <c r="F26" s="196">
        <f t="shared" si="15"/>
        <v>141.903279</v>
      </c>
      <c r="G26" s="196">
        <f t="shared" si="15"/>
        <v>193.869711</v>
      </c>
      <c r="H26" s="196">
        <f t="shared" si="15"/>
        <v>162.535905</v>
      </c>
      <c r="I26" s="196">
        <f t="shared" si="15"/>
        <v>214.455402</v>
      </c>
      <c r="J26" s="196">
        <f t="shared" si="15"/>
        <v>261.7466856</v>
      </c>
      <c r="K26" s="196">
        <f t="shared" si="15"/>
        <v>251.017767</v>
      </c>
      <c r="L26" s="196">
        <f t="shared" si="15"/>
        <v>200.4424884</v>
      </c>
      <c r="M26" s="196">
        <f t="shared" si="15"/>
        <v>222.1418437</v>
      </c>
      <c r="N26" s="196">
        <f t="shared" si="15"/>
        <v>210.0970179</v>
      </c>
      <c r="O26" s="196">
        <f t="shared" si="15"/>
        <v>217.9135728</v>
      </c>
      <c r="P26" s="198" t="s">
        <v>393</v>
      </c>
      <c r="Q26" s="199"/>
      <c r="R26" s="199"/>
      <c r="S26" s="199"/>
      <c r="T26" s="199"/>
      <c r="U26" s="199"/>
      <c r="V26" s="199"/>
      <c r="W26" s="199"/>
      <c r="X26" s="199"/>
      <c r="Y26" s="199"/>
      <c r="Z26" s="199"/>
    </row>
    <row r="27" ht="12.75" customHeight="1">
      <c r="A27" s="196" t="s">
        <v>248</v>
      </c>
      <c r="B27" s="196"/>
      <c r="C27" s="196">
        <f t="shared" ref="C27:N27" si="16">C20</f>
        <v>0</v>
      </c>
      <c r="D27" s="196">
        <f t="shared" si="16"/>
        <v>0</v>
      </c>
      <c r="E27" s="196">
        <f t="shared" si="16"/>
        <v>2894.6</v>
      </c>
      <c r="F27" s="196">
        <f t="shared" si="16"/>
        <v>12395.94</v>
      </c>
      <c r="G27" s="196">
        <f t="shared" si="16"/>
        <v>16935.46</v>
      </c>
      <c r="H27" s="196">
        <f t="shared" si="16"/>
        <v>14198.3</v>
      </c>
      <c r="I27" s="196">
        <f t="shared" si="16"/>
        <v>18733.72</v>
      </c>
      <c r="J27" s="196">
        <f t="shared" si="16"/>
        <v>22864.8431</v>
      </c>
      <c r="K27" s="196">
        <f t="shared" si="16"/>
        <v>21927.62</v>
      </c>
      <c r="L27" s="196">
        <f t="shared" si="16"/>
        <v>17509.624</v>
      </c>
      <c r="M27" s="196">
        <f t="shared" si="16"/>
        <v>19405.16798</v>
      </c>
      <c r="N27" s="196">
        <f t="shared" si="16"/>
        <v>18352.994</v>
      </c>
      <c r="O27" s="196"/>
      <c r="P27" s="198"/>
      <c r="Q27" s="199"/>
      <c r="R27" s="199"/>
      <c r="S27" s="199"/>
      <c r="T27" s="199"/>
      <c r="U27" s="199"/>
      <c r="V27" s="199"/>
      <c r="W27" s="199"/>
      <c r="X27" s="199"/>
      <c r="Y27" s="199"/>
      <c r="Z27" s="199"/>
    </row>
    <row r="28" ht="12.75" customHeight="1">
      <c r="A28" s="196" t="s">
        <v>249</v>
      </c>
      <c r="B28" s="196"/>
      <c r="C28" s="196">
        <f t="shared" ref="C28:N28" si="17">C23+C26</f>
        <v>0</v>
      </c>
      <c r="D28" s="196">
        <f t="shared" si="17"/>
        <v>0</v>
      </c>
      <c r="E28" s="196">
        <f t="shared" si="17"/>
        <v>38.69586</v>
      </c>
      <c r="F28" s="196">
        <f t="shared" si="17"/>
        <v>165.712554</v>
      </c>
      <c r="G28" s="196">
        <f t="shared" si="17"/>
        <v>226.398186</v>
      </c>
      <c r="H28" s="196">
        <f t="shared" si="17"/>
        <v>189.80703</v>
      </c>
      <c r="I28" s="196">
        <f t="shared" si="17"/>
        <v>250.437852</v>
      </c>
      <c r="J28" s="196">
        <f t="shared" si="17"/>
        <v>305.6639147</v>
      </c>
      <c r="K28" s="196">
        <f t="shared" si="17"/>
        <v>293.134842</v>
      </c>
      <c r="L28" s="196">
        <f t="shared" si="17"/>
        <v>234.0737784</v>
      </c>
      <c r="M28" s="196">
        <f t="shared" si="17"/>
        <v>259.4139651</v>
      </c>
      <c r="N28" s="196">
        <f t="shared" si="17"/>
        <v>245.3481954</v>
      </c>
      <c r="O28" s="196"/>
      <c r="P28" s="198"/>
      <c r="Q28" s="199"/>
      <c r="R28" s="199"/>
      <c r="S28" s="199"/>
      <c r="T28" s="199"/>
      <c r="U28" s="199"/>
      <c r="V28" s="199"/>
      <c r="W28" s="199"/>
      <c r="X28" s="199"/>
      <c r="Y28" s="199"/>
      <c r="Z28" s="199"/>
    </row>
    <row r="29" ht="12.75" customHeight="1">
      <c r="A29" s="196" t="s">
        <v>394</v>
      </c>
      <c r="B29" s="196"/>
      <c r="C29" s="196">
        <f t="shared" ref="C29:N29" si="18">C27+C28</f>
        <v>0</v>
      </c>
      <c r="D29" s="196">
        <f t="shared" si="18"/>
        <v>0</v>
      </c>
      <c r="E29" s="196">
        <f t="shared" si="18"/>
        <v>2933.29586</v>
      </c>
      <c r="F29" s="196">
        <f t="shared" si="18"/>
        <v>12561.65255</v>
      </c>
      <c r="G29" s="196">
        <f t="shared" si="18"/>
        <v>17161.85819</v>
      </c>
      <c r="H29" s="196">
        <f t="shared" si="18"/>
        <v>14388.10703</v>
      </c>
      <c r="I29" s="196">
        <f t="shared" si="18"/>
        <v>18984.15785</v>
      </c>
      <c r="J29" s="196">
        <f t="shared" si="18"/>
        <v>23170.50701</v>
      </c>
      <c r="K29" s="196">
        <f t="shared" si="18"/>
        <v>22220.75484</v>
      </c>
      <c r="L29" s="196">
        <f t="shared" si="18"/>
        <v>17743.69778</v>
      </c>
      <c r="M29" s="196">
        <f t="shared" si="18"/>
        <v>19664.58195</v>
      </c>
      <c r="N29" s="196">
        <f t="shared" si="18"/>
        <v>18598.3422</v>
      </c>
      <c r="O29" s="196">
        <f>O20+O23+O26</f>
        <v>19290.28425</v>
      </c>
      <c r="P29" s="198" t="s">
        <v>395</v>
      </c>
      <c r="Q29" s="199"/>
      <c r="R29" s="199"/>
      <c r="S29" s="199"/>
      <c r="T29" s="199"/>
      <c r="U29" s="199"/>
      <c r="V29" s="199"/>
      <c r="W29" s="199"/>
      <c r="X29" s="199"/>
      <c r="Y29" s="199"/>
      <c r="Z29" s="199"/>
    </row>
    <row r="30" ht="12.75" customHeight="1">
      <c r="A30" s="170"/>
      <c r="B30" s="171"/>
      <c r="C30" s="171"/>
      <c r="D30" s="171"/>
      <c r="E30" s="171"/>
      <c r="F30" s="171"/>
      <c r="G30" s="171"/>
      <c r="H30" s="171"/>
      <c r="I30" s="171"/>
      <c r="J30" s="171"/>
      <c r="K30" s="171"/>
      <c r="L30" s="171"/>
      <c r="M30" s="171"/>
      <c r="N30" s="171"/>
      <c r="O30" s="171"/>
      <c r="P30" s="172"/>
      <c r="Q30" s="173"/>
      <c r="R30" s="173"/>
      <c r="S30" s="173"/>
      <c r="T30" s="173"/>
      <c r="U30" s="173"/>
      <c r="V30" s="173"/>
      <c r="W30" s="173"/>
      <c r="X30" s="173"/>
      <c r="Y30" s="173"/>
      <c r="Z30" s="173"/>
    </row>
    <row r="31" ht="70.5" customHeight="1">
      <c r="A31" s="191" t="s">
        <v>396</v>
      </c>
      <c r="B31" s="191"/>
      <c r="C31" s="192"/>
      <c r="D31" s="192"/>
      <c r="E31" s="192"/>
      <c r="F31" s="192"/>
      <c r="G31" s="192"/>
      <c r="H31" s="192"/>
      <c r="I31" s="192"/>
      <c r="J31" s="192"/>
      <c r="K31" s="192"/>
      <c r="L31" s="192"/>
      <c r="M31" s="192"/>
      <c r="N31" s="192"/>
      <c r="O31" s="192"/>
      <c r="P31" s="194"/>
      <c r="Q31" s="202" t="s">
        <v>397</v>
      </c>
      <c r="R31" s="195"/>
      <c r="S31" s="195"/>
      <c r="T31" s="195"/>
      <c r="U31" s="195"/>
      <c r="V31" s="195"/>
      <c r="W31" s="195"/>
      <c r="X31" s="195"/>
      <c r="Y31" s="195"/>
      <c r="Z31" s="195"/>
    </row>
    <row r="32" ht="12.75" customHeight="1">
      <c r="A32" s="196" t="s">
        <v>398</v>
      </c>
      <c r="B32" s="196"/>
      <c r="C32" s="196">
        <f t="shared" ref="C32:O32" si="19">C14</f>
        <v>0</v>
      </c>
      <c r="D32" s="196">
        <f t="shared" si="19"/>
        <v>0</v>
      </c>
      <c r="E32" s="196">
        <f t="shared" si="19"/>
        <v>107</v>
      </c>
      <c r="F32" s="196">
        <f t="shared" si="19"/>
        <v>458</v>
      </c>
      <c r="G32" s="196">
        <f t="shared" si="19"/>
        <v>626</v>
      </c>
      <c r="H32" s="196">
        <f t="shared" si="19"/>
        <v>525</v>
      </c>
      <c r="I32" s="196">
        <f t="shared" si="19"/>
        <v>692</v>
      </c>
      <c r="J32" s="196">
        <f t="shared" si="19"/>
        <v>845</v>
      </c>
      <c r="K32" s="196">
        <f t="shared" si="19"/>
        <v>810</v>
      </c>
      <c r="L32" s="196">
        <f t="shared" si="19"/>
        <v>647</v>
      </c>
      <c r="M32" s="196">
        <f t="shared" si="19"/>
        <v>717</v>
      </c>
      <c r="N32" s="196">
        <f t="shared" si="19"/>
        <v>678</v>
      </c>
      <c r="O32" s="196">
        <f t="shared" si="19"/>
        <v>684</v>
      </c>
      <c r="P32" s="198"/>
      <c r="Q32" s="199"/>
      <c r="R32" s="199"/>
      <c r="S32" s="199"/>
      <c r="T32" s="199"/>
      <c r="U32" s="199"/>
      <c r="V32" s="199"/>
      <c r="W32" s="199"/>
      <c r="X32" s="199"/>
      <c r="Y32" s="199"/>
      <c r="Z32" s="199"/>
    </row>
    <row r="33" ht="15.75" customHeight="1">
      <c r="A33" s="203" t="s">
        <v>399</v>
      </c>
      <c r="B33" s="203"/>
      <c r="C33" s="196"/>
      <c r="D33" s="196"/>
      <c r="E33" s="196"/>
      <c r="F33" s="196"/>
      <c r="G33" s="196"/>
      <c r="H33" s="196"/>
      <c r="I33" s="196"/>
      <c r="J33" s="196"/>
      <c r="K33" s="196"/>
      <c r="L33" s="196"/>
      <c r="M33" s="196"/>
      <c r="N33" s="196"/>
      <c r="O33" s="196"/>
      <c r="P33" s="198"/>
      <c r="Q33" s="199"/>
      <c r="R33" s="199"/>
      <c r="S33" s="199"/>
      <c r="T33" s="199"/>
      <c r="U33" s="199"/>
      <c r="V33" s="199"/>
      <c r="W33" s="199"/>
      <c r="X33" s="199"/>
      <c r="Y33" s="199"/>
      <c r="Z33" s="199"/>
    </row>
    <row r="34" ht="12.75" customHeight="1">
      <c r="A34" s="196" t="s">
        <v>400</v>
      </c>
      <c r="B34" s="196"/>
      <c r="C34" s="196">
        <v>5.0</v>
      </c>
      <c r="D34" s="196">
        <v>5.0</v>
      </c>
      <c r="E34" s="196">
        <v>5.0</v>
      </c>
      <c r="F34" s="196">
        <v>5.0</v>
      </c>
      <c r="G34" s="196">
        <v>5.0</v>
      </c>
      <c r="H34" s="196">
        <v>5.0</v>
      </c>
      <c r="I34" s="196">
        <v>5.0</v>
      </c>
      <c r="J34" s="196">
        <v>5.0</v>
      </c>
      <c r="K34" s="196">
        <v>5.0</v>
      </c>
      <c r="L34" s="196">
        <v>5.0</v>
      </c>
      <c r="M34" s="196">
        <v>5.0</v>
      </c>
      <c r="N34" s="196">
        <v>5.0</v>
      </c>
      <c r="O34" s="196">
        <v>5.0</v>
      </c>
      <c r="P34" s="198" t="s">
        <v>401</v>
      </c>
      <c r="Q34" s="199"/>
      <c r="R34" s="199"/>
      <c r="S34" s="199"/>
      <c r="T34" s="199"/>
      <c r="U34" s="199"/>
      <c r="V34" s="199"/>
      <c r="W34" s="199"/>
      <c r="X34" s="199"/>
      <c r="Y34" s="199"/>
      <c r="Z34" s="199"/>
    </row>
    <row r="35" ht="12.75" customHeight="1">
      <c r="A35" s="196" t="s">
        <v>402</v>
      </c>
      <c r="B35" s="196"/>
      <c r="C35" s="196">
        <v>5.0</v>
      </c>
      <c r="D35" s="196">
        <v>5.0</v>
      </c>
      <c r="E35" s="196">
        <v>5.0</v>
      </c>
      <c r="F35" s="196">
        <v>5.0</v>
      </c>
      <c r="G35" s="196">
        <v>5.0</v>
      </c>
      <c r="H35" s="196">
        <v>5.0</v>
      </c>
      <c r="I35" s="196">
        <v>5.0</v>
      </c>
      <c r="J35" s="196">
        <v>5.0</v>
      </c>
      <c r="K35" s="196">
        <v>5.0</v>
      </c>
      <c r="L35" s="196">
        <v>5.0</v>
      </c>
      <c r="M35" s="196">
        <v>5.0</v>
      </c>
      <c r="N35" s="196">
        <v>5.0</v>
      </c>
      <c r="O35" s="196">
        <v>5.0</v>
      </c>
      <c r="P35" s="198" t="s">
        <v>401</v>
      </c>
      <c r="Q35" s="199"/>
      <c r="R35" s="199"/>
      <c r="S35" s="199"/>
      <c r="T35" s="199"/>
      <c r="U35" s="199"/>
      <c r="V35" s="199"/>
      <c r="W35" s="199"/>
      <c r="X35" s="199"/>
      <c r="Y35" s="199"/>
      <c r="Z35" s="199"/>
    </row>
    <row r="36" ht="15.75" customHeight="1">
      <c r="A36" s="203" t="s">
        <v>403</v>
      </c>
      <c r="B36" s="203"/>
      <c r="C36" s="196"/>
      <c r="D36" s="196"/>
      <c r="E36" s="196"/>
      <c r="F36" s="196"/>
      <c r="G36" s="196"/>
      <c r="H36" s="196"/>
      <c r="I36" s="196"/>
      <c r="J36" s="196"/>
      <c r="K36" s="196"/>
      <c r="L36" s="196"/>
      <c r="M36" s="196"/>
      <c r="N36" s="196"/>
      <c r="O36" s="196"/>
      <c r="P36" s="198"/>
      <c r="Q36" s="199"/>
      <c r="R36" s="199"/>
      <c r="S36" s="199"/>
      <c r="T36" s="199"/>
      <c r="U36" s="199"/>
      <c r="V36" s="199"/>
      <c r="W36" s="199"/>
      <c r="X36" s="199"/>
      <c r="Y36" s="199"/>
      <c r="Z36" s="199"/>
    </row>
    <row r="37" ht="12.75" customHeight="1">
      <c r="A37" s="196" t="s">
        <v>404</v>
      </c>
      <c r="B37" s="196"/>
      <c r="C37" s="196">
        <v>10.0</v>
      </c>
      <c r="D37" s="196">
        <v>10.0</v>
      </c>
      <c r="E37" s="196">
        <v>10.0</v>
      </c>
      <c r="F37" s="196">
        <v>10.0</v>
      </c>
      <c r="G37" s="196">
        <v>10.0</v>
      </c>
      <c r="H37" s="196">
        <v>10.0</v>
      </c>
      <c r="I37" s="196">
        <v>10.0</v>
      </c>
      <c r="J37" s="196">
        <v>10.0</v>
      </c>
      <c r="K37" s="196">
        <v>10.0</v>
      </c>
      <c r="L37" s="196">
        <v>10.0</v>
      </c>
      <c r="M37" s="196">
        <v>10.0</v>
      </c>
      <c r="N37" s="196">
        <v>10.0</v>
      </c>
      <c r="O37" s="196">
        <v>10.0</v>
      </c>
      <c r="P37" s="198" t="s">
        <v>401</v>
      </c>
      <c r="Q37" s="199"/>
      <c r="R37" s="199"/>
      <c r="S37" s="199"/>
      <c r="T37" s="199"/>
      <c r="U37" s="199"/>
      <c r="V37" s="199"/>
      <c r="W37" s="199"/>
      <c r="X37" s="199"/>
      <c r="Y37" s="199"/>
      <c r="Z37" s="199"/>
    </row>
    <row r="38" ht="12.75" customHeight="1">
      <c r="A38" s="196" t="s">
        <v>405</v>
      </c>
      <c r="B38" s="196"/>
      <c r="C38" s="196">
        <v>5.0</v>
      </c>
      <c r="D38" s="196">
        <v>5.0</v>
      </c>
      <c r="E38" s="196">
        <v>5.0</v>
      </c>
      <c r="F38" s="196">
        <v>5.0</v>
      </c>
      <c r="G38" s="196">
        <v>5.0</v>
      </c>
      <c r="H38" s="196">
        <v>5.0</v>
      </c>
      <c r="I38" s="196">
        <v>5.0</v>
      </c>
      <c r="J38" s="196">
        <v>5.0</v>
      </c>
      <c r="K38" s="196">
        <v>5.0</v>
      </c>
      <c r="L38" s="196">
        <v>5.0</v>
      </c>
      <c r="M38" s="196">
        <v>5.0</v>
      </c>
      <c r="N38" s="196">
        <v>5.0</v>
      </c>
      <c r="O38" s="196">
        <v>5.0</v>
      </c>
      <c r="P38" s="198" t="s">
        <v>401</v>
      </c>
      <c r="Q38" s="199"/>
      <c r="R38" s="199"/>
      <c r="S38" s="199"/>
      <c r="T38" s="199"/>
      <c r="U38" s="199"/>
      <c r="V38" s="199"/>
      <c r="W38" s="199"/>
      <c r="X38" s="199"/>
      <c r="Y38" s="199"/>
      <c r="Z38" s="199"/>
    </row>
    <row r="39" ht="15.75" customHeight="1">
      <c r="A39" s="203" t="s">
        <v>406</v>
      </c>
      <c r="B39" s="203"/>
      <c r="C39" s="196"/>
      <c r="D39" s="196"/>
      <c r="E39" s="196"/>
      <c r="F39" s="196"/>
      <c r="G39" s="196"/>
      <c r="H39" s="196"/>
      <c r="I39" s="196"/>
      <c r="J39" s="196"/>
      <c r="K39" s="196"/>
      <c r="L39" s="196"/>
      <c r="M39" s="196"/>
      <c r="N39" s="196"/>
      <c r="O39" s="196"/>
      <c r="P39" s="198"/>
      <c r="Q39" s="199"/>
      <c r="R39" s="199"/>
      <c r="S39" s="199"/>
      <c r="T39" s="199"/>
      <c r="U39" s="199"/>
      <c r="V39" s="199"/>
      <c r="W39" s="199"/>
      <c r="X39" s="199"/>
      <c r="Y39" s="199"/>
      <c r="Z39" s="199"/>
    </row>
    <row r="40" ht="12.75" customHeight="1">
      <c r="A40" s="196" t="s">
        <v>407</v>
      </c>
      <c r="B40" s="196"/>
      <c r="C40" s="196">
        <v>5.0</v>
      </c>
      <c r="D40" s="196">
        <v>5.0</v>
      </c>
      <c r="E40" s="196">
        <v>5.0</v>
      </c>
      <c r="F40" s="196">
        <v>5.0</v>
      </c>
      <c r="G40" s="196">
        <v>5.0</v>
      </c>
      <c r="H40" s="196">
        <v>5.0</v>
      </c>
      <c r="I40" s="196">
        <v>5.0</v>
      </c>
      <c r="J40" s="196">
        <v>5.0</v>
      </c>
      <c r="K40" s="196">
        <v>5.0</v>
      </c>
      <c r="L40" s="196">
        <v>5.0</v>
      </c>
      <c r="M40" s="196">
        <v>5.0</v>
      </c>
      <c r="N40" s="196">
        <v>5.0</v>
      </c>
      <c r="O40" s="196">
        <v>5.0</v>
      </c>
      <c r="P40" s="198" t="s">
        <v>401</v>
      </c>
      <c r="Q40" s="199"/>
      <c r="R40" s="199"/>
      <c r="S40" s="199"/>
      <c r="T40" s="199"/>
      <c r="U40" s="199"/>
      <c r="V40" s="199"/>
      <c r="W40" s="199"/>
      <c r="X40" s="199"/>
      <c r="Y40" s="199"/>
      <c r="Z40" s="199"/>
    </row>
    <row r="41" ht="12.75" customHeight="1">
      <c r="A41" s="196" t="s">
        <v>408</v>
      </c>
      <c r="B41" s="196"/>
      <c r="C41" s="196">
        <f t="shared" ref="C41:O41" si="20">C34+C35+C37+C38+C40</f>
        <v>30</v>
      </c>
      <c r="D41" s="196">
        <f t="shared" si="20"/>
        <v>30</v>
      </c>
      <c r="E41" s="196">
        <f t="shared" si="20"/>
        <v>30</v>
      </c>
      <c r="F41" s="196">
        <f t="shared" si="20"/>
        <v>30</v>
      </c>
      <c r="G41" s="196">
        <f t="shared" si="20"/>
        <v>30</v>
      </c>
      <c r="H41" s="196">
        <f t="shared" si="20"/>
        <v>30</v>
      </c>
      <c r="I41" s="196">
        <f t="shared" si="20"/>
        <v>30</v>
      </c>
      <c r="J41" s="196">
        <f t="shared" si="20"/>
        <v>30</v>
      </c>
      <c r="K41" s="196">
        <f t="shared" si="20"/>
        <v>30</v>
      </c>
      <c r="L41" s="196">
        <f t="shared" si="20"/>
        <v>30</v>
      </c>
      <c r="M41" s="196">
        <f t="shared" si="20"/>
        <v>30</v>
      </c>
      <c r="N41" s="196">
        <f t="shared" si="20"/>
        <v>30</v>
      </c>
      <c r="O41" s="196">
        <f t="shared" si="20"/>
        <v>30</v>
      </c>
      <c r="P41" s="198"/>
      <c r="Q41" s="199"/>
      <c r="R41" s="199"/>
      <c r="S41" s="199"/>
      <c r="T41" s="199"/>
      <c r="U41" s="199"/>
      <c r="V41" s="199"/>
      <c r="W41" s="199"/>
      <c r="X41" s="199"/>
      <c r="Y41" s="199"/>
      <c r="Z41" s="199"/>
    </row>
    <row r="42" ht="12.75" customHeight="1">
      <c r="A42" s="196" t="s">
        <v>409</v>
      </c>
      <c r="B42" s="196"/>
      <c r="C42" s="196">
        <f t="shared" ref="C42:O42" si="21">C41*C32</f>
        <v>0</v>
      </c>
      <c r="D42" s="196">
        <f t="shared" si="21"/>
        <v>0</v>
      </c>
      <c r="E42" s="196">
        <f t="shared" si="21"/>
        <v>3210</v>
      </c>
      <c r="F42" s="196">
        <f t="shared" si="21"/>
        <v>13740</v>
      </c>
      <c r="G42" s="196">
        <f t="shared" si="21"/>
        <v>18780</v>
      </c>
      <c r="H42" s="196">
        <f t="shared" si="21"/>
        <v>15750</v>
      </c>
      <c r="I42" s="196">
        <f t="shared" si="21"/>
        <v>20760</v>
      </c>
      <c r="J42" s="196">
        <f t="shared" si="21"/>
        <v>25350</v>
      </c>
      <c r="K42" s="196">
        <f t="shared" si="21"/>
        <v>24300</v>
      </c>
      <c r="L42" s="196">
        <f t="shared" si="21"/>
        <v>19410</v>
      </c>
      <c r="M42" s="196">
        <f t="shared" si="21"/>
        <v>21510</v>
      </c>
      <c r="N42" s="196">
        <f t="shared" si="21"/>
        <v>20340</v>
      </c>
      <c r="O42" s="196">
        <f t="shared" si="21"/>
        <v>20520</v>
      </c>
      <c r="P42" s="198"/>
      <c r="Q42" s="199"/>
      <c r="R42" s="199"/>
      <c r="S42" s="199"/>
      <c r="T42" s="199"/>
      <c r="U42" s="199"/>
      <c r="V42" s="199"/>
      <c r="W42" s="199"/>
      <c r="X42" s="199"/>
      <c r="Y42" s="199"/>
      <c r="Z42" s="199"/>
    </row>
    <row r="43" ht="12.75" customHeight="1">
      <c r="A43" s="196" t="s">
        <v>410</v>
      </c>
      <c r="B43" s="196"/>
      <c r="C43" s="196">
        <f t="shared" ref="C43:O43" si="22">C42*0.01018</f>
        <v>0</v>
      </c>
      <c r="D43" s="196">
        <f t="shared" si="22"/>
        <v>0</v>
      </c>
      <c r="E43" s="196">
        <f t="shared" si="22"/>
        <v>32.6778</v>
      </c>
      <c r="F43" s="196">
        <f t="shared" si="22"/>
        <v>139.8732</v>
      </c>
      <c r="G43" s="196">
        <f t="shared" si="22"/>
        <v>191.1804</v>
      </c>
      <c r="H43" s="196">
        <f t="shared" si="22"/>
        <v>160.335</v>
      </c>
      <c r="I43" s="196">
        <f t="shared" si="22"/>
        <v>211.3368</v>
      </c>
      <c r="J43" s="196">
        <f t="shared" si="22"/>
        <v>258.063</v>
      </c>
      <c r="K43" s="196">
        <f t="shared" si="22"/>
        <v>247.374</v>
      </c>
      <c r="L43" s="196">
        <f t="shared" si="22"/>
        <v>197.5938</v>
      </c>
      <c r="M43" s="196">
        <f t="shared" si="22"/>
        <v>218.9718</v>
      </c>
      <c r="N43" s="196">
        <f t="shared" si="22"/>
        <v>207.0612</v>
      </c>
      <c r="O43" s="196">
        <f t="shared" si="22"/>
        <v>208.8936</v>
      </c>
      <c r="P43" s="198"/>
      <c r="Q43" s="204" t="s">
        <v>411</v>
      </c>
      <c r="R43" s="199"/>
      <c r="S43" s="199"/>
      <c r="T43" s="199"/>
      <c r="U43" s="199"/>
      <c r="V43" s="199"/>
      <c r="W43" s="199"/>
      <c r="X43" s="199"/>
      <c r="Y43" s="199"/>
      <c r="Z43" s="199"/>
    </row>
    <row r="44" ht="12.75" customHeight="1">
      <c r="A44" s="196" t="s">
        <v>412</v>
      </c>
      <c r="B44" s="196"/>
      <c r="C44" s="196">
        <f t="shared" ref="C44:O44" si="23">C42*0.000001385</f>
        <v>0</v>
      </c>
      <c r="D44" s="196">
        <f t="shared" si="23"/>
        <v>0</v>
      </c>
      <c r="E44" s="196">
        <f t="shared" si="23"/>
        <v>0.00444585</v>
      </c>
      <c r="F44" s="196">
        <f t="shared" si="23"/>
        <v>0.0190299</v>
      </c>
      <c r="G44" s="196">
        <f t="shared" si="23"/>
        <v>0.0260103</v>
      </c>
      <c r="H44" s="196">
        <f t="shared" si="23"/>
        <v>0.02181375</v>
      </c>
      <c r="I44" s="196">
        <f t="shared" si="23"/>
        <v>0.0287526</v>
      </c>
      <c r="J44" s="196">
        <f t="shared" si="23"/>
        <v>0.03510975</v>
      </c>
      <c r="K44" s="196">
        <f t="shared" si="23"/>
        <v>0.0336555</v>
      </c>
      <c r="L44" s="196">
        <f t="shared" si="23"/>
        <v>0.02688285</v>
      </c>
      <c r="M44" s="196">
        <f t="shared" si="23"/>
        <v>0.02979135</v>
      </c>
      <c r="N44" s="196">
        <f t="shared" si="23"/>
        <v>0.0281709</v>
      </c>
      <c r="O44" s="196">
        <f t="shared" si="23"/>
        <v>0.0284202</v>
      </c>
      <c r="P44" s="198"/>
      <c r="Q44" s="199" t="s">
        <v>413</v>
      </c>
      <c r="R44" s="199"/>
      <c r="S44" s="199"/>
      <c r="T44" s="199"/>
      <c r="U44" s="199"/>
      <c r="V44" s="199"/>
      <c r="W44" s="199"/>
      <c r="X44" s="199"/>
      <c r="Y44" s="199"/>
      <c r="Z44" s="199"/>
    </row>
    <row r="45" ht="12.75" customHeight="1">
      <c r="A45" s="196" t="s">
        <v>414</v>
      </c>
      <c r="B45" s="196"/>
      <c r="C45" s="196">
        <f t="shared" ref="C45:O45" si="24">C44*25</f>
        <v>0</v>
      </c>
      <c r="D45" s="196">
        <f t="shared" si="24"/>
        <v>0</v>
      </c>
      <c r="E45" s="196">
        <f t="shared" si="24"/>
        <v>0.11114625</v>
      </c>
      <c r="F45" s="196">
        <f t="shared" si="24"/>
        <v>0.4757475</v>
      </c>
      <c r="G45" s="196">
        <f t="shared" si="24"/>
        <v>0.6502575</v>
      </c>
      <c r="H45" s="196">
        <f t="shared" si="24"/>
        <v>0.54534375</v>
      </c>
      <c r="I45" s="196">
        <f t="shared" si="24"/>
        <v>0.718815</v>
      </c>
      <c r="J45" s="196">
        <f t="shared" si="24"/>
        <v>0.87774375</v>
      </c>
      <c r="K45" s="196">
        <f t="shared" si="24"/>
        <v>0.8413875</v>
      </c>
      <c r="L45" s="196">
        <f t="shared" si="24"/>
        <v>0.67207125</v>
      </c>
      <c r="M45" s="196">
        <f t="shared" si="24"/>
        <v>0.74478375</v>
      </c>
      <c r="N45" s="196">
        <f t="shared" si="24"/>
        <v>0.7042725</v>
      </c>
      <c r="O45" s="196">
        <f t="shared" si="24"/>
        <v>0.710505</v>
      </c>
      <c r="P45" s="198"/>
      <c r="Q45" s="199"/>
      <c r="R45" s="199"/>
      <c r="S45" s="199"/>
      <c r="T45" s="199"/>
      <c r="U45" s="199"/>
      <c r="V45" s="199"/>
      <c r="W45" s="199"/>
      <c r="X45" s="199"/>
      <c r="Y45" s="199"/>
      <c r="Z45" s="199"/>
    </row>
    <row r="46" ht="12.75" customHeight="1">
      <c r="A46" s="196" t="s">
        <v>415</v>
      </c>
      <c r="B46" s="196"/>
      <c r="C46" s="196">
        <f t="shared" ref="C46:N46" si="25">C43*0.00000008563</f>
        <v>0</v>
      </c>
      <c r="D46" s="196">
        <f t="shared" si="25"/>
        <v>0</v>
      </c>
      <c r="E46" s="196">
        <f t="shared" si="25"/>
        <v>0.000002798200014</v>
      </c>
      <c r="F46" s="196">
        <f t="shared" si="25"/>
        <v>0.00001197734212</v>
      </c>
      <c r="G46" s="196">
        <f t="shared" si="25"/>
        <v>0.00001637077765</v>
      </c>
      <c r="H46" s="196">
        <f t="shared" si="25"/>
        <v>0.00001372948605</v>
      </c>
      <c r="I46" s="196">
        <f t="shared" si="25"/>
        <v>0.00001809677018</v>
      </c>
      <c r="J46" s="196">
        <f t="shared" si="25"/>
        <v>0.00002209793469</v>
      </c>
      <c r="K46" s="196">
        <f t="shared" si="25"/>
        <v>0.00002118263562</v>
      </c>
      <c r="L46" s="196">
        <f t="shared" si="25"/>
        <v>0.00001691995709</v>
      </c>
      <c r="M46" s="196">
        <f t="shared" si="25"/>
        <v>0.00001875055523</v>
      </c>
      <c r="N46" s="196">
        <f t="shared" si="25"/>
        <v>0.00001773065056</v>
      </c>
      <c r="O46" s="196">
        <v>8.563E-8</v>
      </c>
      <c r="P46" s="198"/>
      <c r="Q46" s="199" t="s">
        <v>416</v>
      </c>
      <c r="R46" s="199"/>
      <c r="S46" s="199"/>
      <c r="T46" s="199"/>
      <c r="U46" s="199"/>
      <c r="V46" s="199"/>
      <c r="W46" s="199"/>
      <c r="X46" s="199"/>
      <c r="Y46" s="199"/>
      <c r="Z46" s="199"/>
    </row>
    <row r="47" ht="12.75" customHeight="1">
      <c r="A47" s="196" t="s">
        <v>417</v>
      </c>
      <c r="B47" s="196"/>
      <c r="C47" s="196">
        <f t="shared" ref="C47:O47" si="26">C46*298</f>
        <v>0</v>
      </c>
      <c r="D47" s="196">
        <f t="shared" si="26"/>
        <v>0</v>
      </c>
      <c r="E47" s="196">
        <f t="shared" si="26"/>
        <v>0.0008338636042</v>
      </c>
      <c r="F47" s="196">
        <f t="shared" si="26"/>
        <v>0.003569247951</v>
      </c>
      <c r="G47" s="196">
        <f t="shared" si="26"/>
        <v>0.00487849174</v>
      </c>
      <c r="H47" s="196">
        <f t="shared" si="26"/>
        <v>0.004091386843</v>
      </c>
      <c r="I47" s="196">
        <f t="shared" si="26"/>
        <v>0.005392837515</v>
      </c>
      <c r="J47" s="196">
        <f t="shared" si="26"/>
        <v>0.006585184538</v>
      </c>
      <c r="K47" s="196">
        <f t="shared" si="26"/>
        <v>0.006312425415</v>
      </c>
      <c r="L47" s="196">
        <f t="shared" si="26"/>
        <v>0.005042147214</v>
      </c>
      <c r="M47" s="196">
        <f t="shared" si="26"/>
        <v>0.00558766546</v>
      </c>
      <c r="N47" s="196">
        <f t="shared" si="26"/>
        <v>0.005283733866</v>
      </c>
      <c r="O47" s="196">
        <f t="shared" si="26"/>
        <v>0.00002551774</v>
      </c>
      <c r="P47" s="198"/>
      <c r="Q47" s="199"/>
      <c r="R47" s="199"/>
      <c r="S47" s="199"/>
      <c r="T47" s="199"/>
      <c r="U47" s="199"/>
      <c r="V47" s="199"/>
      <c r="W47" s="199"/>
      <c r="X47" s="199"/>
      <c r="Y47" s="199"/>
      <c r="Z47" s="199"/>
    </row>
    <row r="48" ht="12.75" customHeight="1">
      <c r="A48" s="196" t="s">
        <v>394</v>
      </c>
      <c r="B48" s="196"/>
      <c r="C48" s="196">
        <f t="shared" ref="C48:O48" si="27">C43+C45+C47</f>
        <v>0</v>
      </c>
      <c r="D48" s="196">
        <f t="shared" si="27"/>
        <v>0</v>
      </c>
      <c r="E48" s="196">
        <f t="shared" si="27"/>
        <v>32.78978011</v>
      </c>
      <c r="F48" s="196">
        <f t="shared" si="27"/>
        <v>140.3525167</v>
      </c>
      <c r="G48" s="196">
        <f t="shared" si="27"/>
        <v>191.835536</v>
      </c>
      <c r="H48" s="196">
        <f t="shared" si="27"/>
        <v>160.8844351</v>
      </c>
      <c r="I48" s="196">
        <f t="shared" si="27"/>
        <v>212.0610078</v>
      </c>
      <c r="J48" s="196">
        <f t="shared" si="27"/>
        <v>258.9473289</v>
      </c>
      <c r="K48" s="196">
        <f t="shared" si="27"/>
        <v>248.2216999</v>
      </c>
      <c r="L48" s="196">
        <f t="shared" si="27"/>
        <v>198.2709134</v>
      </c>
      <c r="M48" s="196">
        <f t="shared" si="27"/>
        <v>219.7221714</v>
      </c>
      <c r="N48" s="196">
        <f t="shared" si="27"/>
        <v>207.7707562</v>
      </c>
      <c r="O48" s="196">
        <f t="shared" si="27"/>
        <v>209.6041305</v>
      </c>
      <c r="P48" s="198"/>
      <c r="Q48" s="199"/>
      <c r="R48" s="199"/>
      <c r="S48" s="199"/>
      <c r="T48" s="199"/>
      <c r="U48" s="199"/>
      <c r="V48" s="199"/>
      <c r="W48" s="199"/>
      <c r="X48" s="199"/>
      <c r="Y48" s="199"/>
      <c r="Z48" s="199"/>
    </row>
    <row r="49" ht="12.75" customHeight="1">
      <c r="A49" s="170"/>
      <c r="B49" s="171"/>
      <c r="C49" s="171"/>
      <c r="D49" s="171"/>
      <c r="E49" s="171"/>
      <c r="F49" s="171"/>
      <c r="G49" s="171"/>
      <c r="H49" s="171"/>
      <c r="I49" s="171"/>
      <c r="J49" s="171"/>
      <c r="K49" s="171"/>
      <c r="L49" s="171"/>
      <c r="M49" s="171"/>
      <c r="N49" s="171"/>
      <c r="O49" s="171"/>
      <c r="P49" s="172"/>
      <c r="Q49" s="173"/>
      <c r="R49" s="173"/>
      <c r="S49" s="173"/>
      <c r="T49" s="173"/>
      <c r="U49" s="173"/>
      <c r="V49" s="173"/>
      <c r="W49" s="173"/>
      <c r="X49" s="173"/>
      <c r="Y49" s="173"/>
      <c r="Z49" s="173"/>
    </row>
    <row r="50" ht="15.75" customHeight="1">
      <c r="A50" s="191" t="s">
        <v>418</v>
      </c>
      <c r="B50" s="191"/>
      <c r="C50" s="192"/>
      <c r="D50" s="192"/>
      <c r="E50" s="192"/>
      <c r="F50" s="192"/>
      <c r="G50" s="192"/>
      <c r="H50" s="192"/>
      <c r="I50" s="192"/>
      <c r="J50" s="192"/>
      <c r="K50" s="192"/>
      <c r="L50" s="192"/>
      <c r="M50" s="192"/>
      <c r="N50" s="192"/>
      <c r="O50" s="192"/>
      <c r="P50" s="194"/>
      <c r="Q50" s="195"/>
      <c r="R50" s="195"/>
      <c r="S50" s="195"/>
      <c r="T50" s="195"/>
      <c r="U50" s="195"/>
      <c r="V50" s="195"/>
      <c r="W50" s="195"/>
      <c r="X50" s="195"/>
      <c r="Y50" s="195"/>
      <c r="Z50" s="195"/>
    </row>
    <row r="51" ht="12.75" customHeight="1">
      <c r="A51" s="196" t="s">
        <v>419</v>
      </c>
      <c r="B51" s="196"/>
      <c r="C51" s="196">
        <f t="shared" ref="C51:O51" si="28">C13</f>
        <v>0</v>
      </c>
      <c r="D51" s="196">
        <f t="shared" si="28"/>
        <v>0</v>
      </c>
      <c r="E51" s="196">
        <f t="shared" si="28"/>
        <v>3209.090909</v>
      </c>
      <c r="F51" s="196">
        <f t="shared" si="28"/>
        <v>13742.72727</v>
      </c>
      <c r="G51" s="196">
        <f t="shared" si="28"/>
        <v>18775.45455</v>
      </c>
      <c r="H51" s="196">
        <f t="shared" si="28"/>
        <v>15740.90909</v>
      </c>
      <c r="I51" s="196">
        <f t="shared" si="28"/>
        <v>20769.09091</v>
      </c>
      <c r="J51" s="196">
        <f t="shared" si="28"/>
        <v>25349.05</v>
      </c>
      <c r="K51" s="196">
        <f t="shared" si="28"/>
        <v>24310</v>
      </c>
      <c r="L51" s="196">
        <f t="shared" si="28"/>
        <v>19412</v>
      </c>
      <c r="M51" s="196">
        <f t="shared" si="28"/>
        <v>21513.49</v>
      </c>
      <c r="N51" s="196">
        <f t="shared" si="28"/>
        <v>20347</v>
      </c>
      <c r="O51" s="196">
        <f t="shared" si="28"/>
        <v>21104</v>
      </c>
      <c r="P51" s="198"/>
      <c r="Q51" s="199"/>
      <c r="R51" s="199"/>
      <c r="S51" s="199"/>
      <c r="T51" s="199"/>
      <c r="U51" s="199"/>
      <c r="V51" s="199"/>
      <c r="W51" s="199"/>
      <c r="X51" s="199"/>
      <c r="Y51" s="199"/>
      <c r="Z51" s="199"/>
    </row>
    <row r="52" ht="12.75" customHeight="1">
      <c r="A52" s="196" t="s">
        <v>420</v>
      </c>
      <c r="B52" s="196"/>
      <c r="C52" s="196">
        <v>1046148.0</v>
      </c>
      <c r="D52" s="196">
        <v>1046148.0</v>
      </c>
      <c r="E52" s="196">
        <v>1046148.0</v>
      </c>
      <c r="F52" s="196">
        <v>1046148.0</v>
      </c>
      <c r="G52" s="196">
        <v>1046148.0</v>
      </c>
      <c r="H52" s="196">
        <v>1046148.0</v>
      </c>
      <c r="I52" s="196">
        <v>1046148.0</v>
      </c>
      <c r="J52" s="196">
        <v>1046148.0</v>
      </c>
      <c r="K52" s="196">
        <v>1046148.0</v>
      </c>
      <c r="L52" s="196">
        <v>1046148.0</v>
      </c>
      <c r="M52" s="196">
        <v>1046148.0</v>
      </c>
      <c r="N52" s="196">
        <v>1046148.0</v>
      </c>
      <c r="O52" s="205">
        <v>1046148.0</v>
      </c>
      <c r="P52" s="198"/>
      <c r="Q52" s="204" t="s">
        <v>421</v>
      </c>
      <c r="R52" s="199"/>
      <c r="S52" s="199"/>
      <c r="T52" s="199"/>
      <c r="U52" s="199"/>
      <c r="V52" s="199"/>
      <c r="W52" s="199"/>
      <c r="X52" s="199"/>
      <c r="Y52" s="199"/>
      <c r="Z52" s="199"/>
    </row>
    <row r="53" ht="12.75" customHeight="1">
      <c r="A53" s="196" t="s">
        <v>422</v>
      </c>
      <c r="B53" s="196"/>
      <c r="C53" s="196">
        <v>2.5</v>
      </c>
      <c r="D53" s="196">
        <v>2.5</v>
      </c>
      <c r="E53" s="196">
        <v>2.5</v>
      </c>
      <c r="F53" s="196">
        <v>2.5</v>
      </c>
      <c r="G53" s="196">
        <v>2.5</v>
      </c>
      <c r="H53" s="196">
        <v>2.5</v>
      </c>
      <c r="I53" s="196">
        <v>2.5</v>
      </c>
      <c r="J53" s="196">
        <v>2.5</v>
      </c>
      <c r="K53" s="196">
        <v>2.5</v>
      </c>
      <c r="L53" s="196">
        <v>2.5</v>
      </c>
      <c r="M53" s="196">
        <v>2.5</v>
      </c>
      <c r="N53" s="196">
        <v>2.5</v>
      </c>
      <c r="O53" s="196">
        <v>2.5</v>
      </c>
      <c r="P53" s="198"/>
      <c r="Q53" s="204" t="s">
        <v>421</v>
      </c>
      <c r="R53" s="199"/>
      <c r="S53" s="199"/>
      <c r="T53" s="199"/>
      <c r="U53" s="199"/>
      <c r="V53" s="199"/>
      <c r="W53" s="199"/>
      <c r="X53" s="199"/>
      <c r="Y53" s="199"/>
      <c r="Z53" s="199"/>
    </row>
    <row r="54" ht="12.75" customHeight="1">
      <c r="A54" s="196" t="s">
        <v>423</v>
      </c>
      <c r="B54" s="196"/>
      <c r="C54" s="196">
        <f t="shared" ref="C54:O54" si="29">C52*C53</f>
        <v>2615370</v>
      </c>
      <c r="D54" s="196">
        <f t="shared" si="29"/>
        <v>2615370</v>
      </c>
      <c r="E54" s="196">
        <f t="shared" si="29"/>
        <v>2615370</v>
      </c>
      <c r="F54" s="196">
        <f t="shared" si="29"/>
        <v>2615370</v>
      </c>
      <c r="G54" s="196">
        <f t="shared" si="29"/>
        <v>2615370</v>
      </c>
      <c r="H54" s="196">
        <f t="shared" si="29"/>
        <v>2615370</v>
      </c>
      <c r="I54" s="196">
        <f t="shared" si="29"/>
        <v>2615370</v>
      </c>
      <c r="J54" s="196">
        <f t="shared" si="29"/>
        <v>2615370</v>
      </c>
      <c r="K54" s="196">
        <f t="shared" si="29"/>
        <v>2615370</v>
      </c>
      <c r="L54" s="196">
        <f t="shared" si="29"/>
        <v>2615370</v>
      </c>
      <c r="M54" s="196">
        <f t="shared" si="29"/>
        <v>2615370</v>
      </c>
      <c r="N54" s="196">
        <f t="shared" si="29"/>
        <v>2615370</v>
      </c>
      <c r="O54" s="205">
        <f t="shared" si="29"/>
        <v>2615370</v>
      </c>
      <c r="P54" s="198"/>
      <c r="Q54" s="204"/>
      <c r="R54" s="199"/>
      <c r="S54" s="199"/>
      <c r="T54" s="199"/>
      <c r="U54" s="199"/>
      <c r="V54" s="199"/>
      <c r="W54" s="199"/>
      <c r="X54" s="199"/>
      <c r="Y54" s="199"/>
      <c r="Z54" s="199"/>
    </row>
    <row r="55" ht="12.75" customHeight="1">
      <c r="A55" s="196" t="s">
        <v>424</v>
      </c>
      <c r="B55" s="196"/>
      <c r="C55" s="196">
        <f t="shared" ref="C55:O55" si="30">C51/C54</f>
        <v>0</v>
      </c>
      <c r="D55" s="196">
        <f t="shared" si="30"/>
        <v>0</v>
      </c>
      <c r="E55" s="196">
        <f t="shared" si="30"/>
        <v>0.001227012204</v>
      </c>
      <c r="F55" s="196">
        <f t="shared" si="30"/>
        <v>0.005254601556</v>
      </c>
      <c r="G55" s="196">
        <f t="shared" si="30"/>
        <v>0.007178890385</v>
      </c>
      <c r="H55" s="196">
        <f t="shared" si="30"/>
        <v>0.006018616521</v>
      </c>
      <c r="I55" s="196">
        <f t="shared" si="30"/>
        <v>0.007941167372</v>
      </c>
      <c r="J55" s="196">
        <f t="shared" si="30"/>
        <v>0.009692337987</v>
      </c>
      <c r="K55" s="196">
        <f t="shared" si="30"/>
        <v>0.009295051943</v>
      </c>
      <c r="L55" s="196">
        <f t="shared" si="30"/>
        <v>0.007422276772</v>
      </c>
      <c r="M55" s="196">
        <f t="shared" si="30"/>
        <v>0.008225792144</v>
      </c>
      <c r="N55" s="196">
        <f t="shared" si="30"/>
        <v>0.007779778769</v>
      </c>
      <c r="O55" s="206">
        <f t="shared" si="30"/>
        <v>0.008069221563</v>
      </c>
      <c r="P55" s="198"/>
      <c r="Q55" s="199"/>
      <c r="R55" s="199"/>
      <c r="S55" s="199"/>
      <c r="T55" s="199"/>
      <c r="U55" s="199"/>
      <c r="V55" s="199"/>
      <c r="W55" s="199"/>
      <c r="X55" s="199"/>
      <c r="Y55" s="199"/>
      <c r="Z55" s="199"/>
    </row>
    <row r="56" ht="12.75" customHeight="1">
      <c r="A56" s="196" t="s">
        <v>425</v>
      </c>
      <c r="B56" s="196"/>
      <c r="C56" s="196">
        <v>-3050000.0</v>
      </c>
      <c r="D56" s="196">
        <v>-3050000.0</v>
      </c>
      <c r="E56" s="196">
        <v>-3050000.0</v>
      </c>
      <c r="F56" s="196">
        <v>-3050000.0</v>
      </c>
      <c r="G56" s="196">
        <v>-3050000.0</v>
      </c>
      <c r="H56" s="196">
        <v>-3050000.0</v>
      </c>
      <c r="I56" s="196">
        <v>-3050000.0</v>
      </c>
      <c r="J56" s="196">
        <v>-3050000.0</v>
      </c>
      <c r="K56" s="196">
        <v>-3050000.0</v>
      </c>
      <c r="L56" s="196">
        <v>-3050000.0</v>
      </c>
      <c r="M56" s="196">
        <v>-3050000.0</v>
      </c>
      <c r="N56" s="196">
        <v>-3050000.0</v>
      </c>
      <c r="O56" s="197">
        <v>-3050000.0</v>
      </c>
      <c r="P56" s="198" t="s">
        <v>426</v>
      </c>
      <c r="Q56" s="204" t="s">
        <v>427</v>
      </c>
      <c r="R56" s="199"/>
      <c r="S56" s="199"/>
      <c r="T56" s="199"/>
      <c r="U56" s="199"/>
      <c r="V56" s="199"/>
      <c r="W56" s="199"/>
      <c r="X56" s="199"/>
      <c r="Y56" s="199"/>
      <c r="Z56" s="199"/>
    </row>
    <row r="57" ht="12.75" customHeight="1">
      <c r="A57" s="196" t="s">
        <v>428</v>
      </c>
      <c r="B57" s="196"/>
      <c r="C57" s="196">
        <f t="shared" ref="C57:O57" si="31">C56*C55</f>
        <v>0</v>
      </c>
      <c r="D57" s="196">
        <f t="shared" si="31"/>
        <v>0</v>
      </c>
      <c r="E57" s="196">
        <f t="shared" si="31"/>
        <v>-3742.387224</v>
      </c>
      <c r="F57" s="196">
        <f t="shared" si="31"/>
        <v>-16026.53475</v>
      </c>
      <c r="G57" s="196">
        <f t="shared" si="31"/>
        <v>-21895.61567</v>
      </c>
      <c r="H57" s="196">
        <f t="shared" si="31"/>
        <v>-18356.78039</v>
      </c>
      <c r="I57" s="196">
        <f t="shared" si="31"/>
        <v>-24220.56048</v>
      </c>
      <c r="J57" s="196">
        <f t="shared" si="31"/>
        <v>-29561.63086</v>
      </c>
      <c r="K57" s="196">
        <f t="shared" si="31"/>
        <v>-28349.90843</v>
      </c>
      <c r="L57" s="196">
        <f t="shared" si="31"/>
        <v>-22637.94415</v>
      </c>
      <c r="M57" s="196">
        <f t="shared" si="31"/>
        <v>-25088.66604</v>
      </c>
      <c r="N57" s="196">
        <f t="shared" si="31"/>
        <v>-23728.32525</v>
      </c>
      <c r="O57" s="205">
        <f t="shared" si="31"/>
        <v>-24611.12577</v>
      </c>
      <c r="P57" s="198"/>
      <c r="Q57" s="199"/>
      <c r="R57" s="199"/>
      <c r="S57" s="199"/>
      <c r="T57" s="199"/>
      <c r="U57" s="199"/>
      <c r="V57" s="199"/>
      <c r="W57" s="199"/>
      <c r="X57" s="199"/>
      <c r="Y57" s="199"/>
      <c r="Z57" s="199"/>
    </row>
    <row r="58" ht="12.75" customHeight="1">
      <c r="A58" s="196" t="s">
        <v>429</v>
      </c>
      <c r="B58" s="196"/>
      <c r="C58" s="196">
        <v>1.0</v>
      </c>
      <c r="D58" s="196">
        <v>1.0</v>
      </c>
      <c r="E58" s="196">
        <v>1.0</v>
      </c>
      <c r="F58" s="196">
        <v>1.0</v>
      </c>
      <c r="G58" s="196">
        <v>1.0</v>
      </c>
      <c r="H58" s="196">
        <v>1.0</v>
      </c>
      <c r="I58" s="196">
        <v>1.0</v>
      </c>
      <c r="J58" s="196">
        <v>1.0</v>
      </c>
      <c r="K58" s="196">
        <v>1.0</v>
      </c>
      <c r="L58" s="196">
        <v>1.0</v>
      </c>
      <c r="M58" s="196">
        <v>1.0</v>
      </c>
      <c r="N58" s="196">
        <v>1.0</v>
      </c>
      <c r="O58" s="205">
        <v>1.0</v>
      </c>
      <c r="P58" s="198" t="s">
        <v>430</v>
      </c>
      <c r="Q58" s="199"/>
      <c r="R58" s="199"/>
      <c r="S58" s="199"/>
      <c r="T58" s="199"/>
      <c r="U58" s="199"/>
      <c r="V58" s="199"/>
      <c r="W58" s="199"/>
      <c r="X58" s="199"/>
      <c r="Y58" s="199"/>
      <c r="Z58" s="199"/>
    </row>
    <row r="59" ht="12.75" customHeight="1">
      <c r="A59" s="196" t="s">
        <v>431</v>
      </c>
      <c r="B59" s="196"/>
      <c r="C59" s="196">
        <f t="shared" ref="C59:O59" si="32">C57</f>
        <v>0</v>
      </c>
      <c r="D59" s="196">
        <f t="shared" si="32"/>
        <v>0</v>
      </c>
      <c r="E59" s="196">
        <f t="shared" si="32"/>
        <v>-3742.387224</v>
      </c>
      <c r="F59" s="196">
        <f t="shared" si="32"/>
        <v>-16026.53475</v>
      </c>
      <c r="G59" s="196">
        <f t="shared" si="32"/>
        <v>-21895.61567</v>
      </c>
      <c r="H59" s="196">
        <f t="shared" si="32"/>
        <v>-18356.78039</v>
      </c>
      <c r="I59" s="196">
        <f t="shared" si="32"/>
        <v>-24220.56048</v>
      </c>
      <c r="J59" s="196">
        <f t="shared" si="32"/>
        <v>-29561.63086</v>
      </c>
      <c r="K59" s="196">
        <f t="shared" si="32"/>
        <v>-28349.90843</v>
      </c>
      <c r="L59" s="196">
        <f t="shared" si="32"/>
        <v>-22637.94415</v>
      </c>
      <c r="M59" s="196">
        <f t="shared" si="32"/>
        <v>-25088.66604</v>
      </c>
      <c r="N59" s="196">
        <f t="shared" si="32"/>
        <v>-23728.32525</v>
      </c>
      <c r="O59" s="205">
        <f t="shared" si="32"/>
        <v>-24611.12577</v>
      </c>
      <c r="P59" s="198"/>
      <c r="Q59" s="199" t="s">
        <v>432</v>
      </c>
      <c r="R59" s="199"/>
      <c r="S59" s="199"/>
      <c r="T59" s="199"/>
      <c r="U59" s="199"/>
      <c r="V59" s="199"/>
      <c r="W59" s="199"/>
      <c r="X59" s="199"/>
      <c r="Y59" s="199"/>
      <c r="Z59" s="199"/>
    </row>
    <row r="60" ht="12.75" customHeight="1">
      <c r="A60" s="196" t="s">
        <v>433</v>
      </c>
      <c r="B60" s="196"/>
      <c r="C60" s="196">
        <f t="shared" ref="C60:O60" si="33">C48</f>
        <v>0</v>
      </c>
      <c r="D60" s="196">
        <f t="shared" si="33"/>
        <v>0</v>
      </c>
      <c r="E60" s="196">
        <f t="shared" si="33"/>
        <v>32.78978011</v>
      </c>
      <c r="F60" s="196">
        <f t="shared" si="33"/>
        <v>140.3525167</v>
      </c>
      <c r="G60" s="196">
        <f t="shared" si="33"/>
        <v>191.835536</v>
      </c>
      <c r="H60" s="196">
        <f t="shared" si="33"/>
        <v>160.8844351</v>
      </c>
      <c r="I60" s="196">
        <f t="shared" si="33"/>
        <v>212.0610078</v>
      </c>
      <c r="J60" s="196">
        <f t="shared" si="33"/>
        <v>258.9473289</v>
      </c>
      <c r="K60" s="196">
        <f t="shared" si="33"/>
        <v>248.2216999</v>
      </c>
      <c r="L60" s="196">
        <f t="shared" si="33"/>
        <v>198.2709134</v>
      </c>
      <c r="M60" s="196">
        <f t="shared" si="33"/>
        <v>219.7221714</v>
      </c>
      <c r="N60" s="196">
        <f t="shared" si="33"/>
        <v>207.7707562</v>
      </c>
      <c r="O60" s="196">
        <f t="shared" si="33"/>
        <v>209.6041305</v>
      </c>
      <c r="P60" s="198"/>
      <c r="Q60" s="199"/>
      <c r="R60" s="199"/>
      <c r="S60" s="199"/>
      <c r="T60" s="199"/>
      <c r="U60" s="199"/>
      <c r="V60" s="199"/>
      <c r="W60" s="199"/>
      <c r="X60" s="199"/>
      <c r="Y60" s="199"/>
      <c r="Z60" s="199"/>
    </row>
    <row r="61" ht="12.75" customHeight="1">
      <c r="A61" s="207" t="s">
        <v>434</v>
      </c>
      <c r="B61" s="207"/>
      <c r="C61" s="207">
        <f t="shared" ref="C61:O61" si="34">(C59+C60)*C58</f>
        <v>0</v>
      </c>
      <c r="D61" s="207">
        <f t="shared" si="34"/>
        <v>0</v>
      </c>
      <c r="E61" s="207">
        <f t="shared" si="34"/>
        <v>-3709.597443</v>
      </c>
      <c r="F61" s="207">
        <f t="shared" si="34"/>
        <v>-15886.18223</v>
      </c>
      <c r="G61" s="207">
        <f t="shared" si="34"/>
        <v>-21703.78014</v>
      </c>
      <c r="H61" s="207">
        <f t="shared" si="34"/>
        <v>-18195.89595</v>
      </c>
      <c r="I61" s="207">
        <f t="shared" si="34"/>
        <v>-24008.49948</v>
      </c>
      <c r="J61" s="207">
        <f t="shared" si="34"/>
        <v>-29302.68353</v>
      </c>
      <c r="K61" s="207">
        <f t="shared" si="34"/>
        <v>-28101.68673</v>
      </c>
      <c r="L61" s="207">
        <f t="shared" si="34"/>
        <v>-22439.67324</v>
      </c>
      <c r="M61" s="207">
        <f t="shared" si="34"/>
        <v>-24868.94387</v>
      </c>
      <c r="N61" s="207">
        <f t="shared" si="34"/>
        <v>-23520.55449</v>
      </c>
      <c r="O61" s="208">
        <f t="shared" si="34"/>
        <v>-24401.52164</v>
      </c>
      <c r="P61" s="209"/>
      <c r="Q61" s="210"/>
      <c r="R61" s="210"/>
      <c r="S61" s="210"/>
      <c r="T61" s="210"/>
      <c r="U61" s="210"/>
      <c r="V61" s="210"/>
      <c r="W61" s="210"/>
      <c r="X61" s="210"/>
      <c r="Y61" s="210"/>
      <c r="Z61" s="210"/>
    </row>
    <row r="62" ht="12.75" customHeight="1">
      <c r="P62" s="164"/>
    </row>
    <row r="63" ht="12.75" customHeight="1">
      <c r="O63" s="211"/>
      <c r="P63" s="164"/>
    </row>
    <row r="64" ht="12.75" customHeight="1">
      <c r="P64" s="164"/>
    </row>
    <row r="65" ht="12.75" customHeight="1">
      <c r="P65" s="164"/>
    </row>
    <row r="66" ht="12.75" customHeight="1">
      <c r="P66" s="164"/>
    </row>
    <row r="67" ht="12.75" customHeight="1">
      <c r="P67" s="164"/>
    </row>
    <row r="68" ht="12.75" customHeight="1">
      <c r="P68" s="164"/>
    </row>
    <row r="69" ht="12.75" customHeight="1">
      <c r="P69" s="164"/>
    </row>
    <row r="70" ht="12.75" customHeight="1">
      <c r="P70" s="164"/>
    </row>
    <row r="71" ht="12.75" customHeight="1">
      <c r="P71" s="164"/>
    </row>
    <row r="72" ht="12.75" customHeight="1">
      <c r="P72" s="164"/>
    </row>
    <row r="73" ht="12.75" customHeight="1">
      <c r="P73" s="164"/>
    </row>
    <row r="74" ht="12.75" customHeight="1">
      <c r="P74" s="164"/>
    </row>
    <row r="75" ht="12.75" customHeight="1">
      <c r="P75" s="164"/>
    </row>
    <row r="76" ht="12.75" customHeight="1">
      <c r="P76" s="164"/>
    </row>
    <row r="77" ht="12.75" customHeight="1">
      <c r="P77" s="164"/>
    </row>
    <row r="78" ht="12.75" customHeight="1">
      <c r="P78" s="164"/>
    </row>
    <row r="79" ht="12.75" customHeight="1">
      <c r="P79" s="164"/>
    </row>
    <row r="80" ht="12.75" customHeight="1">
      <c r="P80" s="164"/>
    </row>
    <row r="81" ht="12.75" customHeight="1">
      <c r="P81" s="164"/>
    </row>
    <row r="82" ht="12.75" customHeight="1">
      <c r="P82" s="164"/>
    </row>
    <row r="83" ht="12.75" customHeight="1">
      <c r="P83" s="164"/>
    </row>
    <row r="84" ht="12.75" customHeight="1">
      <c r="P84" s="164"/>
    </row>
    <row r="85" ht="12.75" customHeight="1">
      <c r="P85" s="164"/>
    </row>
    <row r="86" ht="12.75" customHeight="1">
      <c r="P86" s="164"/>
    </row>
    <row r="87" ht="12.75" customHeight="1">
      <c r="P87" s="164"/>
    </row>
    <row r="88" ht="12.75" customHeight="1">
      <c r="P88" s="164"/>
    </row>
    <row r="89" ht="12.75" customHeight="1">
      <c r="P89" s="164"/>
    </row>
    <row r="90" ht="12.75" customHeight="1">
      <c r="P90" s="164"/>
    </row>
    <row r="91" ht="12.75" customHeight="1">
      <c r="P91" s="164"/>
    </row>
    <row r="92" ht="12.75" customHeight="1">
      <c r="P92" s="164"/>
    </row>
    <row r="93" ht="12.75" customHeight="1">
      <c r="P93" s="164"/>
    </row>
    <row r="94" ht="12.75" customHeight="1">
      <c r="P94" s="164"/>
    </row>
    <row r="95" ht="12.75" customHeight="1">
      <c r="P95" s="164"/>
    </row>
    <row r="96" ht="12.75" customHeight="1">
      <c r="P96" s="164"/>
    </row>
    <row r="97" ht="12.75" customHeight="1">
      <c r="P97" s="164"/>
    </row>
    <row r="98" ht="12.75" customHeight="1">
      <c r="P98" s="164"/>
    </row>
    <row r="99" ht="12.75" customHeight="1">
      <c r="P99" s="164"/>
    </row>
    <row r="100" ht="12.75" customHeight="1">
      <c r="P100" s="164"/>
    </row>
    <row r="101" ht="12.75" customHeight="1">
      <c r="P101" s="164"/>
    </row>
    <row r="102" ht="12.75" customHeight="1">
      <c r="P102" s="164"/>
    </row>
    <row r="103" ht="12.75" customHeight="1">
      <c r="P103" s="164"/>
    </row>
    <row r="104" ht="12.75" customHeight="1">
      <c r="P104" s="164"/>
    </row>
    <row r="105" ht="12.75" customHeight="1">
      <c r="P105" s="164"/>
    </row>
    <row r="106" ht="12.75" customHeight="1">
      <c r="P106" s="164"/>
    </row>
    <row r="107" ht="12.75" customHeight="1">
      <c r="P107" s="164"/>
    </row>
    <row r="108" ht="12.75" customHeight="1">
      <c r="P108" s="164"/>
    </row>
    <row r="109" ht="12.75" customHeight="1">
      <c r="P109" s="164"/>
    </row>
    <row r="110" ht="12.75" customHeight="1">
      <c r="P110" s="164"/>
    </row>
    <row r="111" ht="12.75" customHeight="1">
      <c r="P111" s="164"/>
    </row>
    <row r="112" ht="12.75" customHeight="1">
      <c r="P112" s="164"/>
    </row>
    <row r="113" ht="12.75" customHeight="1">
      <c r="P113" s="164"/>
    </row>
    <row r="114" ht="12.75" customHeight="1">
      <c r="P114" s="164"/>
    </row>
    <row r="115" ht="12.75" customHeight="1">
      <c r="P115" s="164"/>
    </row>
    <row r="116" ht="12.75" customHeight="1">
      <c r="P116" s="164"/>
    </row>
    <row r="117" ht="12.75" customHeight="1">
      <c r="P117" s="164"/>
    </row>
    <row r="118" ht="12.75" customHeight="1">
      <c r="P118" s="164"/>
    </row>
    <row r="119" ht="12.75" customHeight="1">
      <c r="P119" s="164"/>
    </row>
    <row r="120" ht="12.75" customHeight="1">
      <c r="P120" s="164"/>
    </row>
    <row r="121" ht="12.75" customHeight="1">
      <c r="P121" s="164"/>
    </row>
    <row r="122" ht="12.75" customHeight="1">
      <c r="P122" s="164"/>
    </row>
    <row r="123" ht="12.75" customHeight="1">
      <c r="P123" s="164"/>
    </row>
    <row r="124" ht="12.75" customHeight="1">
      <c r="P124" s="164"/>
    </row>
    <row r="125" ht="12.75" customHeight="1">
      <c r="P125" s="164"/>
    </row>
    <row r="126" ht="12.75" customHeight="1">
      <c r="P126" s="164"/>
    </row>
    <row r="127" ht="12.75" customHeight="1">
      <c r="P127" s="164"/>
    </row>
    <row r="128" ht="12.75" customHeight="1">
      <c r="P128" s="164"/>
    </row>
    <row r="129" ht="12.75" customHeight="1">
      <c r="P129" s="164"/>
    </row>
    <row r="130" ht="12.75" customHeight="1">
      <c r="P130" s="164"/>
    </row>
    <row r="131" ht="12.75" customHeight="1">
      <c r="C131" s="164"/>
      <c r="D131" s="164"/>
      <c r="E131" s="164"/>
      <c r="F131" s="164"/>
      <c r="G131" s="164"/>
      <c r="H131" s="164"/>
      <c r="I131" s="164"/>
      <c r="J131" s="164"/>
      <c r="K131" s="164"/>
      <c r="L131" s="164"/>
      <c r="M131" s="164"/>
      <c r="N131" s="164"/>
      <c r="O131" s="164"/>
      <c r="P131" s="164"/>
    </row>
    <row r="132" ht="12.75" customHeight="1">
      <c r="C132" s="164"/>
      <c r="D132" s="164"/>
      <c r="E132" s="164"/>
      <c r="F132" s="164"/>
      <c r="G132" s="164"/>
      <c r="H132" s="164"/>
      <c r="I132" s="164"/>
      <c r="J132" s="164"/>
      <c r="K132" s="164"/>
      <c r="L132" s="164"/>
      <c r="M132" s="164"/>
      <c r="N132" s="164"/>
      <c r="O132" s="164"/>
      <c r="P132" s="164"/>
    </row>
    <row r="133" ht="12.75" customHeight="1">
      <c r="C133" s="164"/>
      <c r="D133" s="164"/>
      <c r="E133" s="164"/>
      <c r="F133" s="164"/>
      <c r="G133" s="164"/>
      <c r="H133" s="164"/>
      <c r="I133" s="164"/>
      <c r="J133" s="164"/>
      <c r="K133" s="164"/>
      <c r="L133" s="164"/>
      <c r="M133" s="164"/>
      <c r="N133" s="164"/>
      <c r="O133" s="164"/>
      <c r="P133" s="164"/>
    </row>
    <row r="134" ht="12.75" customHeight="1">
      <c r="C134" s="164"/>
      <c r="D134" s="164"/>
      <c r="E134" s="164"/>
      <c r="F134" s="164"/>
      <c r="G134" s="164"/>
      <c r="H134" s="164"/>
      <c r="I134" s="164"/>
      <c r="J134" s="164"/>
      <c r="K134" s="164"/>
      <c r="L134" s="164"/>
      <c r="M134" s="164"/>
      <c r="N134" s="164"/>
      <c r="O134" s="164"/>
      <c r="P134" s="164"/>
    </row>
    <row r="135" ht="12.75" customHeight="1">
      <c r="C135" s="164"/>
      <c r="D135" s="164"/>
      <c r="E135" s="164"/>
      <c r="F135" s="164"/>
      <c r="G135" s="164"/>
      <c r="H135" s="164"/>
      <c r="I135" s="164"/>
      <c r="J135" s="164"/>
      <c r="K135" s="164"/>
      <c r="L135" s="164"/>
      <c r="M135" s="164"/>
      <c r="N135" s="164"/>
      <c r="O135" s="164"/>
      <c r="P135" s="164"/>
    </row>
    <row r="136" ht="12.75" customHeight="1">
      <c r="C136" s="164"/>
      <c r="D136" s="164"/>
      <c r="E136" s="164"/>
      <c r="F136" s="164"/>
      <c r="G136" s="164"/>
      <c r="H136" s="164"/>
      <c r="I136" s="164"/>
      <c r="J136" s="164"/>
      <c r="K136" s="164"/>
      <c r="L136" s="164"/>
      <c r="M136" s="164"/>
      <c r="N136" s="164"/>
      <c r="O136" s="164"/>
      <c r="P136" s="164"/>
    </row>
    <row r="137" ht="12.75" customHeight="1">
      <c r="C137" s="164"/>
      <c r="D137" s="164"/>
      <c r="E137" s="164"/>
      <c r="F137" s="164"/>
      <c r="G137" s="164"/>
      <c r="H137" s="164"/>
      <c r="I137" s="164"/>
      <c r="J137" s="164"/>
      <c r="K137" s="164"/>
      <c r="L137" s="164"/>
      <c r="M137" s="164"/>
      <c r="N137" s="164"/>
      <c r="O137" s="164"/>
      <c r="P137" s="164"/>
    </row>
    <row r="138" ht="12.75" customHeight="1">
      <c r="C138" s="164"/>
      <c r="D138" s="164"/>
      <c r="E138" s="164"/>
      <c r="F138" s="164"/>
      <c r="G138" s="164"/>
      <c r="H138" s="164"/>
      <c r="I138" s="164"/>
      <c r="J138" s="164"/>
      <c r="K138" s="164"/>
      <c r="L138" s="164"/>
      <c r="M138" s="164"/>
      <c r="N138" s="164"/>
      <c r="O138" s="164"/>
      <c r="P138" s="164"/>
    </row>
    <row r="139" ht="12.75" customHeight="1">
      <c r="C139" s="164"/>
      <c r="D139" s="164"/>
      <c r="E139" s="164"/>
      <c r="F139" s="164"/>
      <c r="G139" s="164"/>
      <c r="H139" s="164"/>
      <c r="I139" s="164"/>
      <c r="J139" s="164"/>
      <c r="K139" s="164"/>
      <c r="L139" s="164"/>
      <c r="M139" s="164"/>
      <c r="N139" s="164"/>
      <c r="O139" s="164"/>
      <c r="P139" s="164"/>
    </row>
    <row r="140" ht="12.75" customHeight="1">
      <c r="C140" s="164"/>
      <c r="D140" s="164"/>
      <c r="E140" s="164"/>
      <c r="F140" s="164"/>
      <c r="G140" s="164"/>
      <c r="H140" s="164"/>
      <c r="I140" s="164"/>
      <c r="J140" s="164"/>
      <c r="K140" s="164"/>
      <c r="L140" s="164"/>
      <c r="M140" s="164"/>
      <c r="N140" s="164"/>
      <c r="O140" s="164"/>
      <c r="P140" s="164"/>
    </row>
    <row r="141" ht="12.75" customHeight="1">
      <c r="C141" s="164"/>
      <c r="D141" s="164"/>
      <c r="E141" s="164"/>
      <c r="F141" s="164"/>
      <c r="G141" s="164"/>
      <c r="H141" s="164"/>
      <c r="I141" s="164"/>
      <c r="J141" s="164"/>
      <c r="K141" s="164"/>
      <c r="L141" s="164"/>
      <c r="M141" s="164"/>
      <c r="N141" s="164"/>
      <c r="O141" s="164"/>
      <c r="P141" s="164"/>
    </row>
    <row r="142" ht="12.75" customHeight="1">
      <c r="C142" s="164"/>
      <c r="D142" s="164"/>
      <c r="E142" s="164"/>
      <c r="F142" s="164"/>
      <c r="G142" s="164"/>
      <c r="H142" s="164"/>
      <c r="I142" s="164"/>
      <c r="J142" s="164"/>
      <c r="K142" s="164"/>
      <c r="L142" s="164"/>
      <c r="M142" s="164"/>
      <c r="N142" s="164"/>
      <c r="O142" s="164"/>
      <c r="P142" s="164"/>
    </row>
    <row r="143" ht="12.75" customHeight="1">
      <c r="C143" s="164"/>
      <c r="D143" s="164"/>
      <c r="E143" s="164"/>
      <c r="F143" s="164"/>
      <c r="G143" s="164"/>
      <c r="H143" s="164"/>
      <c r="I143" s="164"/>
      <c r="J143" s="164"/>
      <c r="K143" s="164"/>
      <c r="L143" s="164"/>
      <c r="M143" s="164"/>
      <c r="N143" s="164"/>
      <c r="O143" s="164"/>
      <c r="P143" s="164"/>
    </row>
    <row r="144" ht="12.75" customHeight="1">
      <c r="C144" s="164"/>
      <c r="D144" s="164"/>
      <c r="E144" s="164"/>
      <c r="F144" s="164"/>
      <c r="G144" s="164"/>
      <c r="H144" s="164"/>
      <c r="I144" s="164"/>
      <c r="J144" s="164"/>
      <c r="K144" s="164"/>
      <c r="L144" s="164"/>
      <c r="M144" s="164"/>
      <c r="N144" s="164"/>
      <c r="O144" s="164"/>
      <c r="P144" s="164"/>
    </row>
    <row r="145" ht="12.75" customHeight="1">
      <c r="C145" s="164"/>
      <c r="D145" s="164"/>
      <c r="E145" s="164"/>
      <c r="F145" s="164"/>
      <c r="G145" s="164"/>
      <c r="H145" s="164"/>
      <c r="I145" s="164"/>
      <c r="J145" s="164"/>
      <c r="K145" s="164"/>
      <c r="L145" s="164"/>
      <c r="M145" s="164"/>
      <c r="N145" s="164"/>
      <c r="O145" s="164"/>
      <c r="P145" s="164"/>
    </row>
    <row r="146" ht="12.75" customHeight="1">
      <c r="C146" s="164"/>
      <c r="D146" s="164"/>
      <c r="E146" s="164"/>
      <c r="F146" s="164"/>
      <c r="G146" s="164"/>
      <c r="H146" s="164"/>
      <c r="I146" s="164"/>
      <c r="J146" s="164"/>
      <c r="K146" s="164"/>
      <c r="L146" s="164"/>
      <c r="M146" s="164"/>
      <c r="N146" s="164"/>
      <c r="O146" s="164"/>
      <c r="P146" s="164"/>
    </row>
    <row r="147" ht="12.75" customHeight="1">
      <c r="C147" s="164"/>
      <c r="D147" s="164"/>
      <c r="E147" s="164"/>
      <c r="F147" s="164"/>
      <c r="G147" s="164"/>
      <c r="H147" s="164"/>
      <c r="I147" s="164"/>
      <c r="J147" s="164"/>
      <c r="K147" s="164"/>
      <c r="L147" s="164"/>
      <c r="M147" s="164"/>
      <c r="N147" s="164"/>
      <c r="O147" s="164"/>
      <c r="P147" s="164"/>
    </row>
    <row r="148" ht="12.75" customHeight="1">
      <c r="C148" s="164"/>
      <c r="D148" s="164"/>
      <c r="E148" s="164"/>
      <c r="F148" s="164"/>
      <c r="G148" s="164"/>
      <c r="H148" s="164"/>
      <c r="I148" s="164"/>
      <c r="J148" s="164"/>
      <c r="K148" s="164"/>
      <c r="L148" s="164"/>
      <c r="M148" s="164"/>
      <c r="N148" s="164"/>
      <c r="O148" s="164"/>
      <c r="P148" s="164"/>
    </row>
    <row r="149" ht="12.75" customHeight="1">
      <c r="C149" s="164"/>
      <c r="D149" s="164"/>
      <c r="E149" s="164"/>
      <c r="F149" s="164"/>
      <c r="G149" s="164"/>
      <c r="H149" s="164"/>
      <c r="I149" s="164"/>
      <c r="J149" s="164"/>
      <c r="K149" s="164"/>
      <c r="L149" s="164"/>
      <c r="M149" s="164"/>
      <c r="N149" s="164"/>
      <c r="O149" s="164"/>
      <c r="P149" s="164"/>
    </row>
    <row r="150" ht="12.75" customHeight="1">
      <c r="C150" s="164"/>
      <c r="D150" s="164"/>
      <c r="E150" s="164"/>
      <c r="F150" s="164"/>
      <c r="G150" s="164"/>
      <c r="H150" s="164"/>
      <c r="I150" s="164"/>
      <c r="J150" s="164"/>
      <c r="K150" s="164"/>
      <c r="L150" s="164"/>
      <c r="M150" s="164"/>
      <c r="N150" s="164"/>
      <c r="O150" s="164"/>
      <c r="P150" s="164"/>
    </row>
    <row r="151" ht="12.75" customHeight="1">
      <c r="C151" s="164"/>
      <c r="D151" s="164"/>
      <c r="E151" s="164"/>
      <c r="F151" s="164"/>
      <c r="G151" s="164"/>
      <c r="H151" s="164"/>
      <c r="I151" s="164"/>
      <c r="J151" s="164"/>
      <c r="K151" s="164"/>
      <c r="L151" s="164"/>
      <c r="M151" s="164"/>
      <c r="N151" s="164"/>
      <c r="O151" s="164"/>
      <c r="P151" s="164"/>
    </row>
    <row r="152" ht="12.75" customHeight="1">
      <c r="C152" s="164"/>
      <c r="D152" s="164"/>
      <c r="E152" s="164"/>
      <c r="F152" s="164"/>
      <c r="G152" s="164"/>
      <c r="H152" s="164"/>
      <c r="I152" s="164"/>
      <c r="J152" s="164"/>
      <c r="K152" s="164"/>
      <c r="L152" s="164"/>
      <c r="M152" s="164"/>
      <c r="N152" s="164"/>
      <c r="O152" s="164"/>
      <c r="P152" s="164"/>
    </row>
    <row r="153" ht="12.75" customHeight="1">
      <c r="C153" s="164"/>
      <c r="D153" s="164"/>
      <c r="E153" s="164"/>
      <c r="F153" s="164"/>
      <c r="G153" s="164"/>
      <c r="H153" s="164"/>
      <c r="I153" s="164"/>
      <c r="J153" s="164"/>
      <c r="K153" s="164"/>
      <c r="L153" s="164"/>
      <c r="M153" s="164"/>
      <c r="N153" s="164"/>
      <c r="O153" s="164"/>
      <c r="P153" s="164"/>
    </row>
    <row r="154" ht="12.75" customHeight="1">
      <c r="C154" s="164"/>
      <c r="D154" s="164"/>
      <c r="E154" s="164"/>
      <c r="F154" s="164"/>
      <c r="G154" s="164"/>
      <c r="H154" s="164"/>
      <c r="I154" s="164"/>
      <c r="J154" s="164"/>
      <c r="K154" s="164"/>
      <c r="L154" s="164"/>
      <c r="M154" s="164"/>
      <c r="N154" s="164"/>
      <c r="O154" s="164"/>
      <c r="P154" s="164"/>
    </row>
    <row r="155" ht="12.75" customHeight="1">
      <c r="C155" s="164"/>
      <c r="D155" s="164"/>
      <c r="E155" s="164"/>
      <c r="F155" s="164"/>
      <c r="G155" s="164"/>
      <c r="H155" s="164"/>
      <c r="I155" s="164"/>
      <c r="J155" s="164"/>
      <c r="K155" s="164"/>
      <c r="L155" s="164"/>
      <c r="M155" s="164"/>
      <c r="N155" s="164"/>
      <c r="O155" s="164"/>
      <c r="P155" s="164"/>
    </row>
    <row r="156" ht="12.75" customHeight="1">
      <c r="C156" s="164"/>
      <c r="D156" s="164"/>
      <c r="E156" s="164"/>
      <c r="F156" s="164"/>
      <c r="G156" s="164"/>
      <c r="H156" s="164"/>
      <c r="I156" s="164"/>
      <c r="J156" s="164"/>
      <c r="K156" s="164"/>
      <c r="L156" s="164"/>
      <c r="M156" s="164"/>
      <c r="N156" s="164"/>
      <c r="O156" s="164"/>
      <c r="P156" s="164"/>
    </row>
    <row r="157" ht="12.75" customHeight="1">
      <c r="C157" s="164"/>
      <c r="D157" s="164"/>
      <c r="E157" s="164"/>
      <c r="F157" s="164"/>
      <c r="G157" s="164"/>
      <c r="H157" s="164"/>
      <c r="I157" s="164"/>
      <c r="J157" s="164"/>
      <c r="K157" s="164"/>
      <c r="L157" s="164"/>
      <c r="M157" s="164"/>
      <c r="N157" s="164"/>
      <c r="O157" s="164"/>
      <c r="P157" s="164"/>
    </row>
    <row r="158" ht="12.75" customHeight="1">
      <c r="C158" s="164"/>
      <c r="D158" s="164"/>
      <c r="E158" s="164"/>
      <c r="F158" s="164"/>
      <c r="G158" s="164"/>
      <c r="H158" s="164"/>
      <c r="I158" s="164"/>
      <c r="J158" s="164"/>
      <c r="K158" s="164"/>
      <c r="L158" s="164"/>
      <c r="M158" s="164"/>
      <c r="N158" s="164"/>
      <c r="O158" s="164"/>
      <c r="P158" s="164"/>
    </row>
    <row r="159" ht="12.75" customHeight="1">
      <c r="C159" s="164"/>
      <c r="D159" s="164"/>
      <c r="E159" s="164"/>
      <c r="F159" s="164"/>
      <c r="G159" s="164"/>
      <c r="H159" s="164"/>
      <c r="I159" s="164"/>
      <c r="J159" s="164"/>
      <c r="K159" s="164"/>
      <c r="L159" s="164"/>
      <c r="M159" s="164"/>
      <c r="N159" s="164"/>
      <c r="O159" s="164"/>
      <c r="P159" s="164"/>
    </row>
    <row r="160" ht="12.75" customHeight="1">
      <c r="C160" s="164"/>
      <c r="D160" s="164"/>
      <c r="E160" s="164"/>
      <c r="F160" s="164"/>
      <c r="G160" s="164"/>
      <c r="H160" s="164"/>
      <c r="I160" s="164"/>
      <c r="J160" s="164"/>
      <c r="K160" s="164"/>
      <c r="L160" s="164"/>
      <c r="M160" s="164"/>
      <c r="N160" s="164"/>
      <c r="O160" s="164"/>
      <c r="P160" s="164"/>
    </row>
    <row r="161" ht="12.75" customHeight="1">
      <c r="C161" s="164"/>
      <c r="D161" s="164"/>
      <c r="E161" s="164"/>
      <c r="F161" s="164"/>
      <c r="G161" s="164"/>
      <c r="H161" s="164"/>
      <c r="I161" s="164"/>
      <c r="J161" s="164"/>
      <c r="K161" s="164"/>
      <c r="L161" s="164"/>
      <c r="M161" s="164"/>
      <c r="N161" s="164"/>
      <c r="O161" s="164"/>
      <c r="P161" s="164"/>
    </row>
    <row r="162" ht="12.75" customHeight="1">
      <c r="C162" s="164"/>
      <c r="D162" s="164"/>
      <c r="E162" s="164"/>
      <c r="F162" s="164"/>
      <c r="G162" s="164"/>
      <c r="H162" s="164"/>
      <c r="I162" s="164"/>
      <c r="J162" s="164"/>
      <c r="K162" s="164"/>
      <c r="L162" s="164"/>
      <c r="M162" s="164"/>
      <c r="N162" s="164"/>
      <c r="O162" s="164"/>
      <c r="P162" s="164"/>
    </row>
    <row r="163" ht="12.75" customHeight="1">
      <c r="C163" s="164"/>
      <c r="D163" s="164"/>
      <c r="E163" s="164"/>
      <c r="F163" s="164"/>
      <c r="G163" s="164"/>
      <c r="H163" s="164"/>
      <c r="I163" s="164"/>
      <c r="J163" s="164"/>
      <c r="K163" s="164"/>
      <c r="L163" s="164"/>
      <c r="M163" s="164"/>
      <c r="N163" s="164"/>
      <c r="O163" s="164"/>
      <c r="P163" s="164"/>
    </row>
    <row r="164" ht="12.75" customHeight="1">
      <c r="C164" s="164"/>
      <c r="D164" s="164"/>
      <c r="E164" s="164"/>
      <c r="F164" s="164"/>
      <c r="G164" s="164"/>
      <c r="H164" s="164"/>
      <c r="I164" s="164"/>
      <c r="J164" s="164"/>
      <c r="K164" s="164"/>
      <c r="L164" s="164"/>
      <c r="M164" s="164"/>
      <c r="N164" s="164"/>
      <c r="O164" s="164"/>
      <c r="P164" s="164"/>
    </row>
    <row r="165" ht="12.75" customHeight="1">
      <c r="C165" s="164"/>
      <c r="D165" s="164"/>
      <c r="E165" s="164"/>
      <c r="F165" s="164"/>
      <c r="G165" s="164"/>
      <c r="H165" s="164"/>
      <c r="I165" s="164"/>
      <c r="J165" s="164"/>
      <c r="K165" s="164"/>
      <c r="L165" s="164"/>
      <c r="M165" s="164"/>
      <c r="N165" s="164"/>
      <c r="O165" s="164"/>
      <c r="P165" s="164"/>
    </row>
    <row r="166" ht="12.75" customHeight="1">
      <c r="C166" s="164"/>
      <c r="D166" s="164"/>
      <c r="E166" s="164"/>
      <c r="F166" s="164"/>
      <c r="G166" s="164"/>
      <c r="H166" s="164"/>
      <c r="I166" s="164"/>
      <c r="J166" s="164"/>
      <c r="K166" s="164"/>
      <c r="L166" s="164"/>
      <c r="M166" s="164"/>
      <c r="N166" s="164"/>
      <c r="O166" s="164"/>
      <c r="P166" s="164"/>
    </row>
    <row r="167" ht="12.75" customHeight="1">
      <c r="C167" s="164"/>
      <c r="D167" s="164"/>
      <c r="E167" s="164"/>
      <c r="F167" s="164"/>
      <c r="G167" s="164"/>
      <c r="H167" s="164"/>
      <c r="I167" s="164"/>
      <c r="J167" s="164"/>
      <c r="K167" s="164"/>
      <c r="L167" s="164"/>
      <c r="M167" s="164"/>
      <c r="N167" s="164"/>
      <c r="O167" s="164"/>
      <c r="P167" s="164"/>
    </row>
    <row r="168" ht="12.75" customHeight="1">
      <c r="C168" s="164"/>
      <c r="D168" s="164"/>
      <c r="E168" s="164"/>
      <c r="F168" s="164"/>
      <c r="G168" s="164"/>
      <c r="H168" s="164"/>
      <c r="I168" s="164"/>
      <c r="J168" s="164"/>
      <c r="K168" s="164"/>
      <c r="L168" s="164"/>
      <c r="M168" s="164"/>
      <c r="N168" s="164"/>
      <c r="O168" s="164"/>
      <c r="P168" s="164"/>
    </row>
    <row r="169" ht="12.75" customHeight="1">
      <c r="C169" s="164"/>
      <c r="D169" s="164"/>
      <c r="E169" s="164"/>
      <c r="F169" s="164"/>
      <c r="G169" s="164"/>
      <c r="H169" s="164"/>
      <c r="I169" s="164"/>
      <c r="J169" s="164"/>
      <c r="K169" s="164"/>
      <c r="L169" s="164"/>
      <c r="M169" s="164"/>
      <c r="N169" s="164"/>
      <c r="O169" s="164"/>
      <c r="P169" s="164"/>
    </row>
    <row r="170" ht="12.75" customHeight="1">
      <c r="C170" s="164"/>
      <c r="D170" s="164"/>
      <c r="E170" s="164"/>
      <c r="F170" s="164"/>
      <c r="G170" s="164"/>
      <c r="H170" s="164"/>
      <c r="I170" s="164"/>
      <c r="J170" s="164"/>
      <c r="K170" s="164"/>
      <c r="L170" s="164"/>
      <c r="M170" s="164"/>
      <c r="N170" s="164"/>
      <c r="O170" s="164"/>
      <c r="P170" s="164"/>
    </row>
    <row r="171" ht="12.75" customHeight="1">
      <c r="C171" s="164"/>
      <c r="D171" s="164"/>
      <c r="E171" s="164"/>
      <c r="F171" s="164"/>
      <c r="G171" s="164"/>
      <c r="H171" s="164"/>
      <c r="I171" s="164"/>
      <c r="J171" s="164"/>
      <c r="K171" s="164"/>
      <c r="L171" s="164"/>
      <c r="M171" s="164"/>
      <c r="N171" s="164"/>
      <c r="O171" s="164"/>
      <c r="P171" s="164"/>
    </row>
    <row r="172" ht="12.75" customHeight="1">
      <c r="C172" s="164"/>
      <c r="D172" s="164"/>
      <c r="E172" s="164"/>
      <c r="F172" s="164"/>
      <c r="G172" s="164"/>
      <c r="H172" s="164"/>
      <c r="I172" s="164"/>
      <c r="J172" s="164"/>
      <c r="K172" s="164"/>
      <c r="L172" s="164"/>
      <c r="M172" s="164"/>
      <c r="N172" s="164"/>
      <c r="O172" s="164"/>
      <c r="P172" s="164"/>
    </row>
    <row r="173" ht="12.75" customHeight="1">
      <c r="C173" s="164"/>
      <c r="D173" s="164"/>
      <c r="E173" s="164"/>
      <c r="F173" s="164"/>
      <c r="G173" s="164"/>
      <c r="H173" s="164"/>
      <c r="I173" s="164"/>
      <c r="J173" s="164"/>
      <c r="K173" s="164"/>
      <c r="L173" s="164"/>
      <c r="M173" s="164"/>
      <c r="N173" s="164"/>
      <c r="O173" s="164"/>
      <c r="P173" s="164"/>
    </row>
    <row r="174" ht="12.75" customHeight="1">
      <c r="C174" s="164"/>
      <c r="D174" s="164"/>
      <c r="E174" s="164"/>
      <c r="F174" s="164"/>
      <c r="G174" s="164"/>
      <c r="H174" s="164"/>
      <c r="I174" s="164"/>
      <c r="J174" s="164"/>
      <c r="K174" s="164"/>
      <c r="L174" s="164"/>
      <c r="M174" s="164"/>
      <c r="N174" s="164"/>
      <c r="O174" s="164"/>
      <c r="P174" s="164"/>
    </row>
    <row r="175" ht="12.75" customHeight="1">
      <c r="C175" s="164"/>
      <c r="D175" s="164"/>
      <c r="E175" s="164"/>
      <c r="F175" s="164"/>
      <c r="G175" s="164"/>
      <c r="H175" s="164"/>
      <c r="I175" s="164"/>
      <c r="J175" s="164"/>
      <c r="K175" s="164"/>
      <c r="L175" s="164"/>
      <c r="M175" s="164"/>
      <c r="N175" s="164"/>
      <c r="O175" s="164"/>
      <c r="P175" s="164"/>
    </row>
    <row r="176" ht="12.75" customHeight="1">
      <c r="C176" s="164"/>
      <c r="D176" s="164"/>
      <c r="E176" s="164"/>
      <c r="F176" s="164"/>
      <c r="G176" s="164"/>
      <c r="H176" s="164"/>
      <c r="I176" s="164"/>
      <c r="J176" s="164"/>
      <c r="K176" s="164"/>
      <c r="L176" s="164"/>
      <c r="M176" s="164"/>
      <c r="N176" s="164"/>
      <c r="O176" s="164"/>
      <c r="P176" s="164"/>
    </row>
    <row r="177" ht="12.75" customHeight="1">
      <c r="C177" s="164"/>
      <c r="D177" s="164"/>
      <c r="E177" s="164"/>
      <c r="F177" s="164"/>
      <c r="G177" s="164"/>
      <c r="H177" s="164"/>
      <c r="I177" s="164"/>
      <c r="J177" s="164"/>
      <c r="K177" s="164"/>
      <c r="L177" s="164"/>
      <c r="M177" s="164"/>
      <c r="N177" s="164"/>
      <c r="O177" s="164"/>
      <c r="P177" s="164"/>
    </row>
    <row r="178" ht="12.75" customHeight="1">
      <c r="C178" s="164"/>
      <c r="D178" s="164"/>
      <c r="E178" s="164"/>
      <c r="F178" s="164"/>
      <c r="G178" s="164"/>
      <c r="H178" s="164"/>
      <c r="I178" s="164"/>
      <c r="J178" s="164"/>
      <c r="K178" s="164"/>
      <c r="L178" s="164"/>
      <c r="M178" s="164"/>
      <c r="N178" s="164"/>
      <c r="O178" s="164"/>
      <c r="P178" s="164"/>
    </row>
    <row r="179" ht="12.75" customHeight="1">
      <c r="C179" s="164"/>
      <c r="D179" s="164"/>
      <c r="E179" s="164"/>
      <c r="F179" s="164"/>
      <c r="G179" s="164"/>
      <c r="H179" s="164"/>
      <c r="I179" s="164"/>
      <c r="J179" s="164"/>
      <c r="K179" s="164"/>
      <c r="L179" s="164"/>
      <c r="M179" s="164"/>
      <c r="N179" s="164"/>
      <c r="O179" s="164"/>
      <c r="P179" s="164"/>
    </row>
    <row r="180" ht="12.75" customHeight="1">
      <c r="C180" s="164"/>
      <c r="D180" s="164"/>
      <c r="E180" s="164"/>
      <c r="F180" s="164"/>
      <c r="G180" s="164"/>
      <c r="H180" s="164"/>
      <c r="I180" s="164"/>
      <c r="J180" s="164"/>
      <c r="K180" s="164"/>
      <c r="L180" s="164"/>
      <c r="M180" s="164"/>
      <c r="N180" s="164"/>
      <c r="O180" s="164"/>
      <c r="P180" s="164"/>
    </row>
    <row r="181" ht="12.75" customHeight="1">
      <c r="C181" s="164"/>
      <c r="D181" s="164"/>
      <c r="E181" s="164"/>
      <c r="F181" s="164"/>
      <c r="G181" s="164"/>
      <c r="H181" s="164"/>
      <c r="I181" s="164"/>
      <c r="J181" s="164"/>
      <c r="K181" s="164"/>
      <c r="L181" s="164"/>
      <c r="M181" s="164"/>
      <c r="N181" s="164"/>
      <c r="O181" s="164"/>
      <c r="P181" s="164"/>
    </row>
    <row r="182" ht="12.75" customHeight="1">
      <c r="C182" s="164"/>
      <c r="D182" s="164"/>
      <c r="E182" s="164"/>
      <c r="F182" s="164"/>
      <c r="G182" s="164"/>
      <c r="H182" s="164"/>
      <c r="I182" s="164"/>
      <c r="J182" s="164"/>
      <c r="K182" s="164"/>
      <c r="L182" s="164"/>
      <c r="M182" s="164"/>
      <c r="N182" s="164"/>
      <c r="O182" s="164"/>
      <c r="P182" s="164"/>
    </row>
    <row r="183" ht="12.75" customHeight="1">
      <c r="C183" s="164"/>
      <c r="D183" s="164"/>
      <c r="E183" s="164"/>
      <c r="F183" s="164"/>
      <c r="G183" s="164"/>
      <c r="H183" s="164"/>
      <c r="I183" s="164"/>
      <c r="J183" s="164"/>
      <c r="K183" s="164"/>
      <c r="L183" s="164"/>
      <c r="M183" s="164"/>
      <c r="N183" s="164"/>
      <c r="O183" s="164"/>
      <c r="P183" s="164"/>
    </row>
    <row r="184" ht="12.75" customHeight="1">
      <c r="C184" s="164"/>
      <c r="D184" s="164"/>
      <c r="E184" s="164"/>
      <c r="F184" s="164"/>
      <c r="G184" s="164"/>
      <c r="H184" s="164"/>
      <c r="I184" s="164"/>
      <c r="J184" s="164"/>
      <c r="K184" s="164"/>
      <c r="L184" s="164"/>
      <c r="M184" s="164"/>
      <c r="N184" s="164"/>
      <c r="O184" s="164"/>
      <c r="P184" s="164"/>
    </row>
    <row r="185" ht="12.75" customHeight="1">
      <c r="C185" s="164"/>
      <c r="D185" s="164"/>
      <c r="E185" s="164"/>
      <c r="F185" s="164"/>
      <c r="G185" s="164"/>
      <c r="H185" s="164"/>
      <c r="I185" s="164"/>
      <c r="J185" s="164"/>
      <c r="K185" s="164"/>
      <c r="L185" s="164"/>
      <c r="M185" s="164"/>
      <c r="N185" s="164"/>
      <c r="O185" s="164"/>
      <c r="P185" s="164"/>
    </row>
    <row r="186" ht="12.75" customHeight="1">
      <c r="C186" s="164"/>
      <c r="D186" s="164"/>
      <c r="E186" s="164"/>
      <c r="F186" s="164"/>
      <c r="G186" s="164"/>
      <c r="H186" s="164"/>
      <c r="I186" s="164"/>
      <c r="J186" s="164"/>
      <c r="K186" s="164"/>
      <c r="L186" s="164"/>
      <c r="M186" s="164"/>
      <c r="N186" s="164"/>
      <c r="O186" s="164"/>
      <c r="P186" s="164"/>
    </row>
    <row r="187" ht="12.75" customHeight="1">
      <c r="C187" s="164"/>
      <c r="D187" s="164"/>
      <c r="E187" s="164"/>
      <c r="F187" s="164"/>
      <c r="G187" s="164"/>
      <c r="H187" s="164"/>
      <c r="I187" s="164"/>
      <c r="J187" s="164"/>
      <c r="K187" s="164"/>
      <c r="L187" s="164"/>
      <c r="M187" s="164"/>
      <c r="N187" s="164"/>
      <c r="O187" s="164"/>
      <c r="P187" s="164"/>
    </row>
    <row r="188" ht="12.75" customHeight="1">
      <c r="C188" s="164"/>
      <c r="D188" s="164"/>
      <c r="E188" s="164"/>
      <c r="F188" s="164"/>
      <c r="G188" s="164"/>
      <c r="H188" s="164"/>
      <c r="I188" s="164"/>
      <c r="J188" s="164"/>
      <c r="K188" s="164"/>
      <c r="L188" s="164"/>
      <c r="M188" s="164"/>
      <c r="N188" s="164"/>
      <c r="O188" s="164"/>
      <c r="P188" s="164"/>
    </row>
    <row r="189" ht="12.75" customHeight="1">
      <c r="C189" s="164"/>
      <c r="D189" s="164"/>
      <c r="E189" s="164"/>
      <c r="F189" s="164"/>
      <c r="G189" s="164"/>
      <c r="H189" s="164"/>
      <c r="I189" s="164"/>
      <c r="J189" s="164"/>
      <c r="K189" s="164"/>
      <c r="L189" s="164"/>
      <c r="M189" s="164"/>
      <c r="N189" s="164"/>
      <c r="O189" s="164"/>
      <c r="P189" s="164"/>
    </row>
    <row r="190" ht="12.75" customHeight="1">
      <c r="C190" s="164"/>
      <c r="D190" s="164"/>
      <c r="E190" s="164"/>
      <c r="F190" s="164"/>
      <c r="G190" s="164"/>
      <c r="H190" s="164"/>
      <c r="I190" s="164"/>
      <c r="J190" s="164"/>
      <c r="K190" s="164"/>
      <c r="L190" s="164"/>
      <c r="M190" s="164"/>
      <c r="N190" s="164"/>
      <c r="O190" s="164"/>
      <c r="P190" s="164"/>
    </row>
    <row r="191" ht="12.75" customHeight="1">
      <c r="C191" s="164"/>
      <c r="D191" s="164"/>
      <c r="E191" s="164"/>
      <c r="F191" s="164"/>
      <c r="G191" s="164"/>
      <c r="H191" s="164"/>
      <c r="I191" s="164"/>
      <c r="J191" s="164"/>
      <c r="K191" s="164"/>
      <c r="L191" s="164"/>
      <c r="M191" s="164"/>
      <c r="N191" s="164"/>
      <c r="O191" s="164"/>
      <c r="P191" s="164"/>
    </row>
    <row r="192" ht="12.75" customHeight="1">
      <c r="C192" s="164"/>
      <c r="D192" s="164"/>
      <c r="E192" s="164"/>
      <c r="F192" s="164"/>
      <c r="G192" s="164"/>
      <c r="H192" s="164"/>
      <c r="I192" s="164"/>
      <c r="J192" s="164"/>
      <c r="K192" s="164"/>
      <c r="L192" s="164"/>
      <c r="M192" s="164"/>
      <c r="N192" s="164"/>
      <c r="O192" s="164"/>
      <c r="P192" s="164"/>
    </row>
    <row r="193" ht="12.75" customHeight="1">
      <c r="C193" s="164"/>
      <c r="D193" s="164"/>
      <c r="E193" s="164"/>
      <c r="F193" s="164"/>
      <c r="G193" s="164"/>
      <c r="H193" s="164"/>
      <c r="I193" s="164"/>
      <c r="J193" s="164"/>
      <c r="K193" s="164"/>
      <c r="L193" s="164"/>
      <c r="M193" s="164"/>
      <c r="N193" s="164"/>
      <c r="O193" s="164"/>
      <c r="P193" s="164"/>
    </row>
    <row r="194" ht="12.75" customHeight="1">
      <c r="C194" s="164"/>
      <c r="D194" s="164"/>
      <c r="E194" s="164"/>
      <c r="F194" s="164"/>
      <c r="G194" s="164"/>
      <c r="H194" s="164"/>
      <c r="I194" s="164"/>
      <c r="J194" s="164"/>
      <c r="K194" s="164"/>
      <c r="L194" s="164"/>
      <c r="M194" s="164"/>
      <c r="N194" s="164"/>
      <c r="O194" s="164"/>
      <c r="P194" s="164"/>
    </row>
    <row r="195" ht="12.75" customHeight="1">
      <c r="C195" s="164"/>
      <c r="D195" s="164"/>
      <c r="E195" s="164"/>
      <c r="F195" s="164"/>
      <c r="G195" s="164"/>
      <c r="H195" s="164"/>
      <c r="I195" s="164"/>
      <c r="J195" s="164"/>
      <c r="K195" s="164"/>
      <c r="L195" s="164"/>
      <c r="M195" s="164"/>
      <c r="N195" s="164"/>
      <c r="O195" s="164"/>
      <c r="P195" s="164"/>
    </row>
    <row r="196" ht="12.75" customHeight="1">
      <c r="C196" s="164"/>
      <c r="D196" s="164"/>
      <c r="E196" s="164"/>
      <c r="F196" s="164"/>
      <c r="G196" s="164"/>
      <c r="H196" s="164"/>
      <c r="I196" s="164"/>
      <c r="J196" s="164"/>
      <c r="K196" s="164"/>
      <c r="L196" s="164"/>
      <c r="M196" s="164"/>
      <c r="N196" s="164"/>
      <c r="O196" s="164"/>
      <c r="P196" s="164"/>
    </row>
    <row r="197" ht="12.75" customHeight="1">
      <c r="C197" s="164"/>
      <c r="D197" s="164"/>
      <c r="E197" s="164"/>
      <c r="F197" s="164"/>
      <c r="G197" s="164"/>
      <c r="H197" s="164"/>
      <c r="I197" s="164"/>
      <c r="J197" s="164"/>
      <c r="K197" s="164"/>
      <c r="L197" s="164"/>
      <c r="M197" s="164"/>
      <c r="N197" s="164"/>
      <c r="O197" s="164"/>
      <c r="P197" s="164"/>
    </row>
    <row r="198" ht="12.75" customHeight="1">
      <c r="C198" s="164"/>
      <c r="D198" s="164"/>
      <c r="E198" s="164"/>
      <c r="F198" s="164"/>
      <c r="G198" s="164"/>
      <c r="H198" s="164"/>
      <c r="I198" s="164"/>
      <c r="J198" s="164"/>
      <c r="K198" s="164"/>
      <c r="L198" s="164"/>
      <c r="M198" s="164"/>
      <c r="N198" s="164"/>
      <c r="O198" s="164"/>
      <c r="P198" s="164"/>
    </row>
    <row r="199" ht="12.75" customHeight="1">
      <c r="C199" s="164"/>
      <c r="D199" s="164"/>
      <c r="E199" s="164"/>
      <c r="F199" s="164"/>
      <c r="G199" s="164"/>
      <c r="H199" s="164"/>
      <c r="I199" s="164"/>
      <c r="J199" s="164"/>
      <c r="K199" s="164"/>
      <c r="L199" s="164"/>
      <c r="M199" s="164"/>
      <c r="N199" s="164"/>
      <c r="O199" s="164"/>
      <c r="P199" s="164"/>
    </row>
    <row r="200" ht="12.75" customHeight="1">
      <c r="C200" s="164"/>
      <c r="D200" s="164"/>
      <c r="E200" s="164"/>
      <c r="F200" s="164"/>
      <c r="G200" s="164"/>
      <c r="H200" s="164"/>
      <c r="I200" s="164"/>
      <c r="J200" s="164"/>
      <c r="K200" s="164"/>
      <c r="L200" s="164"/>
      <c r="M200" s="164"/>
      <c r="N200" s="164"/>
      <c r="O200" s="164"/>
      <c r="P200" s="164"/>
    </row>
    <row r="201" ht="12.75" customHeight="1">
      <c r="C201" s="164"/>
      <c r="D201" s="164"/>
      <c r="E201" s="164"/>
      <c r="F201" s="164"/>
      <c r="G201" s="164"/>
      <c r="H201" s="164"/>
      <c r="I201" s="164"/>
      <c r="J201" s="164"/>
      <c r="K201" s="164"/>
      <c r="L201" s="164"/>
      <c r="M201" s="164"/>
      <c r="N201" s="164"/>
      <c r="O201" s="164"/>
      <c r="P201" s="164"/>
    </row>
    <row r="202" ht="12.75" customHeight="1">
      <c r="C202" s="164"/>
      <c r="D202" s="164"/>
      <c r="E202" s="164"/>
      <c r="F202" s="164"/>
      <c r="G202" s="164"/>
      <c r="H202" s="164"/>
      <c r="I202" s="164"/>
      <c r="J202" s="164"/>
      <c r="K202" s="164"/>
      <c r="L202" s="164"/>
      <c r="M202" s="164"/>
      <c r="N202" s="164"/>
      <c r="O202" s="164"/>
      <c r="P202" s="164"/>
    </row>
    <row r="203" ht="12.75" customHeight="1">
      <c r="C203" s="164"/>
      <c r="D203" s="164"/>
      <c r="E203" s="164"/>
      <c r="F203" s="164"/>
      <c r="G203" s="164"/>
      <c r="H203" s="164"/>
      <c r="I203" s="164"/>
      <c r="J203" s="164"/>
      <c r="K203" s="164"/>
      <c r="L203" s="164"/>
      <c r="M203" s="164"/>
      <c r="N203" s="164"/>
      <c r="O203" s="164"/>
      <c r="P203" s="164"/>
    </row>
    <row r="204" ht="12.75" customHeight="1">
      <c r="C204" s="164"/>
      <c r="D204" s="164"/>
      <c r="E204" s="164"/>
      <c r="F204" s="164"/>
      <c r="G204" s="164"/>
      <c r="H204" s="164"/>
      <c r="I204" s="164"/>
      <c r="J204" s="164"/>
      <c r="K204" s="164"/>
      <c r="L204" s="164"/>
      <c r="M204" s="164"/>
      <c r="N204" s="164"/>
      <c r="O204" s="164"/>
      <c r="P204" s="164"/>
    </row>
    <row r="205" ht="12.75" customHeight="1">
      <c r="C205" s="164"/>
      <c r="D205" s="164"/>
      <c r="E205" s="164"/>
      <c r="F205" s="164"/>
      <c r="G205" s="164"/>
      <c r="H205" s="164"/>
      <c r="I205" s="164"/>
      <c r="J205" s="164"/>
      <c r="K205" s="164"/>
      <c r="L205" s="164"/>
      <c r="M205" s="164"/>
      <c r="N205" s="164"/>
      <c r="O205" s="164"/>
      <c r="P205" s="164"/>
    </row>
    <row r="206" ht="12.75" customHeight="1">
      <c r="C206" s="164"/>
      <c r="D206" s="164"/>
      <c r="E206" s="164"/>
      <c r="F206" s="164"/>
      <c r="G206" s="164"/>
      <c r="H206" s="164"/>
      <c r="I206" s="164"/>
      <c r="J206" s="164"/>
      <c r="K206" s="164"/>
      <c r="L206" s="164"/>
      <c r="M206" s="164"/>
      <c r="N206" s="164"/>
      <c r="O206" s="164"/>
      <c r="P206" s="164"/>
    </row>
    <row r="207" ht="12.75" customHeight="1">
      <c r="C207" s="164"/>
      <c r="D207" s="164"/>
      <c r="E207" s="164"/>
      <c r="F207" s="164"/>
      <c r="G207" s="164"/>
      <c r="H207" s="164"/>
      <c r="I207" s="164"/>
      <c r="J207" s="164"/>
      <c r="K207" s="164"/>
      <c r="L207" s="164"/>
      <c r="M207" s="164"/>
      <c r="N207" s="164"/>
      <c r="O207" s="164"/>
      <c r="P207" s="164"/>
    </row>
    <row r="208" ht="12.75" customHeight="1">
      <c r="C208" s="164"/>
      <c r="D208" s="164"/>
      <c r="E208" s="164"/>
      <c r="F208" s="164"/>
      <c r="G208" s="164"/>
      <c r="H208" s="164"/>
      <c r="I208" s="164"/>
      <c r="J208" s="164"/>
      <c r="K208" s="164"/>
      <c r="L208" s="164"/>
      <c r="M208" s="164"/>
      <c r="N208" s="164"/>
      <c r="O208" s="164"/>
      <c r="P208" s="164"/>
    </row>
    <row r="209" ht="12.75" customHeight="1">
      <c r="C209" s="164"/>
      <c r="D209" s="164"/>
      <c r="E209" s="164"/>
      <c r="F209" s="164"/>
      <c r="G209" s="164"/>
      <c r="H209" s="164"/>
      <c r="I209" s="164"/>
      <c r="J209" s="164"/>
      <c r="K209" s="164"/>
      <c r="L209" s="164"/>
      <c r="M209" s="164"/>
      <c r="N209" s="164"/>
      <c r="O209" s="164"/>
      <c r="P209" s="164"/>
    </row>
    <row r="210" ht="12.75" customHeight="1">
      <c r="C210" s="164"/>
      <c r="D210" s="164"/>
      <c r="E210" s="164"/>
      <c r="F210" s="164"/>
      <c r="G210" s="164"/>
      <c r="H210" s="164"/>
      <c r="I210" s="164"/>
      <c r="J210" s="164"/>
      <c r="K210" s="164"/>
      <c r="L210" s="164"/>
      <c r="M210" s="164"/>
      <c r="N210" s="164"/>
      <c r="O210" s="164"/>
      <c r="P210" s="164"/>
    </row>
    <row r="211" ht="12.75" customHeight="1">
      <c r="C211" s="164"/>
      <c r="D211" s="164"/>
      <c r="E211" s="164"/>
      <c r="F211" s="164"/>
      <c r="G211" s="164"/>
      <c r="H211" s="164"/>
      <c r="I211" s="164"/>
      <c r="J211" s="164"/>
      <c r="K211" s="164"/>
      <c r="L211" s="164"/>
      <c r="M211" s="164"/>
      <c r="N211" s="164"/>
      <c r="O211" s="164"/>
      <c r="P211" s="164"/>
    </row>
    <row r="212" ht="12.75" customHeight="1">
      <c r="C212" s="164"/>
      <c r="D212" s="164"/>
      <c r="E212" s="164"/>
      <c r="F212" s="164"/>
      <c r="G212" s="164"/>
      <c r="H212" s="164"/>
      <c r="I212" s="164"/>
      <c r="J212" s="164"/>
      <c r="K212" s="164"/>
      <c r="L212" s="164"/>
      <c r="M212" s="164"/>
      <c r="N212" s="164"/>
      <c r="O212" s="164"/>
      <c r="P212" s="164"/>
    </row>
    <row r="213" ht="12.75" customHeight="1">
      <c r="C213" s="164"/>
      <c r="D213" s="164"/>
      <c r="E213" s="164"/>
      <c r="F213" s="164"/>
      <c r="G213" s="164"/>
      <c r="H213" s="164"/>
      <c r="I213" s="164"/>
      <c r="J213" s="164"/>
      <c r="K213" s="164"/>
      <c r="L213" s="164"/>
      <c r="M213" s="164"/>
      <c r="N213" s="164"/>
      <c r="O213" s="164"/>
      <c r="P213" s="164"/>
    </row>
    <row r="214" ht="12.75" customHeight="1">
      <c r="C214" s="164"/>
      <c r="D214" s="164"/>
      <c r="E214" s="164"/>
      <c r="F214" s="164"/>
      <c r="G214" s="164"/>
      <c r="H214" s="164"/>
      <c r="I214" s="164"/>
      <c r="J214" s="164"/>
      <c r="K214" s="164"/>
      <c r="L214" s="164"/>
      <c r="M214" s="164"/>
      <c r="N214" s="164"/>
      <c r="O214" s="164"/>
      <c r="P214" s="164"/>
    </row>
    <row r="215" ht="12.75" customHeight="1">
      <c r="C215" s="164"/>
      <c r="D215" s="164"/>
      <c r="E215" s="164"/>
      <c r="F215" s="164"/>
      <c r="G215" s="164"/>
      <c r="H215" s="164"/>
      <c r="I215" s="164"/>
      <c r="J215" s="164"/>
      <c r="K215" s="164"/>
      <c r="L215" s="164"/>
      <c r="M215" s="164"/>
      <c r="N215" s="164"/>
      <c r="O215" s="164"/>
      <c r="P215" s="164"/>
    </row>
    <row r="216" ht="12.75" customHeight="1">
      <c r="C216" s="164"/>
      <c r="D216" s="164"/>
      <c r="E216" s="164"/>
      <c r="F216" s="164"/>
      <c r="G216" s="164"/>
      <c r="H216" s="164"/>
      <c r="I216" s="164"/>
      <c r="J216" s="164"/>
      <c r="K216" s="164"/>
      <c r="L216" s="164"/>
      <c r="M216" s="164"/>
      <c r="N216" s="164"/>
      <c r="O216" s="164"/>
      <c r="P216" s="164"/>
    </row>
    <row r="217" ht="12.75" customHeight="1">
      <c r="C217" s="164"/>
      <c r="D217" s="164"/>
      <c r="E217" s="164"/>
      <c r="F217" s="164"/>
      <c r="G217" s="164"/>
      <c r="H217" s="164"/>
      <c r="I217" s="164"/>
      <c r="J217" s="164"/>
      <c r="K217" s="164"/>
      <c r="L217" s="164"/>
      <c r="M217" s="164"/>
      <c r="N217" s="164"/>
      <c r="O217" s="164"/>
      <c r="P217" s="164"/>
    </row>
    <row r="218" ht="12.75" customHeight="1">
      <c r="C218" s="164"/>
      <c r="D218" s="164"/>
      <c r="E218" s="164"/>
      <c r="F218" s="164"/>
      <c r="G218" s="164"/>
      <c r="H218" s="164"/>
      <c r="I218" s="164"/>
      <c r="J218" s="164"/>
      <c r="K218" s="164"/>
      <c r="L218" s="164"/>
      <c r="M218" s="164"/>
      <c r="N218" s="164"/>
      <c r="O218" s="164"/>
      <c r="P218" s="164"/>
    </row>
    <row r="219" ht="12.75" customHeight="1">
      <c r="C219" s="164"/>
      <c r="D219" s="164"/>
      <c r="E219" s="164"/>
      <c r="F219" s="164"/>
      <c r="G219" s="164"/>
      <c r="H219" s="164"/>
      <c r="I219" s="164"/>
      <c r="J219" s="164"/>
      <c r="K219" s="164"/>
      <c r="L219" s="164"/>
      <c r="M219" s="164"/>
      <c r="N219" s="164"/>
      <c r="O219" s="164"/>
      <c r="P219" s="164"/>
    </row>
    <row r="220" ht="12.75" customHeight="1">
      <c r="C220" s="164"/>
      <c r="D220" s="164"/>
      <c r="E220" s="164"/>
      <c r="F220" s="164"/>
      <c r="G220" s="164"/>
      <c r="H220" s="164"/>
      <c r="I220" s="164"/>
      <c r="J220" s="164"/>
      <c r="K220" s="164"/>
      <c r="L220" s="164"/>
      <c r="M220" s="164"/>
      <c r="N220" s="164"/>
      <c r="O220" s="164"/>
      <c r="P220" s="164"/>
    </row>
    <row r="221" ht="12.75" customHeight="1">
      <c r="C221" s="164"/>
      <c r="D221" s="164"/>
      <c r="E221" s="164"/>
      <c r="F221" s="164"/>
      <c r="G221" s="164"/>
      <c r="H221" s="164"/>
      <c r="I221" s="164"/>
      <c r="J221" s="164"/>
      <c r="K221" s="164"/>
      <c r="L221" s="164"/>
      <c r="M221" s="164"/>
      <c r="N221" s="164"/>
      <c r="O221" s="164"/>
      <c r="P221" s="164"/>
    </row>
    <row r="222" ht="12.75" customHeight="1">
      <c r="C222" s="164"/>
      <c r="D222" s="164"/>
      <c r="E222" s="164"/>
      <c r="F222" s="164"/>
      <c r="G222" s="164"/>
      <c r="H222" s="164"/>
      <c r="I222" s="164"/>
      <c r="J222" s="164"/>
      <c r="K222" s="164"/>
      <c r="L222" s="164"/>
      <c r="M222" s="164"/>
      <c r="N222" s="164"/>
      <c r="O222" s="164"/>
      <c r="P222" s="164"/>
    </row>
    <row r="223" ht="12.75" customHeight="1">
      <c r="C223" s="164"/>
      <c r="D223" s="164"/>
      <c r="E223" s="164"/>
      <c r="F223" s="164"/>
      <c r="G223" s="164"/>
      <c r="H223" s="164"/>
      <c r="I223" s="164"/>
      <c r="J223" s="164"/>
      <c r="K223" s="164"/>
      <c r="L223" s="164"/>
      <c r="M223" s="164"/>
      <c r="N223" s="164"/>
      <c r="O223" s="164"/>
      <c r="P223" s="164"/>
    </row>
    <row r="224" ht="12.75" customHeight="1">
      <c r="C224" s="164"/>
      <c r="D224" s="164"/>
      <c r="E224" s="164"/>
      <c r="F224" s="164"/>
      <c r="G224" s="164"/>
      <c r="H224" s="164"/>
      <c r="I224" s="164"/>
      <c r="J224" s="164"/>
      <c r="K224" s="164"/>
      <c r="L224" s="164"/>
      <c r="M224" s="164"/>
      <c r="N224" s="164"/>
      <c r="O224" s="164"/>
      <c r="P224" s="164"/>
    </row>
    <row r="225" ht="12.75" customHeight="1">
      <c r="C225" s="164"/>
      <c r="D225" s="164"/>
      <c r="E225" s="164"/>
      <c r="F225" s="164"/>
      <c r="G225" s="164"/>
      <c r="H225" s="164"/>
      <c r="I225" s="164"/>
      <c r="J225" s="164"/>
      <c r="K225" s="164"/>
      <c r="L225" s="164"/>
      <c r="M225" s="164"/>
      <c r="N225" s="164"/>
      <c r="O225" s="164"/>
      <c r="P225" s="164"/>
    </row>
    <row r="226" ht="12.75" customHeight="1">
      <c r="C226" s="164"/>
      <c r="D226" s="164"/>
      <c r="E226" s="164"/>
      <c r="F226" s="164"/>
      <c r="G226" s="164"/>
      <c r="H226" s="164"/>
      <c r="I226" s="164"/>
      <c r="J226" s="164"/>
      <c r="K226" s="164"/>
      <c r="L226" s="164"/>
      <c r="M226" s="164"/>
      <c r="N226" s="164"/>
      <c r="O226" s="164"/>
      <c r="P226" s="164"/>
    </row>
    <row r="227" ht="12.75" customHeight="1">
      <c r="C227" s="164"/>
      <c r="D227" s="164"/>
      <c r="E227" s="164"/>
      <c r="F227" s="164"/>
      <c r="G227" s="164"/>
      <c r="H227" s="164"/>
      <c r="I227" s="164"/>
      <c r="J227" s="164"/>
      <c r="K227" s="164"/>
      <c r="L227" s="164"/>
      <c r="M227" s="164"/>
      <c r="N227" s="164"/>
      <c r="O227" s="164"/>
      <c r="P227" s="164"/>
    </row>
    <row r="228" ht="12.75" customHeight="1">
      <c r="C228" s="164"/>
      <c r="D228" s="164"/>
      <c r="E228" s="164"/>
      <c r="F228" s="164"/>
      <c r="G228" s="164"/>
      <c r="H228" s="164"/>
      <c r="I228" s="164"/>
      <c r="J228" s="164"/>
      <c r="K228" s="164"/>
      <c r="L228" s="164"/>
      <c r="M228" s="164"/>
      <c r="N228" s="164"/>
      <c r="O228" s="164"/>
      <c r="P228" s="164"/>
    </row>
    <row r="229" ht="12.75" customHeight="1">
      <c r="C229" s="164"/>
      <c r="D229" s="164"/>
      <c r="E229" s="164"/>
      <c r="F229" s="164"/>
      <c r="G229" s="164"/>
      <c r="H229" s="164"/>
      <c r="I229" s="164"/>
      <c r="J229" s="164"/>
      <c r="K229" s="164"/>
      <c r="L229" s="164"/>
      <c r="M229" s="164"/>
      <c r="N229" s="164"/>
      <c r="O229" s="164"/>
      <c r="P229" s="164"/>
    </row>
    <row r="230" ht="12.75" customHeight="1">
      <c r="C230" s="164"/>
      <c r="D230" s="164"/>
      <c r="E230" s="164"/>
      <c r="F230" s="164"/>
      <c r="G230" s="164"/>
      <c r="H230" s="164"/>
      <c r="I230" s="164"/>
      <c r="J230" s="164"/>
      <c r="K230" s="164"/>
      <c r="L230" s="164"/>
      <c r="M230" s="164"/>
      <c r="N230" s="164"/>
      <c r="O230" s="164"/>
      <c r="P230" s="164"/>
    </row>
    <row r="231" ht="12.75" customHeight="1">
      <c r="C231" s="164"/>
      <c r="D231" s="164"/>
      <c r="E231" s="164"/>
      <c r="F231" s="164"/>
      <c r="G231" s="164"/>
      <c r="H231" s="164"/>
      <c r="I231" s="164"/>
      <c r="J231" s="164"/>
      <c r="K231" s="164"/>
      <c r="L231" s="164"/>
      <c r="M231" s="164"/>
      <c r="N231" s="164"/>
      <c r="O231" s="164"/>
      <c r="P231" s="164"/>
    </row>
    <row r="232" ht="12.75" customHeight="1">
      <c r="C232" s="164"/>
      <c r="D232" s="164"/>
      <c r="E232" s="164"/>
      <c r="F232" s="164"/>
      <c r="G232" s="164"/>
      <c r="H232" s="164"/>
      <c r="I232" s="164"/>
      <c r="J232" s="164"/>
      <c r="K232" s="164"/>
      <c r="L232" s="164"/>
      <c r="M232" s="164"/>
      <c r="N232" s="164"/>
      <c r="O232" s="164"/>
      <c r="P232" s="164"/>
    </row>
    <row r="233" ht="12.75" customHeight="1">
      <c r="C233" s="164"/>
      <c r="D233" s="164"/>
      <c r="E233" s="164"/>
      <c r="F233" s="164"/>
      <c r="G233" s="164"/>
      <c r="H233" s="164"/>
      <c r="I233" s="164"/>
      <c r="J233" s="164"/>
      <c r="K233" s="164"/>
      <c r="L233" s="164"/>
      <c r="M233" s="164"/>
      <c r="N233" s="164"/>
      <c r="O233" s="164"/>
      <c r="P233" s="164"/>
    </row>
    <row r="234" ht="12.75" customHeight="1">
      <c r="C234" s="164"/>
      <c r="D234" s="164"/>
      <c r="E234" s="164"/>
      <c r="F234" s="164"/>
      <c r="G234" s="164"/>
      <c r="H234" s="164"/>
      <c r="I234" s="164"/>
      <c r="J234" s="164"/>
      <c r="K234" s="164"/>
      <c r="L234" s="164"/>
      <c r="M234" s="164"/>
      <c r="N234" s="164"/>
      <c r="O234" s="164"/>
      <c r="P234" s="164"/>
    </row>
    <row r="235" ht="12.75" customHeight="1">
      <c r="C235" s="164"/>
      <c r="D235" s="164"/>
      <c r="E235" s="164"/>
      <c r="F235" s="164"/>
      <c r="G235" s="164"/>
      <c r="H235" s="164"/>
      <c r="I235" s="164"/>
      <c r="J235" s="164"/>
      <c r="K235" s="164"/>
      <c r="L235" s="164"/>
      <c r="M235" s="164"/>
      <c r="N235" s="164"/>
      <c r="O235" s="164"/>
      <c r="P235" s="164"/>
    </row>
    <row r="236" ht="12.75" customHeight="1">
      <c r="C236" s="164"/>
      <c r="D236" s="164"/>
      <c r="E236" s="164"/>
      <c r="F236" s="164"/>
      <c r="G236" s="164"/>
      <c r="H236" s="164"/>
      <c r="I236" s="164"/>
      <c r="J236" s="164"/>
      <c r="K236" s="164"/>
      <c r="L236" s="164"/>
      <c r="M236" s="164"/>
      <c r="N236" s="164"/>
      <c r="O236" s="164"/>
      <c r="P236" s="164"/>
    </row>
    <row r="237" ht="12.75" customHeight="1">
      <c r="C237" s="164"/>
      <c r="D237" s="164"/>
      <c r="E237" s="164"/>
      <c r="F237" s="164"/>
      <c r="G237" s="164"/>
      <c r="H237" s="164"/>
      <c r="I237" s="164"/>
      <c r="J237" s="164"/>
      <c r="K237" s="164"/>
      <c r="L237" s="164"/>
      <c r="M237" s="164"/>
      <c r="N237" s="164"/>
      <c r="O237" s="164"/>
      <c r="P237" s="164"/>
    </row>
    <row r="238" ht="12.75" customHeight="1">
      <c r="C238" s="164"/>
      <c r="D238" s="164"/>
      <c r="E238" s="164"/>
      <c r="F238" s="164"/>
      <c r="G238" s="164"/>
      <c r="H238" s="164"/>
      <c r="I238" s="164"/>
      <c r="J238" s="164"/>
      <c r="K238" s="164"/>
      <c r="L238" s="164"/>
      <c r="M238" s="164"/>
      <c r="N238" s="164"/>
      <c r="O238" s="164"/>
      <c r="P238" s="164"/>
    </row>
    <row r="239" ht="12.75" customHeight="1">
      <c r="C239" s="164"/>
      <c r="D239" s="164"/>
      <c r="E239" s="164"/>
      <c r="F239" s="164"/>
      <c r="G239" s="164"/>
      <c r="H239" s="164"/>
      <c r="I239" s="164"/>
      <c r="J239" s="164"/>
      <c r="K239" s="164"/>
      <c r="L239" s="164"/>
      <c r="M239" s="164"/>
      <c r="N239" s="164"/>
      <c r="O239" s="164"/>
      <c r="P239" s="164"/>
    </row>
    <row r="240" ht="12.75" customHeight="1">
      <c r="C240" s="164"/>
      <c r="D240" s="164"/>
      <c r="E240" s="164"/>
      <c r="F240" s="164"/>
      <c r="G240" s="164"/>
      <c r="H240" s="164"/>
      <c r="I240" s="164"/>
      <c r="J240" s="164"/>
      <c r="K240" s="164"/>
      <c r="L240" s="164"/>
      <c r="M240" s="164"/>
      <c r="N240" s="164"/>
      <c r="O240" s="164"/>
      <c r="P240" s="164"/>
    </row>
    <row r="241" ht="12.75" customHeight="1">
      <c r="C241" s="164"/>
      <c r="D241" s="164"/>
      <c r="E241" s="164"/>
      <c r="F241" s="164"/>
      <c r="G241" s="164"/>
      <c r="H241" s="164"/>
      <c r="I241" s="164"/>
      <c r="J241" s="164"/>
      <c r="K241" s="164"/>
      <c r="L241" s="164"/>
      <c r="M241" s="164"/>
      <c r="N241" s="164"/>
      <c r="O241" s="164"/>
      <c r="P241" s="164"/>
    </row>
    <row r="242" ht="12.75" customHeight="1">
      <c r="C242" s="164"/>
      <c r="D242" s="164"/>
      <c r="E242" s="164"/>
      <c r="F242" s="164"/>
      <c r="G242" s="164"/>
      <c r="H242" s="164"/>
      <c r="I242" s="164"/>
      <c r="J242" s="164"/>
      <c r="K242" s="164"/>
      <c r="L242" s="164"/>
      <c r="M242" s="164"/>
      <c r="N242" s="164"/>
      <c r="O242" s="164"/>
      <c r="P242" s="164"/>
    </row>
    <row r="243" ht="12.75" customHeight="1">
      <c r="C243" s="164"/>
      <c r="D243" s="164"/>
      <c r="E243" s="164"/>
      <c r="F243" s="164"/>
      <c r="G243" s="164"/>
      <c r="H243" s="164"/>
      <c r="I243" s="164"/>
      <c r="J243" s="164"/>
      <c r="K243" s="164"/>
      <c r="L243" s="164"/>
      <c r="M243" s="164"/>
      <c r="N243" s="164"/>
      <c r="O243" s="164"/>
      <c r="P243" s="164"/>
    </row>
    <row r="244" ht="12.75" customHeight="1">
      <c r="C244" s="164"/>
      <c r="D244" s="164"/>
      <c r="E244" s="164"/>
      <c r="F244" s="164"/>
      <c r="G244" s="164"/>
      <c r="H244" s="164"/>
      <c r="I244" s="164"/>
      <c r="J244" s="164"/>
      <c r="K244" s="164"/>
      <c r="L244" s="164"/>
      <c r="M244" s="164"/>
      <c r="N244" s="164"/>
      <c r="O244" s="164"/>
      <c r="P244" s="164"/>
    </row>
    <row r="245" ht="12.75" customHeight="1">
      <c r="C245" s="164"/>
      <c r="D245" s="164"/>
      <c r="E245" s="164"/>
      <c r="F245" s="164"/>
      <c r="G245" s="164"/>
      <c r="H245" s="164"/>
      <c r="I245" s="164"/>
      <c r="J245" s="164"/>
      <c r="K245" s="164"/>
      <c r="L245" s="164"/>
      <c r="M245" s="164"/>
      <c r="N245" s="164"/>
      <c r="O245" s="164"/>
      <c r="P245" s="164"/>
    </row>
    <row r="246" ht="12.75" customHeight="1">
      <c r="C246" s="164"/>
      <c r="D246" s="164"/>
      <c r="E246" s="164"/>
      <c r="F246" s="164"/>
      <c r="G246" s="164"/>
      <c r="H246" s="164"/>
      <c r="I246" s="164"/>
      <c r="J246" s="164"/>
      <c r="K246" s="164"/>
      <c r="L246" s="164"/>
      <c r="M246" s="164"/>
      <c r="N246" s="164"/>
      <c r="O246" s="164"/>
      <c r="P246" s="164"/>
    </row>
    <row r="247" ht="12.75" customHeight="1">
      <c r="C247" s="164"/>
      <c r="D247" s="164"/>
      <c r="E247" s="164"/>
      <c r="F247" s="164"/>
      <c r="G247" s="164"/>
      <c r="H247" s="164"/>
      <c r="I247" s="164"/>
      <c r="J247" s="164"/>
      <c r="K247" s="164"/>
      <c r="L247" s="164"/>
      <c r="M247" s="164"/>
      <c r="N247" s="164"/>
      <c r="O247" s="164"/>
      <c r="P247" s="164"/>
    </row>
    <row r="248" ht="12.75" customHeight="1">
      <c r="C248" s="164"/>
      <c r="D248" s="164"/>
      <c r="E248" s="164"/>
      <c r="F248" s="164"/>
      <c r="G248" s="164"/>
      <c r="H248" s="164"/>
      <c r="I248" s="164"/>
      <c r="J248" s="164"/>
      <c r="K248" s="164"/>
      <c r="L248" s="164"/>
      <c r="M248" s="164"/>
      <c r="N248" s="164"/>
      <c r="O248" s="164"/>
      <c r="P248" s="164"/>
    </row>
    <row r="249" ht="12.75" customHeight="1">
      <c r="C249" s="164"/>
      <c r="D249" s="164"/>
      <c r="E249" s="164"/>
      <c r="F249" s="164"/>
      <c r="G249" s="164"/>
      <c r="H249" s="164"/>
      <c r="I249" s="164"/>
      <c r="J249" s="164"/>
      <c r="K249" s="164"/>
      <c r="L249" s="164"/>
      <c r="M249" s="164"/>
      <c r="N249" s="164"/>
      <c r="O249" s="164"/>
      <c r="P249" s="164"/>
    </row>
    <row r="250" ht="12.75" customHeight="1">
      <c r="C250" s="164"/>
      <c r="D250" s="164"/>
      <c r="E250" s="164"/>
      <c r="F250" s="164"/>
      <c r="G250" s="164"/>
      <c r="H250" s="164"/>
      <c r="I250" s="164"/>
      <c r="J250" s="164"/>
      <c r="K250" s="164"/>
      <c r="L250" s="164"/>
      <c r="M250" s="164"/>
      <c r="N250" s="164"/>
      <c r="O250" s="164"/>
      <c r="P250" s="164"/>
    </row>
    <row r="251" ht="12.75" customHeight="1">
      <c r="C251" s="164"/>
      <c r="D251" s="164"/>
      <c r="E251" s="164"/>
      <c r="F251" s="164"/>
      <c r="G251" s="164"/>
      <c r="H251" s="164"/>
      <c r="I251" s="164"/>
      <c r="J251" s="164"/>
      <c r="K251" s="164"/>
      <c r="L251" s="164"/>
      <c r="M251" s="164"/>
      <c r="N251" s="164"/>
      <c r="O251" s="164"/>
      <c r="P251" s="164"/>
    </row>
    <row r="252" ht="12.75" customHeight="1">
      <c r="C252" s="164"/>
      <c r="D252" s="164"/>
      <c r="E252" s="164"/>
      <c r="F252" s="164"/>
      <c r="G252" s="164"/>
      <c r="H252" s="164"/>
      <c r="I252" s="164"/>
      <c r="J252" s="164"/>
      <c r="K252" s="164"/>
      <c r="L252" s="164"/>
      <c r="M252" s="164"/>
      <c r="N252" s="164"/>
      <c r="O252" s="164"/>
      <c r="P252" s="164"/>
    </row>
    <row r="253" ht="12.75" customHeight="1">
      <c r="C253" s="164"/>
      <c r="D253" s="164"/>
      <c r="E253" s="164"/>
      <c r="F253" s="164"/>
      <c r="G253" s="164"/>
      <c r="H253" s="164"/>
      <c r="I253" s="164"/>
      <c r="J253" s="164"/>
      <c r="K253" s="164"/>
      <c r="L253" s="164"/>
      <c r="M253" s="164"/>
      <c r="N253" s="164"/>
      <c r="O253" s="164"/>
      <c r="P253" s="164"/>
    </row>
    <row r="254" ht="12.75" customHeight="1">
      <c r="C254" s="164"/>
      <c r="D254" s="164"/>
      <c r="E254" s="164"/>
      <c r="F254" s="164"/>
      <c r="G254" s="164"/>
      <c r="H254" s="164"/>
      <c r="I254" s="164"/>
      <c r="J254" s="164"/>
      <c r="K254" s="164"/>
      <c r="L254" s="164"/>
      <c r="M254" s="164"/>
      <c r="N254" s="164"/>
      <c r="O254" s="164"/>
      <c r="P254" s="164"/>
    </row>
    <row r="255" ht="12.75" customHeight="1">
      <c r="C255" s="164"/>
      <c r="D255" s="164"/>
      <c r="E255" s="164"/>
      <c r="F255" s="164"/>
      <c r="G255" s="164"/>
      <c r="H255" s="164"/>
      <c r="I255" s="164"/>
      <c r="J255" s="164"/>
      <c r="K255" s="164"/>
      <c r="L255" s="164"/>
      <c r="M255" s="164"/>
      <c r="N255" s="164"/>
      <c r="O255" s="164"/>
      <c r="P255" s="164"/>
    </row>
    <row r="256" ht="12.75" customHeight="1">
      <c r="C256" s="164"/>
      <c r="D256" s="164"/>
      <c r="E256" s="164"/>
      <c r="F256" s="164"/>
      <c r="G256" s="164"/>
      <c r="H256" s="164"/>
      <c r="I256" s="164"/>
      <c r="J256" s="164"/>
      <c r="K256" s="164"/>
      <c r="L256" s="164"/>
      <c r="M256" s="164"/>
      <c r="N256" s="164"/>
      <c r="O256" s="164"/>
      <c r="P256" s="164"/>
    </row>
    <row r="257" ht="12.75" customHeight="1">
      <c r="C257" s="164"/>
      <c r="D257" s="164"/>
      <c r="E257" s="164"/>
      <c r="F257" s="164"/>
      <c r="G257" s="164"/>
      <c r="H257" s="164"/>
      <c r="I257" s="164"/>
      <c r="J257" s="164"/>
      <c r="K257" s="164"/>
      <c r="L257" s="164"/>
      <c r="M257" s="164"/>
      <c r="N257" s="164"/>
      <c r="O257" s="164"/>
      <c r="P257" s="164"/>
    </row>
    <row r="258" ht="12.75" customHeight="1">
      <c r="C258" s="164"/>
      <c r="D258" s="164"/>
      <c r="E258" s="164"/>
      <c r="F258" s="164"/>
      <c r="G258" s="164"/>
      <c r="H258" s="164"/>
      <c r="I258" s="164"/>
      <c r="J258" s="164"/>
      <c r="K258" s="164"/>
      <c r="L258" s="164"/>
      <c r="M258" s="164"/>
      <c r="N258" s="164"/>
      <c r="O258" s="164"/>
      <c r="P258" s="164"/>
    </row>
    <row r="259" ht="12.75" customHeight="1">
      <c r="C259" s="164"/>
      <c r="D259" s="164"/>
      <c r="E259" s="164"/>
      <c r="F259" s="164"/>
      <c r="G259" s="164"/>
      <c r="H259" s="164"/>
      <c r="I259" s="164"/>
      <c r="J259" s="164"/>
      <c r="K259" s="164"/>
      <c r="L259" s="164"/>
      <c r="M259" s="164"/>
      <c r="N259" s="164"/>
      <c r="O259" s="164"/>
      <c r="P259" s="164"/>
    </row>
    <row r="260" ht="12.75" customHeight="1">
      <c r="C260" s="164"/>
      <c r="D260" s="164"/>
      <c r="E260" s="164"/>
      <c r="F260" s="164"/>
      <c r="G260" s="164"/>
      <c r="H260" s="164"/>
      <c r="I260" s="164"/>
      <c r="J260" s="164"/>
      <c r="K260" s="164"/>
      <c r="L260" s="164"/>
      <c r="M260" s="164"/>
      <c r="N260" s="164"/>
      <c r="O260" s="164"/>
      <c r="P260" s="164"/>
    </row>
    <row r="261" ht="12.75" customHeight="1">
      <c r="C261" s="164"/>
      <c r="D261" s="164"/>
      <c r="E261" s="164"/>
      <c r="F261" s="164"/>
      <c r="G261" s="164"/>
      <c r="H261" s="164"/>
      <c r="I261" s="164"/>
      <c r="J261" s="164"/>
      <c r="K261" s="164"/>
      <c r="L261" s="164"/>
      <c r="M261" s="164"/>
      <c r="N261" s="164"/>
      <c r="O261" s="164"/>
      <c r="P261" s="164"/>
    </row>
    <row r="262" ht="12.75" customHeight="1">
      <c r="C262" s="164"/>
      <c r="D262" s="164"/>
      <c r="E262" s="164"/>
      <c r="F262" s="164"/>
      <c r="G262" s="164"/>
      <c r="H262" s="164"/>
      <c r="I262" s="164"/>
      <c r="J262" s="164"/>
      <c r="K262" s="164"/>
      <c r="L262" s="164"/>
      <c r="M262" s="164"/>
      <c r="N262" s="164"/>
      <c r="O262" s="164"/>
      <c r="P262" s="164"/>
    </row>
    <row r="263" ht="12.75" customHeight="1">
      <c r="C263" s="164"/>
      <c r="D263" s="164"/>
      <c r="E263" s="164"/>
      <c r="F263" s="164"/>
      <c r="G263" s="164"/>
      <c r="H263" s="164"/>
      <c r="I263" s="164"/>
      <c r="J263" s="164"/>
      <c r="K263" s="164"/>
      <c r="L263" s="164"/>
      <c r="M263" s="164"/>
      <c r="N263" s="164"/>
      <c r="O263" s="164"/>
      <c r="P263" s="164"/>
    </row>
    <row r="264" ht="12.75" customHeight="1">
      <c r="C264" s="164"/>
      <c r="D264" s="164"/>
      <c r="E264" s="164"/>
      <c r="F264" s="164"/>
      <c r="G264" s="164"/>
      <c r="H264" s="164"/>
      <c r="I264" s="164"/>
      <c r="J264" s="164"/>
      <c r="K264" s="164"/>
      <c r="L264" s="164"/>
      <c r="M264" s="164"/>
      <c r="N264" s="164"/>
      <c r="O264" s="164"/>
      <c r="P264" s="164"/>
    </row>
    <row r="265" ht="12.75" customHeight="1">
      <c r="C265" s="164"/>
      <c r="D265" s="164"/>
      <c r="E265" s="164"/>
      <c r="F265" s="164"/>
      <c r="G265" s="164"/>
      <c r="H265" s="164"/>
      <c r="I265" s="164"/>
      <c r="J265" s="164"/>
      <c r="K265" s="164"/>
      <c r="L265" s="164"/>
      <c r="M265" s="164"/>
      <c r="N265" s="164"/>
      <c r="O265" s="164"/>
      <c r="P265" s="164"/>
    </row>
    <row r="266" ht="12.75" customHeight="1">
      <c r="C266" s="164"/>
      <c r="D266" s="164"/>
      <c r="E266" s="164"/>
      <c r="F266" s="164"/>
      <c r="G266" s="164"/>
      <c r="H266" s="164"/>
      <c r="I266" s="164"/>
      <c r="J266" s="164"/>
      <c r="K266" s="164"/>
      <c r="L266" s="164"/>
      <c r="M266" s="164"/>
      <c r="N266" s="164"/>
      <c r="O266" s="164"/>
      <c r="P266" s="164"/>
    </row>
    <row r="267" ht="12.75" customHeight="1">
      <c r="C267" s="164"/>
      <c r="D267" s="164"/>
      <c r="E267" s="164"/>
      <c r="F267" s="164"/>
      <c r="G267" s="164"/>
      <c r="H267" s="164"/>
      <c r="I267" s="164"/>
      <c r="J267" s="164"/>
      <c r="K267" s="164"/>
      <c r="L267" s="164"/>
      <c r="M267" s="164"/>
      <c r="N267" s="164"/>
      <c r="O267" s="164"/>
      <c r="P267" s="164"/>
    </row>
    <row r="268" ht="12.75" customHeight="1">
      <c r="C268" s="164"/>
      <c r="D268" s="164"/>
      <c r="E268" s="164"/>
      <c r="F268" s="164"/>
      <c r="G268" s="164"/>
      <c r="H268" s="164"/>
      <c r="I268" s="164"/>
      <c r="J268" s="164"/>
      <c r="K268" s="164"/>
      <c r="L268" s="164"/>
      <c r="M268" s="164"/>
      <c r="N268" s="164"/>
      <c r="O268" s="164"/>
      <c r="P268" s="164"/>
    </row>
    <row r="269" ht="12.75" customHeight="1">
      <c r="C269" s="164"/>
      <c r="D269" s="164"/>
      <c r="E269" s="164"/>
      <c r="F269" s="164"/>
      <c r="G269" s="164"/>
      <c r="H269" s="164"/>
      <c r="I269" s="164"/>
      <c r="J269" s="164"/>
      <c r="K269" s="164"/>
      <c r="L269" s="164"/>
      <c r="M269" s="164"/>
      <c r="N269" s="164"/>
      <c r="O269" s="164"/>
      <c r="P269" s="164"/>
    </row>
    <row r="270" ht="12.75" customHeight="1">
      <c r="C270" s="164"/>
      <c r="D270" s="164"/>
      <c r="E270" s="164"/>
      <c r="F270" s="164"/>
      <c r="G270" s="164"/>
      <c r="H270" s="164"/>
      <c r="I270" s="164"/>
      <c r="J270" s="164"/>
      <c r="K270" s="164"/>
      <c r="L270" s="164"/>
      <c r="M270" s="164"/>
      <c r="N270" s="164"/>
      <c r="O270" s="164"/>
      <c r="P270" s="164"/>
    </row>
    <row r="271" ht="12.75" customHeight="1">
      <c r="C271" s="164"/>
      <c r="D271" s="164"/>
      <c r="E271" s="164"/>
      <c r="F271" s="164"/>
      <c r="G271" s="164"/>
      <c r="H271" s="164"/>
      <c r="I271" s="164"/>
      <c r="J271" s="164"/>
      <c r="K271" s="164"/>
      <c r="L271" s="164"/>
      <c r="M271" s="164"/>
      <c r="N271" s="164"/>
      <c r="O271" s="164"/>
      <c r="P271" s="164"/>
    </row>
    <row r="272" ht="12.75" customHeight="1">
      <c r="C272" s="164"/>
      <c r="D272" s="164"/>
      <c r="E272" s="164"/>
      <c r="F272" s="164"/>
      <c r="G272" s="164"/>
      <c r="H272" s="164"/>
      <c r="I272" s="164"/>
      <c r="J272" s="164"/>
      <c r="K272" s="164"/>
      <c r="L272" s="164"/>
      <c r="M272" s="164"/>
      <c r="N272" s="164"/>
      <c r="O272" s="164"/>
      <c r="P272" s="164"/>
    </row>
    <row r="273" ht="12.75" customHeight="1">
      <c r="C273" s="164"/>
      <c r="D273" s="164"/>
      <c r="E273" s="164"/>
      <c r="F273" s="164"/>
      <c r="G273" s="164"/>
      <c r="H273" s="164"/>
      <c r="I273" s="164"/>
      <c r="J273" s="164"/>
      <c r="K273" s="164"/>
      <c r="L273" s="164"/>
      <c r="M273" s="164"/>
      <c r="N273" s="164"/>
      <c r="O273" s="164"/>
      <c r="P273" s="164"/>
    </row>
    <row r="274" ht="12.75" customHeight="1">
      <c r="C274" s="164"/>
      <c r="D274" s="164"/>
      <c r="E274" s="164"/>
      <c r="F274" s="164"/>
      <c r="G274" s="164"/>
      <c r="H274" s="164"/>
      <c r="I274" s="164"/>
      <c r="J274" s="164"/>
      <c r="K274" s="164"/>
      <c r="L274" s="164"/>
      <c r="M274" s="164"/>
      <c r="N274" s="164"/>
      <c r="O274" s="164"/>
      <c r="P274" s="164"/>
    </row>
    <row r="275" ht="12.75" customHeight="1">
      <c r="C275" s="164"/>
      <c r="D275" s="164"/>
      <c r="E275" s="164"/>
      <c r="F275" s="164"/>
      <c r="G275" s="164"/>
      <c r="H275" s="164"/>
      <c r="I275" s="164"/>
      <c r="J275" s="164"/>
      <c r="K275" s="164"/>
      <c r="L275" s="164"/>
      <c r="M275" s="164"/>
      <c r="N275" s="164"/>
      <c r="O275" s="164"/>
      <c r="P275" s="164"/>
    </row>
    <row r="276" ht="12.75" customHeight="1">
      <c r="C276" s="164"/>
      <c r="D276" s="164"/>
      <c r="E276" s="164"/>
      <c r="F276" s="164"/>
      <c r="G276" s="164"/>
      <c r="H276" s="164"/>
      <c r="I276" s="164"/>
      <c r="J276" s="164"/>
      <c r="K276" s="164"/>
      <c r="L276" s="164"/>
      <c r="M276" s="164"/>
      <c r="N276" s="164"/>
      <c r="O276" s="164"/>
      <c r="P276" s="164"/>
    </row>
    <row r="277" ht="12.75" customHeight="1">
      <c r="C277" s="164"/>
      <c r="D277" s="164"/>
      <c r="E277" s="164"/>
      <c r="F277" s="164"/>
      <c r="G277" s="164"/>
      <c r="H277" s="164"/>
      <c r="I277" s="164"/>
      <c r="J277" s="164"/>
      <c r="K277" s="164"/>
      <c r="L277" s="164"/>
      <c r="M277" s="164"/>
      <c r="N277" s="164"/>
      <c r="O277" s="164"/>
      <c r="P277" s="164"/>
    </row>
    <row r="278" ht="12.75" customHeight="1">
      <c r="C278" s="164"/>
      <c r="D278" s="164"/>
      <c r="E278" s="164"/>
      <c r="F278" s="164"/>
      <c r="G278" s="164"/>
      <c r="H278" s="164"/>
      <c r="I278" s="164"/>
      <c r="J278" s="164"/>
      <c r="K278" s="164"/>
      <c r="L278" s="164"/>
      <c r="M278" s="164"/>
      <c r="N278" s="164"/>
      <c r="O278" s="164"/>
      <c r="P278" s="164"/>
    </row>
    <row r="279" ht="12.75" customHeight="1">
      <c r="C279" s="164"/>
      <c r="D279" s="164"/>
      <c r="E279" s="164"/>
      <c r="F279" s="164"/>
      <c r="G279" s="164"/>
      <c r="H279" s="164"/>
      <c r="I279" s="164"/>
      <c r="J279" s="164"/>
      <c r="K279" s="164"/>
      <c r="L279" s="164"/>
      <c r="M279" s="164"/>
      <c r="N279" s="164"/>
      <c r="O279" s="164"/>
      <c r="P279" s="164"/>
    </row>
    <row r="280" ht="12.75" customHeight="1">
      <c r="C280" s="164"/>
      <c r="D280" s="164"/>
      <c r="E280" s="164"/>
      <c r="F280" s="164"/>
      <c r="G280" s="164"/>
      <c r="H280" s="164"/>
      <c r="I280" s="164"/>
      <c r="J280" s="164"/>
      <c r="K280" s="164"/>
      <c r="L280" s="164"/>
      <c r="M280" s="164"/>
      <c r="N280" s="164"/>
      <c r="O280" s="164"/>
      <c r="P280" s="164"/>
    </row>
    <row r="281" ht="12.75" customHeight="1">
      <c r="C281" s="164"/>
      <c r="D281" s="164"/>
      <c r="E281" s="164"/>
      <c r="F281" s="164"/>
      <c r="G281" s="164"/>
      <c r="H281" s="164"/>
      <c r="I281" s="164"/>
      <c r="J281" s="164"/>
      <c r="K281" s="164"/>
      <c r="L281" s="164"/>
      <c r="M281" s="164"/>
      <c r="N281" s="164"/>
      <c r="O281" s="164"/>
      <c r="P281" s="164"/>
    </row>
    <row r="282" ht="12.75" customHeight="1">
      <c r="C282" s="164"/>
      <c r="D282" s="164"/>
      <c r="E282" s="164"/>
      <c r="F282" s="164"/>
      <c r="G282" s="164"/>
      <c r="H282" s="164"/>
      <c r="I282" s="164"/>
      <c r="J282" s="164"/>
      <c r="K282" s="164"/>
      <c r="L282" s="164"/>
      <c r="M282" s="164"/>
      <c r="N282" s="164"/>
      <c r="O282" s="164"/>
      <c r="P282" s="164"/>
    </row>
    <row r="283" ht="12.75" customHeight="1">
      <c r="C283" s="164"/>
      <c r="D283" s="164"/>
      <c r="E283" s="164"/>
      <c r="F283" s="164"/>
      <c r="G283" s="164"/>
      <c r="H283" s="164"/>
      <c r="I283" s="164"/>
      <c r="J283" s="164"/>
      <c r="K283" s="164"/>
      <c r="L283" s="164"/>
      <c r="M283" s="164"/>
      <c r="N283" s="164"/>
      <c r="O283" s="164"/>
      <c r="P283" s="164"/>
    </row>
    <row r="284" ht="12.75" customHeight="1">
      <c r="C284" s="164"/>
      <c r="D284" s="164"/>
      <c r="E284" s="164"/>
      <c r="F284" s="164"/>
      <c r="G284" s="164"/>
      <c r="H284" s="164"/>
      <c r="I284" s="164"/>
      <c r="J284" s="164"/>
      <c r="K284" s="164"/>
      <c r="L284" s="164"/>
      <c r="M284" s="164"/>
      <c r="N284" s="164"/>
      <c r="O284" s="164"/>
      <c r="P284" s="164"/>
    </row>
    <row r="285" ht="12.75" customHeight="1">
      <c r="C285" s="164"/>
      <c r="D285" s="164"/>
      <c r="E285" s="164"/>
      <c r="F285" s="164"/>
      <c r="G285" s="164"/>
      <c r="H285" s="164"/>
      <c r="I285" s="164"/>
      <c r="J285" s="164"/>
      <c r="K285" s="164"/>
      <c r="L285" s="164"/>
      <c r="M285" s="164"/>
      <c r="N285" s="164"/>
      <c r="O285" s="164"/>
      <c r="P285" s="164"/>
    </row>
    <row r="286" ht="12.75" customHeight="1">
      <c r="C286" s="164"/>
      <c r="D286" s="164"/>
      <c r="E286" s="164"/>
      <c r="F286" s="164"/>
      <c r="G286" s="164"/>
      <c r="H286" s="164"/>
      <c r="I286" s="164"/>
      <c r="J286" s="164"/>
      <c r="K286" s="164"/>
      <c r="L286" s="164"/>
      <c r="M286" s="164"/>
      <c r="N286" s="164"/>
      <c r="O286" s="164"/>
      <c r="P286" s="164"/>
    </row>
    <row r="287" ht="12.75" customHeight="1">
      <c r="C287" s="164"/>
      <c r="D287" s="164"/>
      <c r="E287" s="164"/>
      <c r="F287" s="164"/>
      <c r="G287" s="164"/>
      <c r="H287" s="164"/>
      <c r="I287" s="164"/>
      <c r="J287" s="164"/>
      <c r="K287" s="164"/>
      <c r="L287" s="164"/>
      <c r="M287" s="164"/>
      <c r="N287" s="164"/>
      <c r="O287" s="164"/>
      <c r="P287" s="164"/>
    </row>
    <row r="288" ht="12.75" customHeight="1">
      <c r="C288" s="164"/>
      <c r="D288" s="164"/>
      <c r="E288" s="164"/>
      <c r="F288" s="164"/>
      <c r="G288" s="164"/>
      <c r="H288" s="164"/>
      <c r="I288" s="164"/>
      <c r="J288" s="164"/>
      <c r="K288" s="164"/>
      <c r="L288" s="164"/>
      <c r="M288" s="164"/>
      <c r="N288" s="164"/>
      <c r="O288" s="164"/>
      <c r="P288" s="164"/>
    </row>
    <row r="289" ht="12.75" customHeight="1">
      <c r="C289" s="164"/>
      <c r="D289" s="164"/>
      <c r="E289" s="164"/>
      <c r="F289" s="164"/>
      <c r="G289" s="164"/>
      <c r="H289" s="164"/>
      <c r="I289" s="164"/>
      <c r="J289" s="164"/>
      <c r="K289" s="164"/>
      <c r="L289" s="164"/>
      <c r="M289" s="164"/>
      <c r="N289" s="164"/>
      <c r="O289" s="164"/>
      <c r="P289" s="164"/>
    </row>
    <row r="290" ht="12.75" customHeight="1">
      <c r="C290" s="164"/>
      <c r="D290" s="164"/>
      <c r="E290" s="164"/>
      <c r="F290" s="164"/>
      <c r="G290" s="164"/>
      <c r="H290" s="164"/>
      <c r="I290" s="164"/>
      <c r="J290" s="164"/>
      <c r="K290" s="164"/>
      <c r="L290" s="164"/>
      <c r="M290" s="164"/>
      <c r="N290" s="164"/>
      <c r="O290" s="164"/>
      <c r="P290" s="164"/>
    </row>
    <row r="291" ht="12.75" customHeight="1">
      <c r="C291" s="164"/>
      <c r="D291" s="164"/>
      <c r="E291" s="164"/>
      <c r="F291" s="164"/>
      <c r="G291" s="164"/>
      <c r="H291" s="164"/>
      <c r="I291" s="164"/>
      <c r="J291" s="164"/>
      <c r="K291" s="164"/>
      <c r="L291" s="164"/>
      <c r="M291" s="164"/>
      <c r="N291" s="164"/>
      <c r="O291" s="164"/>
      <c r="P291" s="164"/>
    </row>
    <row r="292" ht="12.75" customHeight="1">
      <c r="C292" s="164"/>
      <c r="D292" s="164"/>
      <c r="E292" s="164"/>
      <c r="F292" s="164"/>
      <c r="G292" s="164"/>
      <c r="H292" s="164"/>
      <c r="I292" s="164"/>
      <c r="J292" s="164"/>
      <c r="K292" s="164"/>
      <c r="L292" s="164"/>
      <c r="M292" s="164"/>
      <c r="N292" s="164"/>
      <c r="O292" s="164"/>
      <c r="P292" s="164"/>
    </row>
    <row r="293" ht="12.75" customHeight="1">
      <c r="C293" s="164"/>
      <c r="D293" s="164"/>
      <c r="E293" s="164"/>
      <c r="F293" s="164"/>
      <c r="G293" s="164"/>
      <c r="H293" s="164"/>
      <c r="I293" s="164"/>
      <c r="J293" s="164"/>
      <c r="K293" s="164"/>
      <c r="L293" s="164"/>
      <c r="M293" s="164"/>
      <c r="N293" s="164"/>
      <c r="O293" s="164"/>
      <c r="P293" s="164"/>
    </row>
    <row r="294" ht="12.75" customHeight="1">
      <c r="C294" s="164"/>
      <c r="D294" s="164"/>
      <c r="E294" s="164"/>
      <c r="F294" s="164"/>
      <c r="G294" s="164"/>
      <c r="H294" s="164"/>
      <c r="I294" s="164"/>
      <c r="J294" s="164"/>
      <c r="K294" s="164"/>
      <c r="L294" s="164"/>
      <c r="M294" s="164"/>
      <c r="N294" s="164"/>
      <c r="O294" s="164"/>
      <c r="P294" s="164"/>
    </row>
    <row r="295" ht="12.75" customHeight="1">
      <c r="C295" s="164"/>
      <c r="D295" s="164"/>
      <c r="E295" s="164"/>
      <c r="F295" s="164"/>
      <c r="G295" s="164"/>
      <c r="H295" s="164"/>
      <c r="I295" s="164"/>
      <c r="J295" s="164"/>
      <c r="K295" s="164"/>
      <c r="L295" s="164"/>
      <c r="M295" s="164"/>
      <c r="N295" s="164"/>
      <c r="O295" s="164"/>
      <c r="P295" s="164"/>
    </row>
    <row r="296" ht="12.75" customHeight="1">
      <c r="C296" s="164"/>
      <c r="D296" s="164"/>
      <c r="E296" s="164"/>
      <c r="F296" s="164"/>
      <c r="G296" s="164"/>
      <c r="H296" s="164"/>
      <c r="I296" s="164"/>
      <c r="J296" s="164"/>
      <c r="K296" s="164"/>
      <c r="L296" s="164"/>
      <c r="M296" s="164"/>
      <c r="N296" s="164"/>
      <c r="O296" s="164"/>
      <c r="P296" s="164"/>
    </row>
    <row r="297" ht="12.75" customHeight="1">
      <c r="C297" s="164"/>
      <c r="D297" s="164"/>
      <c r="E297" s="164"/>
      <c r="F297" s="164"/>
      <c r="G297" s="164"/>
      <c r="H297" s="164"/>
      <c r="I297" s="164"/>
      <c r="J297" s="164"/>
      <c r="K297" s="164"/>
      <c r="L297" s="164"/>
      <c r="M297" s="164"/>
      <c r="N297" s="164"/>
      <c r="O297" s="164"/>
      <c r="P297" s="164"/>
    </row>
    <row r="298" ht="12.75" customHeight="1">
      <c r="C298" s="164"/>
      <c r="D298" s="164"/>
      <c r="E298" s="164"/>
      <c r="F298" s="164"/>
      <c r="G298" s="164"/>
      <c r="H298" s="164"/>
      <c r="I298" s="164"/>
      <c r="J298" s="164"/>
      <c r="K298" s="164"/>
      <c r="L298" s="164"/>
      <c r="M298" s="164"/>
      <c r="N298" s="164"/>
      <c r="O298" s="164"/>
      <c r="P298" s="164"/>
    </row>
    <row r="299" ht="12.75" customHeight="1">
      <c r="C299" s="164"/>
      <c r="D299" s="164"/>
      <c r="E299" s="164"/>
      <c r="F299" s="164"/>
      <c r="G299" s="164"/>
      <c r="H299" s="164"/>
      <c r="I299" s="164"/>
      <c r="J299" s="164"/>
      <c r="K299" s="164"/>
      <c r="L299" s="164"/>
      <c r="M299" s="164"/>
      <c r="N299" s="164"/>
      <c r="O299" s="164"/>
      <c r="P299" s="164"/>
    </row>
    <row r="300" ht="12.75" customHeight="1">
      <c r="C300" s="164"/>
      <c r="D300" s="164"/>
      <c r="E300" s="164"/>
      <c r="F300" s="164"/>
      <c r="G300" s="164"/>
      <c r="H300" s="164"/>
      <c r="I300" s="164"/>
      <c r="J300" s="164"/>
      <c r="K300" s="164"/>
      <c r="L300" s="164"/>
      <c r="M300" s="164"/>
      <c r="N300" s="164"/>
      <c r="O300" s="164"/>
      <c r="P300" s="164"/>
    </row>
    <row r="301" ht="12.75" customHeight="1">
      <c r="C301" s="164"/>
      <c r="D301" s="164"/>
      <c r="E301" s="164"/>
      <c r="F301" s="164"/>
      <c r="G301" s="164"/>
      <c r="H301" s="164"/>
      <c r="I301" s="164"/>
      <c r="J301" s="164"/>
      <c r="K301" s="164"/>
      <c r="L301" s="164"/>
      <c r="M301" s="164"/>
      <c r="N301" s="164"/>
      <c r="O301" s="164"/>
      <c r="P301" s="164"/>
    </row>
    <row r="302" ht="12.75" customHeight="1">
      <c r="C302" s="164"/>
      <c r="D302" s="164"/>
      <c r="E302" s="164"/>
      <c r="F302" s="164"/>
      <c r="G302" s="164"/>
      <c r="H302" s="164"/>
      <c r="I302" s="164"/>
      <c r="J302" s="164"/>
      <c r="K302" s="164"/>
      <c r="L302" s="164"/>
      <c r="M302" s="164"/>
      <c r="N302" s="164"/>
      <c r="O302" s="164"/>
      <c r="P302" s="164"/>
    </row>
    <row r="303" ht="12.75" customHeight="1">
      <c r="C303" s="164"/>
      <c r="D303" s="164"/>
      <c r="E303" s="164"/>
      <c r="F303" s="164"/>
      <c r="G303" s="164"/>
      <c r="H303" s="164"/>
      <c r="I303" s="164"/>
      <c r="J303" s="164"/>
      <c r="K303" s="164"/>
      <c r="L303" s="164"/>
      <c r="M303" s="164"/>
      <c r="N303" s="164"/>
      <c r="O303" s="164"/>
      <c r="P303" s="164"/>
    </row>
    <row r="304" ht="12.75" customHeight="1">
      <c r="C304" s="164"/>
      <c r="D304" s="164"/>
      <c r="E304" s="164"/>
      <c r="F304" s="164"/>
      <c r="G304" s="164"/>
      <c r="H304" s="164"/>
      <c r="I304" s="164"/>
      <c r="J304" s="164"/>
      <c r="K304" s="164"/>
      <c r="L304" s="164"/>
      <c r="M304" s="164"/>
      <c r="N304" s="164"/>
      <c r="O304" s="164"/>
      <c r="P304" s="164"/>
    </row>
    <row r="305" ht="12.75" customHeight="1">
      <c r="C305" s="164"/>
      <c r="D305" s="164"/>
      <c r="E305" s="164"/>
      <c r="F305" s="164"/>
      <c r="G305" s="164"/>
      <c r="H305" s="164"/>
      <c r="I305" s="164"/>
      <c r="J305" s="164"/>
      <c r="K305" s="164"/>
      <c r="L305" s="164"/>
      <c r="M305" s="164"/>
      <c r="N305" s="164"/>
      <c r="O305" s="164"/>
      <c r="P305" s="164"/>
    </row>
    <row r="306" ht="12.75" customHeight="1">
      <c r="C306" s="164"/>
      <c r="D306" s="164"/>
      <c r="E306" s="164"/>
      <c r="F306" s="164"/>
      <c r="G306" s="164"/>
      <c r="H306" s="164"/>
      <c r="I306" s="164"/>
      <c r="J306" s="164"/>
      <c r="K306" s="164"/>
      <c r="L306" s="164"/>
      <c r="M306" s="164"/>
      <c r="N306" s="164"/>
      <c r="O306" s="164"/>
      <c r="P306" s="164"/>
    </row>
    <row r="307" ht="12.75" customHeight="1">
      <c r="C307" s="164"/>
      <c r="D307" s="164"/>
      <c r="E307" s="164"/>
      <c r="F307" s="164"/>
      <c r="G307" s="164"/>
      <c r="H307" s="164"/>
      <c r="I307" s="164"/>
      <c r="J307" s="164"/>
      <c r="K307" s="164"/>
      <c r="L307" s="164"/>
      <c r="M307" s="164"/>
      <c r="N307" s="164"/>
      <c r="O307" s="164"/>
      <c r="P307" s="164"/>
    </row>
    <row r="308" ht="12.75" customHeight="1">
      <c r="C308" s="164"/>
      <c r="D308" s="164"/>
      <c r="E308" s="164"/>
      <c r="F308" s="164"/>
      <c r="G308" s="164"/>
      <c r="H308" s="164"/>
      <c r="I308" s="164"/>
      <c r="J308" s="164"/>
      <c r="K308" s="164"/>
      <c r="L308" s="164"/>
      <c r="M308" s="164"/>
      <c r="N308" s="164"/>
      <c r="O308" s="164"/>
      <c r="P308" s="164"/>
    </row>
    <row r="309" ht="12.75" customHeight="1">
      <c r="C309" s="164"/>
      <c r="D309" s="164"/>
      <c r="E309" s="164"/>
      <c r="F309" s="164"/>
      <c r="G309" s="164"/>
      <c r="H309" s="164"/>
      <c r="I309" s="164"/>
      <c r="J309" s="164"/>
      <c r="K309" s="164"/>
      <c r="L309" s="164"/>
      <c r="M309" s="164"/>
      <c r="N309" s="164"/>
      <c r="O309" s="164"/>
      <c r="P309" s="164"/>
    </row>
    <row r="310" ht="12.75" customHeight="1">
      <c r="C310" s="164"/>
      <c r="D310" s="164"/>
      <c r="E310" s="164"/>
      <c r="F310" s="164"/>
      <c r="G310" s="164"/>
      <c r="H310" s="164"/>
      <c r="I310" s="164"/>
      <c r="J310" s="164"/>
      <c r="K310" s="164"/>
      <c r="L310" s="164"/>
      <c r="M310" s="164"/>
      <c r="N310" s="164"/>
      <c r="O310" s="164"/>
      <c r="P310" s="164"/>
    </row>
    <row r="311" ht="12.75" customHeight="1">
      <c r="C311" s="164"/>
      <c r="D311" s="164"/>
      <c r="E311" s="164"/>
      <c r="F311" s="164"/>
      <c r="G311" s="164"/>
      <c r="H311" s="164"/>
      <c r="I311" s="164"/>
      <c r="J311" s="164"/>
      <c r="K311" s="164"/>
      <c r="L311" s="164"/>
      <c r="M311" s="164"/>
      <c r="N311" s="164"/>
      <c r="O311" s="164"/>
      <c r="P311" s="164"/>
    </row>
    <row r="312" ht="12.75" customHeight="1">
      <c r="C312" s="164"/>
      <c r="D312" s="164"/>
      <c r="E312" s="164"/>
      <c r="F312" s="164"/>
      <c r="G312" s="164"/>
      <c r="H312" s="164"/>
      <c r="I312" s="164"/>
      <c r="J312" s="164"/>
      <c r="K312" s="164"/>
      <c r="L312" s="164"/>
      <c r="M312" s="164"/>
      <c r="N312" s="164"/>
      <c r="O312" s="164"/>
      <c r="P312" s="164"/>
    </row>
    <row r="313" ht="12.75" customHeight="1">
      <c r="C313" s="164"/>
      <c r="D313" s="164"/>
      <c r="E313" s="164"/>
      <c r="F313" s="164"/>
      <c r="G313" s="164"/>
      <c r="H313" s="164"/>
      <c r="I313" s="164"/>
      <c r="J313" s="164"/>
      <c r="K313" s="164"/>
      <c r="L313" s="164"/>
      <c r="M313" s="164"/>
      <c r="N313" s="164"/>
      <c r="O313" s="164"/>
      <c r="P313" s="164"/>
    </row>
    <row r="314" ht="12.75" customHeight="1">
      <c r="C314" s="164"/>
      <c r="D314" s="164"/>
      <c r="E314" s="164"/>
      <c r="F314" s="164"/>
      <c r="G314" s="164"/>
      <c r="H314" s="164"/>
      <c r="I314" s="164"/>
      <c r="J314" s="164"/>
      <c r="K314" s="164"/>
      <c r="L314" s="164"/>
      <c r="M314" s="164"/>
      <c r="N314" s="164"/>
      <c r="O314" s="164"/>
      <c r="P314" s="164"/>
    </row>
    <row r="315" ht="12.75" customHeight="1">
      <c r="C315" s="164"/>
      <c r="D315" s="164"/>
      <c r="E315" s="164"/>
      <c r="F315" s="164"/>
      <c r="G315" s="164"/>
      <c r="H315" s="164"/>
      <c r="I315" s="164"/>
      <c r="J315" s="164"/>
      <c r="K315" s="164"/>
      <c r="L315" s="164"/>
      <c r="M315" s="164"/>
      <c r="N315" s="164"/>
      <c r="O315" s="164"/>
      <c r="P315" s="164"/>
    </row>
    <row r="316" ht="12.75" customHeight="1">
      <c r="C316" s="164"/>
      <c r="D316" s="164"/>
      <c r="E316" s="164"/>
      <c r="F316" s="164"/>
      <c r="G316" s="164"/>
      <c r="H316" s="164"/>
      <c r="I316" s="164"/>
      <c r="J316" s="164"/>
      <c r="K316" s="164"/>
      <c r="L316" s="164"/>
      <c r="M316" s="164"/>
      <c r="N316" s="164"/>
      <c r="O316" s="164"/>
      <c r="P316" s="164"/>
    </row>
    <row r="317" ht="12.75" customHeight="1">
      <c r="C317" s="164"/>
      <c r="D317" s="164"/>
      <c r="E317" s="164"/>
      <c r="F317" s="164"/>
      <c r="G317" s="164"/>
      <c r="H317" s="164"/>
      <c r="I317" s="164"/>
      <c r="J317" s="164"/>
      <c r="K317" s="164"/>
      <c r="L317" s="164"/>
      <c r="M317" s="164"/>
      <c r="N317" s="164"/>
      <c r="O317" s="164"/>
      <c r="P317" s="164"/>
    </row>
    <row r="318" ht="12.75" customHeight="1">
      <c r="C318" s="164"/>
      <c r="D318" s="164"/>
      <c r="E318" s="164"/>
      <c r="F318" s="164"/>
      <c r="G318" s="164"/>
      <c r="H318" s="164"/>
      <c r="I318" s="164"/>
      <c r="J318" s="164"/>
      <c r="K318" s="164"/>
      <c r="L318" s="164"/>
      <c r="M318" s="164"/>
      <c r="N318" s="164"/>
      <c r="O318" s="164"/>
      <c r="P318" s="164"/>
    </row>
    <row r="319" ht="12.75" customHeight="1">
      <c r="C319" s="164"/>
      <c r="D319" s="164"/>
      <c r="E319" s="164"/>
      <c r="F319" s="164"/>
      <c r="G319" s="164"/>
      <c r="H319" s="164"/>
      <c r="I319" s="164"/>
      <c r="J319" s="164"/>
      <c r="K319" s="164"/>
      <c r="L319" s="164"/>
      <c r="M319" s="164"/>
      <c r="N319" s="164"/>
      <c r="O319" s="164"/>
      <c r="P319" s="164"/>
    </row>
    <row r="320" ht="12.75" customHeight="1">
      <c r="C320" s="164"/>
      <c r="D320" s="164"/>
      <c r="E320" s="164"/>
      <c r="F320" s="164"/>
      <c r="G320" s="164"/>
      <c r="H320" s="164"/>
      <c r="I320" s="164"/>
      <c r="J320" s="164"/>
      <c r="K320" s="164"/>
      <c r="L320" s="164"/>
      <c r="M320" s="164"/>
      <c r="N320" s="164"/>
      <c r="O320" s="164"/>
      <c r="P320" s="164"/>
    </row>
    <row r="321" ht="12.75" customHeight="1">
      <c r="C321" s="164"/>
      <c r="D321" s="164"/>
      <c r="E321" s="164"/>
      <c r="F321" s="164"/>
      <c r="G321" s="164"/>
      <c r="H321" s="164"/>
      <c r="I321" s="164"/>
      <c r="J321" s="164"/>
      <c r="K321" s="164"/>
      <c r="L321" s="164"/>
      <c r="M321" s="164"/>
      <c r="N321" s="164"/>
      <c r="O321" s="164"/>
      <c r="P321" s="164"/>
    </row>
    <row r="322" ht="12.75" customHeight="1">
      <c r="C322" s="164"/>
      <c r="D322" s="164"/>
      <c r="E322" s="164"/>
      <c r="F322" s="164"/>
      <c r="G322" s="164"/>
      <c r="H322" s="164"/>
      <c r="I322" s="164"/>
      <c r="J322" s="164"/>
      <c r="K322" s="164"/>
      <c r="L322" s="164"/>
      <c r="M322" s="164"/>
      <c r="N322" s="164"/>
      <c r="O322" s="164"/>
      <c r="P322" s="164"/>
    </row>
    <row r="323" ht="12.75" customHeight="1">
      <c r="C323" s="164"/>
      <c r="D323" s="164"/>
      <c r="E323" s="164"/>
      <c r="F323" s="164"/>
      <c r="G323" s="164"/>
      <c r="H323" s="164"/>
      <c r="I323" s="164"/>
      <c r="J323" s="164"/>
      <c r="K323" s="164"/>
      <c r="L323" s="164"/>
      <c r="M323" s="164"/>
      <c r="N323" s="164"/>
      <c r="O323" s="164"/>
      <c r="P323" s="164"/>
    </row>
    <row r="324" ht="12.75" customHeight="1">
      <c r="C324" s="164"/>
      <c r="D324" s="164"/>
      <c r="E324" s="164"/>
      <c r="F324" s="164"/>
      <c r="G324" s="164"/>
      <c r="H324" s="164"/>
      <c r="I324" s="164"/>
      <c r="J324" s="164"/>
      <c r="K324" s="164"/>
      <c r="L324" s="164"/>
      <c r="M324" s="164"/>
      <c r="N324" s="164"/>
      <c r="O324" s="164"/>
      <c r="P324" s="164"/>
    </row>
    <row r="325" ht="12.75" customHeight="1">
      <c r="C325" s="164"/>
      <c r="D325" s="164"/>
      <c r="E325" s="164"/>
      <c r="F325" s="164"/>
      <c r="G325" s="164"/>
      <c r="H325" s="164"/>
      <c r="I325" s="164"/>
      <c r="J325" s="164"/>
      <c r="K325" s="164"/>
      <c r="L325" s="164"/>
      <c r="M325" s="164"/>
      <c r="N325" s="164"/>
      <c r="O325" s="164"/>
      <c r="P325" s="164"/>
    </row>
    <row r="326" ht="12.75" customHeight="1">
      <c r="C326" s="164"/>
      <c r="D326" s="164"/>
      <c r="E326" s="164"/>
      <c r="F326" s="164"/>
      <c r="G326" s="164"/>
      <c r="H326" s="164"/>
      <c r="I326" s="164"/>
      <c r="J326" s="164"/>
      <c r="K326" s="164"/>
      <c r="L326" s="164"/>
      <c r="M326" s="164"/>
      <c r="N326" s="164"/>
      <c r="O326" s="164"/>
      <c r="P326" s="164"/>
    </row>
    <row r="327" ht="12.75" customHeight="1">
      <c r="C327" s="164"/>
      <c r="D327" s="164"/>
      <c r="E327" s="164"/>
      <c r="F327" s="164"/>
      <c r="G327" s="164"/>
      <c r="H327" s="164"/>
      <c r="I327" s="164"/>
      <c r="J327" s="164"/>
      <c r="K327" s="164"/>
      <c r="L327" s="164"/>
      <c r="M327" s="164"/>
      <c r="N327" s="164"/>
      <c r="O327" s="164"/>
      <c r="P327" s="164"/>
    </row>
    <row r="328" ht="12.75" customHeight="1">
      <c r="C328" s="164"/>
      <c r="D328" s="164"/>
      <c r="E328" s="164"/>
      <c r="F328" s="164"/>
      <c r="G328" s="164"/>
      <c r="H328" s="164"/>
      <c r="I328" s="164"/>
      <c r="J328" s="164"/>
      <c r="K328" s="164"/>
      <c r="L328" s="164"/>
      <c r="M328" s="164"/>
      <c r="N328" s="164"/>
      <c r="O328" s="164"/>
      <c r="P328" s="164"/>
    </row>
    <row r="329" ht="12.75" customHeight="1">
      <c r="C329" s="164"/>
      <c r="D329" s="164"/>
      <c r="E329" s="164"/>
      <c r="F329" s="164"/>
      <c r="G329" s="164"/>
      <c r="H329" s="164"/>
      <c r="I329" s="164"/>
      <c r="J329" s="164"/>
      <c r="K329" s="164"/>
      <c r="L329" s="164"/>
      <c r="M329" s="164"/>
      <c r="N329" s="164"/>
      <c r="O329" s="164"/>
      <c r="P329" s="164"/>
    </row>
    <row r="330" ht="12.75" customHeight="1">
      <c r="C330" s="164"/>
      <c r="D330" s="164"/>
      <c r="E330" s="164"/>
      <c r="F330" s="164"/>
      <c r="G330" s="164"/>
      <c r="H330" s="164"/>
      <c r="I330" s="164"/>
      <c r="J330" s="164"/>
      <c r="K330" s="164"/>
      <c r="L330" s="164"/>
      <c r="M330" s="164"/>
      <c r="N330" s="164"/>
      <c r="O330" s="164"/>
      <c r="P330" s="164"/>
    </row>
    <row r="331" ht="12.75" customHeight="1">
      <c r="C331" s="164"/>
      <c r="D331" s="164"/>
      <c r="E331" s="164"/>
      <c r="F331" s="164"/>
      <c r="G331" s="164"/>
      <c r="H331" s="164"/>
      <c r="I331" s="164"/>
      <c r="J331" s="164"/>
      <c r="K331" s="164"/>
      <c r="L331" s="164"/>
      <c r="M331" s="164"/>
      <c r="N331" s="164"/>
      <c r="O331" s="164"/>
      <c r="P331" s="164"/>
    </row>
    <row r="332" ht="12.75" customHeight="1">
      <c r="C332" s="164"/>
      <c r="D332" s="164"/>
      <c r="E332" s="164"/>
      <c r="F332" s="164"/>
      <c r="G332" s="164"/>
      <c r="H332" s="164"/>
      <c r="I332" s="164"/>
      <c r="J332" s="164"/>
      <c r="K332" s="164"/>
      <c r="L332" s="164"/>
      <c r="M332" s="164"/>
      <c r="N332" s="164"/>
      <c r="O332" s="164"/>
      <c r="P332" s="164"/>
    </row>
    <row r="333" ht="12.75" customHeight="1">
      <c r="C333" s="164"/>
      <c r="D333" s="164"/>
      <c r="E333" s="164"/>
      <c r="F333" s="164"/>
      <c r="G333" s="164"/>
      <c r="H333" s="164"/>
      <c r="I333" s="164"/>
      <c r="J333" s="164"/>
      <c r="K333" s="164"/>
      <c r="L333" s="164"/>
      <c r="M333" s="164"/>
      <c r="N333" s="164"/>
      <c r="O333" s="164"/>
      <c r="P333" s="164"/>
    </row>
    <row r="334" ht="12.75" customHeight="1">
      <c r="C334" s="164"/>
      <c r="D334" s="164"/>
      <c r="E334" s="164"/>
      <c r="F334" s="164"/>
      <c r="G334" s="164"/>
      <c r="H334" s="164"/>
      <c r="I334" s="164"/>
      <c r="J334" s="164"/>
      <c r="K334" s="164"/>
      <c r="L334" s="164"/>
      <c r="M334" s="164"/>
      <c r="N334" s="164"/>
      <c r="O334" s="164"/>
      <c r="P334" s="164"/>
    </row>
    <row r="335" ht="12.75" customHeight="1">
      <c r="C335" s="164"/>
      <c r="D335" s="164"/>
      <c r="E335" s="164"/>
      <c r="F335" s="164"/>
      <c r="G335" s="164"/>
      <c r="H335" s="164"/>
      <c r="I335" s="164"/>
      <c r="J335" s="164"/>
      <c r="K335" s="164"/>
      <c r="L335" s="164"/>
      <c r="M335" s="164"/>
      <c r="N335" s="164"/>
      <c r="O335" s="164"/>
      <c r="P335" s="164"/>
    </row>
    <row r="336" ht="12.75" customHeight="1">
      <c r="C336" s="164"/>
      <c r="D336" s="164"/>
      <c r="E336" s="164"/>
      <c r="F336" s="164"/>
      <c r="G336" s="164"/>
      <c r="H336" s="164"/>
      <c r="I336" s="164"/>
      <c r="J336" s="164"/>
      <c r="K336" s="164"/>
      <c r="L336" s="164"/>
      <c r="M336" s="164"/>
      <c r="N336" s="164"/>
      <c r="O336" s="164"/>
      <c r="P336" s="164"/>
    </row>
    <row r="337" ht="12.75" customHeight="1">
      <c r="C337" s="164"/>
      <c r="D337" s="164"/>
      <c r="E337" s="164"/>
      <c r="F337" s="164"/>
      <c r="G337" s="164"/>
      <c r="H337" s="164"/>
      <c r="I337" s="164"/>
      <c r="J337" s="164"/>
      <c r="K337" s="164"/>
      <c r="L337" s="164"/>
      <c r="M337" s="164"/>
      <c r="N337" s="164"/>
      <c r="O337" s="164"/>
      <c r="P337" s="164"/>
    </row>
    <row r="338" ht="12.75" customHeight="1">
      <c r="C338" s="164"/>
      <c r="D338" s="164"/>
      <c r="E338" s="164"/>
      <c r="F338" s="164"/>
      <c r="G338" s="164"/>
      <c r="H338" s="164"/>
      <c r="I338" s="164"/>
      <c r="J338" s="164"/>
      <c r="K338" s="164"/>
      <c r="L338" s="164"/>
      <c r="M338" s="164"/>
      <c r="N338" s="164"/>
      <c r="O338" s="164"/>
      <c r="P338" s="164"/>
    </row>
    <row r="339" ht="12.75" customHeight="1">
      <c r="C339" s="164"/>
      <c r="D339" s="164"/>
      <c r="E339" s="164"/>
      <c r="F339" s="164"/>
      <c r="G339" s="164"/>
      <c r="H339" s="164"/>
      <c r="I339" s="164"/>
      <c r="J339" s="164"/>
      <c r="K339" s="164"/>
      <c r="L339" s="164"/>
      <c r="M339" s="164"/>
      <c r="N339" s="164"/>
      <c r="O339" s="164"/>
      <c r="P339" s="164"/>
    </row>
    <row r="340" ht="12.75" customHeight="1">
      <c r="C340" s="164"/>
      <c r="D340" s="164"/>
      <c r="E340" s="164"/>
      <c r="F340" s="164"/>
      <c r="G340" s="164"/>
      <c r="H340" s="164"/>
      <c r="I340" s="164"/>
      <c r="J340" s="164"/>
      <c r="K340" s="164"/>
      <c r="L340" s="164"/>
      <c r="M340" s="164"/>
      <c r="N340" s="164"/>
      <c r="O340" s="164"/>
      <c r="P340" s="164"/>
    </row>
    <row r="341" ht="12.75" customHeight="1">
      <c r="C341" s="164"/>
      <c r="D341" s="164"/>
      <c r="E341" s="164"/>
      <c r="F341" s="164"/>
      <c r="G341" s="164"/>
      <c r="H341" s="164"/>
      <c r="I341" s="164"/>
      <c r="J341" s="164"/>
      <c r="K341" s="164"/>
      <c r="L341" s="164"/>
      <c r="M341" s="164"/>
      <c r="N341" s="164"/>
      <c r="O341" s="164"/>
      <c r="P341" s="164"/>
    </row>
    <row r="342" ht="12.75" customHeight="1">
      <c r="C342" s="164"/>
      <c r="D342" s="164"/>
      <c r="E342" s="164"/>
      <c r="F342" s="164"/>
      <c r="G342" s="164"/>
      <c r="H342" s="164"/>
      <c r="I342" s="164"/>
      <c r="J342" s="164"/>
      <c r="K342" s="164"/>
      <c r="L342" s="164"/>
      <c r="M342" s="164"/>
      <c r="N342" s="164"/>
      <c r="O342" s="164"/>
      <c r="P342" s="164"/>
    </row>
    <row r="343" ht="12.75" customHeight="1">
      <c r="C343" s="164"/>
      <c r="D343" s="164"/>
      <c r="E343" s="164"/>
      <c r="F343" s="164"/>
      <c r="G343" s="164"/>
      <c r="H343" s="164"/>
      <c r="I343" s="164"/>
      <c r="J343" s="164"/>
      <c r="K343" s="164"/>
      <c r="L343" s="164"/>
      <c r="M343" s="164"/>
      <c r="N343" s="164"/>
      <c r="O343" s="164"/>
      <c r="P343" s="164"/>
    </row>
    <row r="344" ht="12.75" customHeight="1">
      <c r="C344" s="164"/>
      <c r="D344" s="164"/>
      <c r="E344" s="164"/>
      <c r="F344" s="164"/>
      <c r="G344" s="164"/>
      <c r="H344" s="164"/>
      <c r="I344" s="164"/>
      <c r="J344" s="164"/>
      <c r="K344" s="164"/>
      <c r="L344" s="164"/>
      <c r="M344" s="164"/>
      <c r="N344" s="164"/>
      <c r="O344" s="164"/>
      <c r="P344" s="164"/>
    </row>
    <row r="345" ht="12.75" customHeight="1">
      <c r="C345" s="164"/>
      <c r="D345" s="164"/>
      <c r="E345" s="164"/>
      <c r="F345" s="164"/>
      <c r="G345" s="164"/>
      <c r="H345" s="164"/>
      <c r="I345" s="164"/>
      <c r="J345" s="164"/>
      <c r="K345" s="164"/>
      <c r="L345" s="164"/>
      <c r="M345" s="164"/>
      <c r="N345" s="164"/>
      <c r="O345" s="164"/>
      <c r="P345" s="164"/>
    </row>
    <row r="346" ht="12.75" customHeight="1">
      <c r="C346" s="164"/>
      <c r="D346" s="164"/>
      <c r="E346" s="164"/>
      <c r="F346" s="164"/>
      <c r="G346" s="164"/>
      <c r="H346" s="164"/>
      <c r="I346" s="164"/>
      <c r="J346" s="164"/>
      <c r="K346" s="164"/>
      <c r="L346" s="164"/>
      <c r="M346" s="164"/>
      <c r="N346" s="164"/>
      <c r="O346" s="164"/>
      <c r="P346" s="164"/>
    </row>
    <row r="347" ht="12.75" customHeight="1">
      <c r="C347" s="164"/>
      <c r="D347" s="164"/>
      <c r="E347" s="164"/>
      <c r="F347" s="164"/>
      <c r="G347" s="164"/>
      <c r="H347" s="164"/>
      <c r="I347" s="164"/>
      <c r="J347" s="164"/>
      <c r="K347" s="164"/>
      <c r="L347" s="164"/>
      <c r="M347" s="164"/>
      <c r="N347" s="164"/>
      <c r="O347" s="164"/>
      <c r="P347" s="164"/>
    </row>
    <row r="348" ht="12.75" customHeight="1">
      <c r="C348" s="164"/>
      <c r="D348" s="164"/>
      <c r="E348" s="164"/>
      <c r="F348" s="164"/>
      <c r="G348" s="164"/>
      <c r="H348" s="164"/>
      <c r="I348" s="164"/>
      <c r="J348" s="164"/>
      <c r="K348" s="164"/>
      <c r="L348" s="164"/>
      <c r="M348" s="164"/>
      <c r="N348" s="164"/>
      <c r="O348" s="164"/>
      <c r="P348" s="164"/>
    </row>
    <row r="349" ht="12.75" customHeight="1">
      <c r="C349" s="164"/>
      <c r="D349" s="164"/>
      <c r="E349" s="164"/>
      <c r="F349" s="164"/>
      <c r="G349" s="164"/>
      <c r="H349" s="164"/>
      <c r="I349" s="164"/>
      <c r="J349" s="164"/>
      <c r="K349" s="164"/>
      <c r="L349" s="164"/>
      <c r="M349" s="164"/>
      <c r="N349" s="164"/>
      <c r="O349" s="164"/>
      <c r="P349" s="164"/>
    </row>
    <row r="350" ht="12.75" customHeight="1">
      <c r="C350" s="164"/>
      <c r="D350" s="164"/>
      <c r="E350" s="164"/>
      <c r="F350" s="164"/>
      <c r="G350" s="164"/>
      <c r="H350" s="164"/>
      <c r="I350" s="164"/>
      <c r="J350" s="164"/>
      <c r="K350" s="164"/>
      <c r="L350" s="164"/>
      <c r="M350" s="164"/>
      <c r="N350" s="164"/>
      <c r="O350" s="164"/>
      <c r="P350" s="164"/>
    </row>
    <row r="351" ht="12.75" customHeight="1">
      <c r="C351" s="164"/>
      <c r="D351" s="164"/>
      <c r="E351" s="164"/>
      <c r="F351" s="164"/>
      <c r="G351" s="164"/>
      <c r="H351" s="164"/>
      <c r="I351" s="164"/>
      <c r="J351" s="164"/>
      <c r="K351" s="164"/>
      <c r="L351" s="164"/>
      <c r="M351" s="164"/>
      <c r="N351" s="164"/>
      <c r="O351" s="164"/>
      <c r="P351" s="164"/>
    </row>
    <row r="352" ht="12.75" customHeight="1">
      <c r="C352" s="164"/>
      <c r="D352" s="164"/>
      <c r="E352" s="164"/>
      <c r="F352" s="164"/>
      <c r="G352" s="164"/>
      <c r="H352" s="164"/>
      <c r="I352" s="164"/>
      <c r="J352" s="164"/>
      <c r="K352" s="164"/>
      <c r="L352" s="164"/>
      <c r="M352" s="164"/>
      <c r="N352" s="164"/>
      <c r="O352" s="164"/>
      <c r="P352" s="164"/>
    </row>
    <row r="353" ht="12.75" customHeight="1">
      <c r="C353" s="164"/>
      <c r="D353" s="164"/>
      <c r="E353" s="164"/>
      <c r="F353" s="164"/>
      <c r="G353" s="164"/>
      <c r="H353" s="164"/>
      <c r="I353" s="164"/>
      <c r="J353" s="164"/>
      <c r="K353" s="164"/>
      <c r="L353" s="164"/>
      <c r="M353" s="164"/>
      <c r="N353" s="164"/>
      <c r="O353" s="164"/>
      <c r="P353" s="164"/>
    </row>
    <row r="354" ht="12.75" customHeight="1">
      <c r="C354" s="164"/>
      <c r="D354" s="164"/>
      <c r="E354" s="164"/>
      <c r="F354" s="164"/>
      <c r="G354" s="164"/>
      <c r="H354" s="164"/>
      <c r="I354" s="164"/>
      <c r="J354" s="164"/>
      <c r="K354" s="164"/>
      <c r="L354" s="164"/>
      <c r="M354" s="164"/>
      <c r="N354" s="164"/>
      <c r="O354" s="164"/>
      <c r="P354" s="164"/>
    </row>
    <row r="355" ht="12.75" customHeight="1">
      <c r="C355" s="164"/>
      <c r="D355" s="164"/>
      <c r="E355" s="164"/>
      <c r="F355" s="164"/>
      <c r="G355" s="164"/>
      <c r="H355" s="164"/>
      <c r="I355" s="164"/>
      <c r="J355" s="164"/>
      <c r="K355" s="164"/>
      <c r="L355" s="164"/>
      <c r="M355" s="164"/>
      <c r="N355" s="164"/>
      <c r="O355" s="164"/>
      <c r="P355" s="164"/>
    </row>
    <row r="356" ht="12.75" customHeight="1">
      <c r="C356" s="164"/>
      <c r="D356" s="164"/>
      <c r="E356" s="164"/>
      <c r="F356" s="164"/>
      <c r="G356" s="164"/>
      <c r="H356" s="164"/>
      <c r="I356" s="164"/>
      <c r="J356" s="164"/>
      <c r="K356" s="164"/>
      <c r="L356" s="164"/>
      <c r="M356" s="164"/>
      <c r="N356" s="164"/>
      <c r="O356" s="164"/>
      <c r="P356" s="164"/>
    </row>
    <row r="357" ht="12.75" customHeight="1">
      <c r="C357" s="164"/>
      <c r="D357" s="164"/>
      <c r="E357" s="164"/>
      <c r="F357" s="164"/>
      <c r="G357" s="164"/>
      <c r="H357" s="164"/>
      <c r="I357" s="164"/>
      <c r="J357" s="164"/>
      <c r="K357" s="164"/>
      <c r="L357" s="164"/>
      <c r="M357" s="164"/>
      <c r="N357" s="164"/>
      <c r="O357" s="164"/>
      <c r="P357" s="164"/>
    </row>
    <row r="358" ht="12.75" customHeight="1">
      <c r="C358" s="164"/>
      <c r="D358" s="164"/>
      <c r="E358" s="164"/>
      <c r="F358" s="164"/>
      <c r="G358" s="164"/>
      <c r="H358" s="164"/>
      <c r="I358" s="164"/>
      <c r="J358" s="164"/>
      <c r="K358" s="164"/>
      <c r="L358" s="164"/>
      <c r="M358" s="164"/>
      <c r="N358" s="164"/>
      <c r="O358" s="164"/>
      <c r="P358" s="164"/>
    </row>
    <row r="359" ht="12.75" customHeight="1">
      <c r="C359" s="164"/>
      <c r="D359" s="164"/>
      <c r="E359" s="164"/>
      <c r="F359" s="164"/>
      <c r="G359" s="164"/>
      <c r="H359" s="164"/>
      <c r="I359" s="164"/>
      <c r="J359" s="164"/>
      <c r="K359" s="164"/>
      <c r="L359" s="164"/>
      <c r="M359" s="164"/>
      <c r="N359" s="164"/>
      <c r="O359" s="164"/>
      <c r="P359" s="164"/>
    </row>
    <row r="360" ht="12.75" customHeight="1">
      <c r="C360" s="164"/>
      <c r="D360" s="164"/>
      <c r="E360" s="164"/>
      <c r="F360" s="164"/>
      <c r="G360" s="164"/>
      <c r="H360" s="164"/>
      <c r="I360" s="164"/>
      <c r="J360" s="164"/>
      <c r="K360" s="164"/>
      <c r="L360" s="164"/>
      <c r="M360" s="164"/>
      <c r="N360" s="164"/>
      <c r="O360" s="164"/>
      <c r="P360" s="164"/>
    </row>
    <row r="361" ht="12.75" customHeight="1">
      <c r="C361" s="164"/>
      <c r="D361" s="164"/>
      <c r="E361" s="164"/>
      <c r="F361" s="164"/>
      <c r="G361" s="164"/>
      <c r="H361" s="164"/>
      <c r="I361" s="164"/>
      <c r="J361" s="164"/>
      <c r="K361" s="164"/>
      <c r="L361" s="164"/>
      <c r="M361" s="164"/>
      <c r="N361" s="164"/>
      <c r="O361" s="164"/>
      <c r="P361" s="164"/>
    </row>
    <row r="362" ht="12.75" customHeight="1">
      <c r="C362" s="164"/>
      <c r="D362" s="164"/>
      <c r="E362" s="164"/>
      <c r="F362" s="164"/>
      <c r="G362" s="164"/>
      <c r="H362" s="164"/>
      <c r="I362" s="164"/>
      <c r="J362" s="164"/>
      <c r="K362" s="164"/>
      <c r="L362" s="164"/>
      <c r="M362" s="164"/>
      <c r="N362" s="164"/>
      <c r="O362" s="164"/>
      <c r="P362" s="164"/>
    </row>
    <row r="363" ht="12.75" customHeight="1">
      <c r="C363" s="164"/>
      <c r="D363" s="164"/>
      <c r="E363" s="164"/>
      <c r="F363" s="164"/>
      <c r="G363" s="164"/>
      <c r="H363" s="164"/>
      <c r="I363" s="164"/>
      <c r="J363" s="164"/>
      <c r="K363" s="164"/>
      <c r="L363" s="164"/>
      <c r="M363" s="164"/>
      <c r="N363" s="164"/>
      <c r="O363" s="164"/>
      <c r="P363" s="164"/>
    </row>
    <row r="364" ht="12.75" customHeight="1">
      <c r="C364" s="164"/>
      <c r="D364" s="164"/>
      <c r="E364" s="164"/>
      <c r="F364" s="164"/>
      <c r="G364" s="164"/>
      <c r="H364" s="164"/>
      <c r="I364" s="164"/>
      <c r="J364" s="164"/>
      <c r="K364" s="164"/>
      <c r="L364" s="164"/>
      <c r="M364" s="164"/>
      <c r="N364" s="164"/>
      <c r="O364" s="164"/>
      <c r="P364" s="164"/>
    </row>
    <row r="365" ht="12.75" customHeight="1">
      <c r="C365" s="164"/>
      <c r="D365" s="164"/>
      <c r="E365" s="164"/>
      <c r="F365" s="164"/>
      <c r="G365" s="164"/>
      <c r="H365" s="164"/>
      <c r="I365" s="164"/>
      <c r="J365" s="164"/>
      <c r="K365" s="164"/>
      <c r="L365" s="164"/>
      <c r="M365" s="164"/>
      <c r="N365" s="164"/>
      <c r="O365" s="164"/>
      <c r="P365" s="164"/>
    </row>
    <row r="366" ht="12.75" customHeight="1">
      <c r="C366" s="164"/>
      <c r="D366" s="164"/>
      <c r="E366" s="164"/>
      <c r="F366" s="164"/>
      <c r="G366" s="164"/>
      <c r="H366" s="164"/>
      <c r="I366" s="164"/>
      <c r="J366" s="164"/>
      <c r="K366" s="164"/>
      <c r="L366" s="164"/>
      <c r="M366" s="164"/>
      <c r="N366" s="164"/>
      <c r="O366" s="164"/>
      <c r="P366" s="164"/>
    </row>
    <row r="367" ht="12.75" customHeight="1">
      <c r="C367" s="164"/>
      <c r="D367" s="164"/>
      <c r="E367" s="164"/>
      <c r="F367" s="164"/>
      <c r="G367" s="164"/>
      <c r="H367" s="164"/>
      <c r="I367" s="164"/>
      <c r="J367" s="164"/>
      <c r="K367" s="164"/>
      <c r="L367" s="164"/>
      <c r="M367" s="164"/>
      <c r="N367" s="164"/>
      <c r="O367" s="164"/>
      <c r="P367" s="164"/>
    </row>
    <row r="368" ht="12.75" customHeight="1">
      <c r="C368" s="164"/>
      <c r="D368" s="164"/>
      <c r="E368" s="164"/>
      <c r="F368" s="164"/>
      <c r="G368" s="164"/>
      <c r="H368" s="164"/>
      <c r="I368" s="164"/>
      <c r="J368" s="164"/>
      <c r="K368" s="164"/>
      <c r="L368" s="164"/>
      <c r="M368" s="164"/>
      <c r="N368" s="164"/>
      <c r="O368" s="164"/>
      <c r="P368" s="164"/>
    </row>
    <row r="369" ht="12.75" customHeight="1">
      <c r="C369" s="164"/>
      <c r="D369" s="164"/>
      <c r="E369" s="164"/>
      <c r="F369" s="164"/>
      <c r="G369" s="164"/>
      <c r="H369" s="164"/>
      <c r="I369" s="164"/>
      <c r="J369" s="164"/>
      <c r="K369" s="164"/>
      <c r="L369" s="164"/>
      <c r="M369" s="164"/>
      <c r="N369" s="164"/>
      <c r="O369" s="164"/>
      <c r="P369" s="164"/>
    </row>
    <row r="370" ht="12.75" customHeight="1">
      <c r="C370" s="164"/>
      <c r="D370" s="164"/>
      <c r="E370" s="164"/>
      <c r="F370" s="164"/>
      <c r="G370" s="164"/>
      <c r="H370" s="164"/>
      <c r="I370" s="164"/>
      <c r="J370" s="164"/>
      <c r="K370" s="164"/>
      <c r="L370" s="164"/>
      <c r="M370" s="164"/>
      <c r="N370" s="164"/>
      <c r="O370" s="164"/>
      <c r="P370" s="164"/>
    </row>
    <row r="371" ht="12.75" customHeight="1">
      <c r="C371" s="164"/>
      <c r="D371" s="164"/>
      <c r="E371" s="164"/>
      <c r="F371" s="164"/>
      <c r="G371" s="164"/>
      <c r="H371" s="164"/>
      <c r="I371" s="164"/>
      <c r="J371" s="164"/>
      <c r="K371" s="164"/>
      <c r="L371" s="164"/>
      <c r="M371" s="164"/>
      <c r="N371" s="164"/>
      <c r="O371" s="164"/>
      <c r="P371" s="164"/>
    </row>
    <row r="372" ht="12.75" customHeight="1">
      <c r="C372" s="164"/>
      <c r="D372" s="164"/>
      <c r="E372" s="164"/>
      <c r="F372" s="164"/>
      <c r="G372" s="164"/>
      <c r="H372" s="164"/>
      <c r="I372" s="164"/>
      <c r="J372" s="164"/>
      <c r="K372" s="164"/>
      <c r="L372" s="164"/>
      <c r="M372" s="164"/>
      <c r="N372" s="164"/>
      <c r="O372" s="164"/>
      <c r="P372" s="164"/>
    </row>
    <row r="373" ht="12.75" customHeight="1">
      <c r="C373" s="164"/>
      <c r="D373" s="164"/>
      <c r="E373" s="164"/>
      <c r="F373" s="164"/>
      <c r="G373" s="164"/>
      <c r="H373" s="164"/>
      <c r="I373" s="164"/>
      <c r="J373" s="164"/>
      <c r="K373" s="164"/>
      <c r="L373" s="164"/>
      <c r="M373" s="164"/>
      <c r="N373" s="164"/>
      <c r="O373" s="164"/>
      <c r="P373" s="164"/>
    </row>
    <row r="374" ht="12.75" customHeight="1">
      <c r="C374" s="164"/>
      <c r="D374" s="164"/>
      <c r="E374" s="164"/>
      <c r="F374" s="164"/>
      <c r="G374" s="164"/>
      <c r="H374" s="164"/>
      <c r="I374" s="164"/>
      <c r="J374" s="164"/>
      <c r="K374" s="164"/>
      <c r="L374" s="164"/>
      <c r="M374" s="164"/>
      <c r="N374" s="164"/>
      <c r="O374" s="164"/>
      <c r="P374" s="164"/>
    </row>
    <row r="375" ht="12.75" customHeight="1">
      <c r="C375" s="164"/>
      <c r="D375" s="164"/>
      <c r="E375" s="164"/>
      <c r="F375" s="164"/>
      <c r="G375" s="164"/>
      <c r="H375" s="164"/>
      <c r="I375" s="164"/>
      <c r="J375" s="164"/>
      <c r="K375" s="164"/>
      <c r="L375" s="164"/>
      <c r="M375" s="164"/>
      <c r="N375" s="164"/>
      <c r="O375" s="164"/>
      <c r="P375" s="164"/>
    </row>
    <row r="376" ht="12.75" customHeight="1">
      <c r="C376" s="164"/>
      <c r="D376" s="164"/>
      <c r="E376" s="164"/>
      <c r="F376" s="164"/>
      <c r="G376" s="164"/>
      <c r="H376" s="164"/>
      <c r="I376" s="164"/>
      <c r="J376" s="164"/>
      <c r="K376" s="164"/>
      <c r="L376" s="164"/>
      <c r="M376" s="164"/>
      <c r="N376" s="164"/>
      <c r="O376" s="164"/>
      <c r="P376" s="164"/>
    </row>
    <row r="377" ht="12.75" customHeight="1">
      <c r="C377" s="164"/>
      <c r="D377" s="164"/>
      <c r="E377" s="164"/>
      <c r="F377" s="164"/>
      <c r="G377" s="164"/>
      <c r="H377" s="164"/>
      <c r="I377" s="164"/>
      <c r="J377" s="164"/>
      <c r="K377" s="164"/>
      <c r="L377" s="164"/>
      <c r="M377" s="164"/>
      <c r="N377" s="164"/>
      <c r="O377" s="164"/>
      <c r="P377" s="164"/>
    </row>
    <row r="378" ht="12.75" customHeight="1">
      <c r="C378" s="164"/>
      <c r="D378" s="164"/>
      <c r="E378" s="164"/>
      <c r="F378" s="164"/>
      <c r="G378" s="164"/>
      <c r="H378" s="164"/>
      <c r="I378" s="164"/>
      <c r="J378" s="164"/>
      <c r="K378" s="164"/>
      <c r="L378" s="164"/>
      <c r="M378" s="164"/>
      <c r="N378" s="164"/>
      <c r="O378" s="164"/>
      <c r="P378" s="164"/>
    </row>
    <row r="379" ht="12.75" customHeight="1">
      <c r="C379" s="164"/>
      <c r="D379" s="164"/>
      <c r="E379" s="164"/>
      <c r="F379" s="164"/>
      <c r="G379" s="164"/>
      <c r="H379" s="164"/>
      <c r="I379" s="164"/>
      <c r="J379" s="164"/>
      <c r="K379" s="164"/>
      <c r="L379" s="164"/>
      <c r="M379" s="164"/>
      <c r="N379" s="164"/>
      <c r="O379" s="164"/>
      <c r="P379" s="164"/>
    </row>
    <row r="380" ht="12.75" customHeight="1">
      <c r="C380" s="164"/>
      <c r="D380" s="164"/>
      <c r="E380" s="164"/>
      <c r="F380" s="164"/>
      <c r="G380" s="164"/>
      <c r="H380" s="164"/>
      <c r="I380" s="164"/>
      <c r="J380" s="164"/>
      <c r="K380" s="164"/>
      <c r="L380" s="164"/>
      <c r="M380" s="164"/>
      <c r="N380" s="164"/>
      <c r="O380" s="164"/>
      <c r="P380" s="164"/>
    </row>
    <row r="381" ht="12.75" customHeight="1">
      <c r="C381" s="164"/>
      <c r="D381" s="164"/>
      <c r="E381" s="164"/>
      <c r="F381" s="164"/>
      <c r="G381" s="164"/>
      <c r="H381" s="164"/>
      <c r="I381" s="164"/>
      <c r="J381" s="164"/>
      <c r="K381" s="164"/>
      <c r="L381" s="164"/>
      <c r="M381" s="164"/>
      <c r="N381" s="164"/>
      <c r="O381" s="164"/>
      <c r="P381" s="164"/>
    </row>
    <row r="382" ht="12.75" customHeight="1">
      <c r="C382" s="164"/>
      <c r="D382" s="164"/>
      <c r="E382" s="164"/>
      <c r="F382" s="164"/>
      <c r="G382" s="164"/>
      <c r="H382" s="164"/>
      <c r="I382" s="164"/>
      <c r="J382" s="164"/>
      <c r="K382" s="164"/>
      <c r="L382" s="164"/>
      <c r="M382" s="164"/>
      <c r="N382" s="164"/>
      <c r="O382" s="164"/>
      <c r="P382" s="164"/>
    </row>
    <row r="383" ht="12.75" customHeight="1">
      <c r="C383" s="164"/>
      <c r="D383" s="164"/>
      <c r="E383" s="164"/>
      <c r="F383" s="164"/>
      <c r="G383" s="164"/>
      <c r="H383" s="164"/>
      <c r="I383" s="164"/>
      <c r="J383" s="164"/>
      <c r="K383" s="164"/>
      <c r="L383" s="164"/>
      <c r="M383" s="164"/>
      <c r="N383" s="164"/>
      <c r="O383" s="164"/>
      <c r="P383" s="164"/>
    </row>
    <row r="384" ht="12.75" customHeight="1">
      <c r="C384" s="164"/>
      <c r="D384" s="164"/>
      <c r="E384" s="164"/>
      <c r="F384" s="164"/>
      <c r="G384" s="164"/>
      <c r="H384" s="164"/>
      <c r="I384" s="164"/>
      <c r="J384" s="164"/>
      <c r="K384" s="164"/>
      <c r="L384" s="164"/>
      <c r="M384" s="164"/>
      <c r="N384" s="164"/>
      <c r="O384" s="164"/>
      <c r="P384" s="164"/>
    </row>
    <row r="385" ht="12.75" customHeight="1">
      <c r="C385" s="164"/>
      <c r="D385" s="164"/>
      <c r="E385" s="164"/>
      <c r="F385" s="164"/>
      <c r="G385" s="164"/>
      <c r="H385" s="164"/>
      <c r="I385" s="164"/>
      <c r="J385" s="164"/>
      <c r="K385" s="164"/>
      <c r="L385" s="164"/>
      <c r="M385" s="164"/>
      <c r="N385" s="164"/>
      <c r="O385" s="164"/>
      <c r="P385" s="164"/>
    </row>
    <row r="386" ht="12.75" customHeight="1">
      <c r="C386" s="164"/>
      <c r="D386" s="164"/>
      <c r="E386" s="164"/>
      <c r="F386" s="164"/>
      <c r="G386" s="164"/>
      <c r="H386" s="164"/>
      <c r="I386" s="164"/>
      <c r="J386" s="164"/>
      <c r="K386" s="164"/>
      <c r="L386" s="164"/>
      <c r="M386" s="164"/>
      <c r="N386" s="164"/>
      <c r="O386" s="164"/>
      <c r="P386" s="164"/>
    </row>
    <row r="387" ht="12.75" customHeight="1">
      <c r="C387" s="164"/>
      <c r="D387" s="164"/>
      <c r="E387" s="164"/>
      <c r="F387" s="164"/>
      <c r="G387" s="164"/>
      <c r="H387" s="164"/>
      <c r="I387" s="164"/>
      <c r="J387" s="164"/>
      <c r="K387" s="164"/>
      <c r="L387" s="164"/>
      <c r="M387" s="164"/>
      <c r="N387" s="164"/>
      <c r="O387" s="164"/>
      <c r="P387" s="164"/>
    </row>
    <row r="388" ht="12.75" customHeight="1">
      <c r="C388" s="164"/>
      <c r="D388" s="164"/>
      <c r="E388" s="164"/>
      <c r="F388" s="164"/>
      <c r="G388" s="164"/>
      <c r="H388" s="164"/>
      <c r="I388" s="164"/>
      <c r="J388" s="164"/>
      <c r="K388" s="164"/>
      <c r="L388" s="164"/>
      <c r="M388" s="164"/>
      <c r="N388" s="164"/>
      <c r="O388" s="164"/>
      <c r="P388" s="164"/>
    </row>
    <row r="389" ht="12.75" customHeight="1">
      <c r="C389" s="164"/>
      <c r="D389" s="164"/>
      <c r="E389" s="164"/>
      <c r="F389" s="164"/>
      <c r="G389" s="164"/>
      <c r="H389" s="164"/>
      <c r="I389" s="164"/>
      <c r="J389" s="164"/>
      <c r="K389" s="164"/>
      <c r="L389" s="164"/>
      <c r="M389" s="164"/>
      <c r="N389" s="164"/>
      <c r="O389" s="164"/>
      <c r="P389" s="164"/>
    </row>
    <row r="390" ht="12.75" customHeight="1">
      <c r="C390" s="164"/>
      <c r="D390" s="164"/>
      <c r="E390" s="164"/>
      <c r="F390" s="164"/>
      <c r="G390" s="164"/>
      <c r="H390" s="164"/>
      <c r="I390" s="164"/>
      <c r="J390" s="164"/>
      <c r="K390" s="164"/>
      <c r="L390" s="164"/>
      <c r="M390" s="164"/>
      <c r="N390" s="164"/>
      <c r="O390" s="164"/>
      <c r="P390" s="164"/>
    </row>
    <row r="391" ht="12.75" customHeight="1">
      <c r="C391" s="164"/>
      <c r="D391" s="164"/>
      <c r="E391" s="164"/>
      <c r="F391" s="164"/>
      <c r="G391" s="164"/>
      <c r="H391" s="164"/>
      <c r="I391" s="164"/>
      <c r="J391" s="164"/>
      <c r="K391" s="164"/>
      <c r="L391" s="164"/>
      <c r="M391" s="164"/>
      <c r="N391" s="164"/>
      <c r="O391" s="164"/>
      <c r="P391" s="164"/>
    </row>
    <row r="392" ht="12.75" customHeight="1">
      <c r="C392" s="164"/>
      <c r="D392" s="164"/>
      <c r="E392" s="164"/>
      <c r="F392" s="164"/>
      <c r="G392" s="164"/>
      <c r="H392" s="164"/>
      <c r="I392" s="164"/>
      <c r="J392" s="164"/>
      <c r="K392" s="164"/>
      <c r="L392" s="164"/>
      <c r="M392" s="164"/>
      <c r="N392" s="164"/>
      <c r="O392" s="164"/>
      <c r="P392" s="164"/>
    </row>
    <row r="393" ht="12.75" customHeight="1">
      <c r="C393" s="164"/>
      <c r="D393" s="164"/>
      <c r="E393" s="164"/>
      <c r="F393" s="164"/>
      <c r="G393" s="164"/>
      <c r="H393" s="164"/>
      <c r="I393" s="164"/>
      <c r="J393" s="164"/>
      <c r="K393" s="164"/>
      <c r="L393" s="164"/>
      <c r="M393" s="164"/>
      <c r="N393" s="164"/>
      <c r="O393" s="164"/>
      <c r="P393" s="164"/>
    </row>
    <row r="394" ht="12.75" customHeight="1">
      <c r="C394" s="164"/>
      <c r="D394" s="164"/>
      <c r="E394" s="164"/>
      <c r="F394" s="164"/>
      <c r="G394" s="164"/>
      <c r="H394" s="164"/>
      <c r="I394" s="164"/>
      <c r="J394" s="164"/>
      <c r="K394" s="164"/>
      <c r="L394" s="164"/>
      <c r="M394" s="164"/>
      <c r="N394" s="164"/>
      <c r="O394" s="164"/>
      <c r="P394" s="164"/>
    </row>
    <row r="395" ht="12.75" customHeight="1">
      <c r="C395" s="164"/>
      <c r="D395" s="164"/>
      <c r="E395" s="164"/>
      <c r="F395" s="164"/>
      <c r="G395" s="164"/>
      <c r="H395" s="164"/>
      <c r="I395" s="164"/>
      <c r="J395" s="164"/>
      <c r="K395" s="164"/>
      <c r="L395" s="164"/>
      <c r="M395" s="164"/>
      <c r="N395" s="164"/>
      <c r="O395" s="164"/>
      <c r="P395" s="164"/>
    </row>
    <row r="396" ht="12.75" customHeight="1">
      <c r="C396" s="164"/>
      <c r="D396" s="164"/>
      <c r="E396" s="164"/>
      <c r="F396" s="164"/>
      <c r="G396" s="164"/>
      <c r="H396" s="164"/>
      <c r="I396" s="164"/>
      <c r="J396" s="164"/>
      <c r="K396" s="164"/>
      <c r="L396" s="164"/>
      <c r="M396" s="164"/>
      <c r="N396" s="164"/>
      <c r="O396" s="164"/>
      <c r="P396" s="164"/>
    </row>
    <row r="397" ht="12.75" customHeight="1">
      <c r="C397" s="164"/>
      <c r="D397" s="164"/>
      <c r="E397" s="164"/>
      <c r="F397" s="164"/>
      <c r="G397" s="164"/>
      <c r="H397" s="164"/>
      <c r="I397" s="164"/>
      <c r="J397" s="164"/>
      <c r="K397" s="164"/>
      <c r="L397" s="164"/>
      <c r="M397" s="164"/>
      <c r="N397" s="164"/>
      <c r="O397" s="164"/>
      <c r="P397" s="164"/>
    </row>
    <row r="398" ht="12.75" customHeight="1">
      <c r="C398" s="164"/>
      <c r="D398" s="164"/>
      <c r="E398" s="164"/>
      <c r="F398" s="164"/>
      <c r="G398" s="164"/>
      <c r="H398" s="164"/>
      <c r="I398" s="164"/>
      <c r="J398" s="164"/>
      <c r="K398" s="164"/>
      <c r="L398" s="164"/>
      <c r="M398" s="164"/>
      <c r="N398" s="164"/>
      <c r="O398" s="164"/>
      <c r="P398" s="164"/>
    </row>
    <row r="399" ht="12.75" customHeight="1">
      <c r="C399" s="164"/>
      <c r="D399" s="164"/>
      <c r="E399" s="164"/>
      <c r="F399" s="164"/>
      <c r="G399" s="164"/>
      <c r="H399" s="164"/>
      <c r="I399" s="164"/>
      <c r="J399" s="164"/>
      <c r="K399" s="164"/>
      <c r="L399" s="164"/>
      <c r="M399" s="164"/>
      <c r="N399" s="164"/>
      <c r="O399" s="164"/>
      <c r="P399" s="164"/>
    </row>
    <row r="400" ht="12.75" customHeight="1">
      <c r="C400" s="164"/>
      <c r="D400" s="164"/>
      <c r="E400" s="164"/>
      <c r="F400" s="164"/>
      <c r="G400" s="164"/>
      <c r="H400" s="164"/>
      <c r="I400" s="164"/>
      <c r="J400" s="164"/>
      <c r="K400" s="164"/>
      <c r="L400" s="164"/>
      <c r="M400" s="164"/>
      <c r="N400" s="164"/>
      <c r="O400" s="164"/>
      <c r="P400" s="164"/>
    </row>
    <row r="401" ht="12.75" customHeight="1">
      <c r="C401" s="164"/>
      <c r="D401" s="164"/>
      <c r="E401" s="164"/>
      <c r="F401" s="164"/>
      <c r="G401" s="164"/>
      <c r="H401" s="164"/>
      <c r="I401" s="164"/>
      <c r="J401" s="164"/>
      <c r="K401" s="164"/>
      <c r="L401" s="164"/>
      <c r="M401" s="164"/>
      <c r="N401" s="164"/>
      <c r="O401" s="164"/>
      <c r="P401" s="164"/>
    </row>
    <row r="402" ht="12.75" customHeight="1">
      <c r="C402" s="164"/>
      <c r="D402" s="164"/>
      <c r="E402" s="164"/>
      <c r="F402" s="164"/>
      <c r="G402" s="164"/>
      <c r="H402" s="164"/>
      <c r="I402" s="164"/>
      <c r="J402" s="164"/>
      <c r="K402" s="164"/>
      <c r="L402" s="164"/>
      <c r="M402" s="164"/>
      <c r="N402" s="164"/>
      <c r="O402" s="164"/>
      <c r="P402" s="164"/>
    </row>
    <row r="403" ht="12.75" customHeight="1">
      <c r="C403" s="164"/>
      <c r="D403" s="164"/>
      <c r="E403" s="164"/>
      <c r="F403" s="164"/>
      <c r="G403" s="164"/>
      <c r="H403" s="164"/>
      <c r="I403" s="164"/>
      <c r="J403" s="164"/>
      <c r="K403" s="164"/>
      <c r="L403" s="164"/>
      <c r="M403" s="164"/>
      <c r="N403" s="164"/>
      <c r="O403" s="164"/>
      <c r="P403" s="164"/>
    </row>
    <row r="404" ht="12.75" customHeight="1">
      <c r="C404" s="164"/>
      <c r="D404" s="164"/>
      <c r="E404" s="164"/>
      <c r="F404" s="164"/>
      <c r="G404" s="164"/>
      <c r="H404" s="164"/>
      <c r="I404" s="164"/>
      <c r="J404" s="164"/>
      <c r="K404" s="164"/>
      <c r="L404" s="164"/>
      <c r="M404" s="164"/>
      <c r="N404" s="164"/>
      <c r="O404" s="164"/>
      <c r="P404" s="164"/>
    </row>
    <row r="405" ht="12.75" customHeight="1">
      <c r="C405" s="164"/>
      <c r="D405" s="164"/>
      <c r="E405" s="164"/>
      <c r="F405" s="164"/>
      <c r="G405" s="164"/>
      <c r="H405" s="164"/>
      <c r="I405" s="164"/>
      <c r="J405" s="164"/>
      <c r="K405" s="164"/>
      <c r="L405" s="164"/>
      <c r="M405" s="164"/>
      <c r="N405" s="164"/>
      <c r="O405" s="164"/>
      <c r="P405" s="164"/>
    </row>
    <row r="406" ht="12.75" customHeight="1">
      <c r="C406" s="164"/>
      <c r="D406" s="164"/>
      <c r="E406" s="164"/>
      <c r="F406" s="164"/>
      <c r="G406" s="164"/>
      <c r="H406" s="164"/>
      <c r="I406" s="164"/>
      <c r="J406" s="164"/>
      <c r="K406" s="164"/>
      <c r="L406" s="164"/>
      <c r="M406" s="164"/>
      <c r="N406" s="164"/>
      <c r="O406" s="164"/>
      <c r="P406" s="164"/>
    </row>
    <row r="407" ht="12.75" customHeight="1">
      <c r="C407" s="164"/>
      <c r="D407" s="164"/>
      <c r="E407" s="164"/>
      <c r="F407" s="164"/>
      <c r="G407" s="164"/>
      <c r="H407" s="164"/>
      <c r="I407" s="164"/>
      <c r="J407" s="164"/>
      <c r="K407" s="164"/>
      <c r="L407" s="164"/>
      <c r="M407" s="164"/>
      <c r="N407" s="164"/>
      <c r="O407" s="164"/>
      <c r="P407" s="164"/>
    </row>
    <row r="408" ht="12.75" customHeight="1">
      <c r="C408" s="164"/>
      <c r="D408" s="164"/>
      <c r="E408" s="164"/>
      <c r="F408" s="164"/>
      <c r="G408" s="164"/>
      <c r="H408" s="164"/>
      <c r="I408" s="164"/>
      <c r="J408" s="164"/>
      <c r="K408" s="164"/>
      <c r="L408" s="164"/>
      <c r="M408" s="164"/>
      <c r="N408" s="164"/>
      <c r="O408" s="164"/>
      <c r="P408" s="164"/>
    </row>
    <row r="409" ht="12.75" customHeight="1">
      <c r="C409" s="164"/>
      <c r="D409" s="164"/>
      <c r="E409" s="164"/>
      <c r="F409" s="164"/>
      <c r="G409" s="164"/>
      <c r="H409" s="164"/>
      <c r="I409" s="164"/>
      <c r="J409" s="164"/>
      <c r="K409" s="164"/>
      <c r="L409" s="164"/>
      <c r="M409" s="164"/>
      <c r="N409" s="164"/>
      <c r="O409" s="164"/>
      <c r="P409" s="164"/>
    </row>
    <row r="410" ht="12.75" customHeight="1">
      <c r="C410" s="164"/>
      <c r="D410" s="164"/>
      <c r="E410" s="164"/>
      <c r="F410" s="164"/>
      <c r="G410" s="164"/>
      <c r="H410" s="164"/>
      <c r="I410" s="164"/>
      <c r="J410" s="164"/>
      <c r="K410" s="164"/>
      <c r="L410" s="164"/>
      <c r="M410" s="164"/>
      <c r="N410" s="164"/>
      <c r="O410" s="164"/>
      <c r="P410" s="164"/>
    </row>
    <row r="411" ht="12.75" customHeight="1">
      <c r="C411" s="164"/>
      <c r="D411" s="164"/>
      <c r="E411" s="164"/>
      <c r="F411" s="164"/>
      <c r="G411" s="164"/>
      <c r="H411" s="164"/>
      <c r="I411" s="164"/>
      <c r="J411" s="164"/>
      <c r="K411" s="164"/>
      <c r="L411" s="164"/>
      <c r="M411" s="164"/>
      <c r="N411" s="164"/>
      <c r="O411" s="164"/>
      <c r="P411" s="164"/>
    </row>
    <row r="412" ht="12.75" customHeight="1">
      <c r="C412" s="164"/>
      <c r="D412" s="164"/>
      <c r="E412" s="164"/>
      <c r="F412" s="164"/>
      <c r="G412" s="164"/>
      <c r="H412" s="164"/>
      <c r="I412" s="164"/>
      <c r="J412" s="164"/>
      <c r="K412" s="164"/>
      <c r="L412" s="164"/>
      <c r="M412" s="164"/>
      <c r="N412" s="164"/>
      <c r="O412" s="164"/>
      <c r="P412" s="164"/>
    </row>
    <row r="413" ht="12.75" customHeight="1">
      <c r="C413" s="164"/>
      <c r="D413" s="164"/>
      <c r="E413" s="164"/>
      <c r="F413" s="164"/>
      <c r="G413" s="164"/>
      <c r="H413" s="164"/>
      <c r="I413" s="164"/>
      <c r="J413" s="164"/>
      <c r="K413" s="164"/>
      <c r="L413" s="164"/>
      <c r="M413" s="164"/>
      <c r="N413" s="164"/>
      <c r="O413" s="164"/>
      <c r="P413" s="164"/>
    </row>
    <row r="414" ht="12.75" customHeight="1">
      <c r="C414" s="164"/>
      <c r="D414" s="164"/>
      <c r="E414" s="164"/>
      <c r="F414" s="164"/>
      <c r="G414" s="164"/>
      <c r="H414" s="164"/>
      <c r="I414" s="164"/>
      <c r="J414" s="164"/>
      <c r="K414" s="164"/>
      <c r="L414" s="164"/>
      <c r="M414" s="164"/>
      <c r="N414" s="164"/>
      <c r="O414" s="164"/>
      <c r="P414" s="164"/>
    </row>
    <row r="415" ht="12.75" customHeight="1">
      <c r="C415" s="164"/>
      <c r="D415" s="164"/>
      <c r="E415" s="164"/>
      <c r="F415" s="164"/>
      <c r="G415" s="164"/>
      <c r="H415" s="164"/>
      <c r="I415" s="164"/>
      <c r="J415" s="164"/>
      <c r="K415" s="164"/>
      <c r="L415" s="164"/>
      <c r="M415" s="164"/>
      <c r="N415" s="164"/>
      <c r="O415" s="164"/>
      <c r="P415" s="164"/>
    </row>
    <row r="416" ht="12.75" customHeight="1">
      <c r="C416" s="164"/>
      <c r="D416" s="164"/>
      <c r="E416" s="164"/>
      <c r="F416" s="164"/>
      <c r="G416" s="164"/>
      <c r="H416" s="164"/>
      <c r="I416" s="164"/>
      <c r="J416" s="164"/>
      <c r="K416" s="164"/>
      <c r="L416" s="164"/>
      <c r="M416" s="164"/>
      <c r="N416" s="164"/>
      <c r="O416" s="164"/>
      <c r="P416" s="164"/>
    </row>
    <row r="417" ht="12.75" customHeight="1">
      <c r="C417" s="164"/>
      <c r="D417" s="164"/>
      <c r="E417" s="164"/>
      <c r="F417" s="164"/>
      <c r="G417" s="164"/>
      <c r="H417" s="164"/>
      <c r="I417" s="164"/>
      <c r="J417" s="164"/>
      <c r="K417" s="164"/>
      <c r="L417" s="164"/>
      <c r="M417" s="164"/>
      <c r="N417" s="164"/>
      <c r="O417" s="164"/>
      <c r="P417" s="164"/>
    </row>
    <row r="418" ht="12.75" customHeight="1">
      <c r="C418" s="164"/>
      <c r="D418" s="164"/>
      <c r="E418" s="164"/>
      <c r="F418" s="164"/>
      <c r="G418" s="164"/>
      <c r="H418" s="164"/>
      <c r="I418" s="164"/>
      <c r="J418" s="164"/>
      <c r="K418" s="164"/>
      <c r="L418" s="164"/>
      <c r="M418" s="164"/>
      <c r="N418" s="164"/>
      <c r="O418" s="164"/>
      <c r="P418" s="164"/>
    </row>
    <row r="419" ht="12.75" customHeight="1">
      <c r="C419" s="164"/>
      <c r="D419" s="164"/>
      <c r="E419" s="164"/>
      <c r="F419" s="164"/>
      <c r="G419" s="164"/>
      <c r="H419" s="164"/>
      <c r="I419" s="164"/>
      <c r="J419" s="164"/>
      <c r="K419" s="164"/>
      <c r="L419" s="164"/>
      <c r="M419" s="164"/>
      <c r="N419" s="164"/>
      <c r="O419" s="164"/>
      <c r="P419" s="164"/>
    </row>
    <row r="420" ht="12.75" customHeight="1">
      <c r="C420" s="164"/>
      <c r="D420" s="164"/>
      <c r="E420" s="164"/>
      <c r="F420" s="164"/>
      <c r="G420" s="164"/>
      <c r="H420" s="164"/>
      <c r="I420" s="164"/>
      <c r="J420" s="164"/>
      <c r="K420" s="164"/>
      <c r="L420" s="164"/>
      <c r="M420" s="164"/>
      <c r="N420" s="164"/>
      <c r="O420" s="164"/>
      <c r="P420" s="164"/>
    </row>
    <row r="421" ht="12.75" customHeight="1">
      <c r="C421" s="164"/>
      <c r="D421" s="164"/>
      <c r="E421" s="164"/>
      <c r="F421" s="164"/>
      <c r="G421" s="164"/>
      <c r="H421" s="164"/>
      <c r="I421" s="164"/>
      <c r="J421" s="164"/>
      <c r="K421" s="164"/>
      <c r="L421" s="164"/>
      <c r="M421" s="164"/>
      <c r="N421" s="164"/>
      <c r="O421" s="164"/>
      <c r="P421" s="164"/>
    </row>
    <row r="422" ht="12.75" customHeight="1">
      <c r="C422" s="164"/>
      <c r="D422" s="164"/>
      <c r="E422" s="164"/>
      <c r="F422" s="164"/>
      <c r="G422" s="164"/>
      <c r="H422" s="164"/>
      <c r="I422" s="164"/>
      <c r="J422" s="164"/>
      <c r="K422" s="164"/>
      <c r="L422" s="164"/>
      <c r="M422" s="164"/>
      <c r="N422" s="164"/>
      <c r="O422" s="164"/>
      <c r="P422" s="164"/>
    </row>
    <row r="423" ht="12.75" customHeight="1">
      <c r="C423" s="164"/>
      <c r="D423" s="164"/>
      <c r="E423" s="164"/>
      <c r="F423" s="164"/>
      <c r="G423" s="164"/>
      <c r="H423" s="164"/>
      <c r="I423" s="164"/>
      <c r="J423" s="164"/>
      <c r="K423" s="164"/>
      <c r="L423" s="164"/>
      <c r="M423" s="164"/>
      <c r="N423" s="164"/>
      <c r="O423" s="164"/>
      <c r="P423" s="164"/>
    </row>
    <row r="424" ht="12.75" customHeight="1">
      <c r="C424" s="164"/>
      <c r="D424" s="164"/>
      <c r="E424" s="164"/>
      <c r="F424" s="164"/>
      <c r="G424" s="164"/>
      <c r="H424" s="164"/>
      <c r="I424" s="164"/>
      <c r="J424" s="164"/>
      <c r="K424" s="164"/>
      <c r="L424" s="164"/>
      <c r="M424" s="164"/>
      <c r="N424" s="164"/>
      <c r="O424" s="164"/>
      <c r="P424" s="164"/>
    </row>
    <row r="425" ht="12.75" customHeight="1">
      <c r="C425" s="164"/>
      <c r="D425" s="164"/>
      <c r="E425" s="164"/>
      <c r="F425" s="164"/>
      <c r="G425" s="164"/>
      <c r="H425" s="164"/>
      <c r="I425" s="164"/>
      <c r="J425" s="164"/>
      <c r="K425" s="164"/>
      <c r="L425" s="164"/>
      <c r="M425" s="164"/>
      <c r="N425" s="164"/>
      <c r="O425" s="164"/>
      <c r="P425" s="164"/>
    </row>
    <row r="426" ht="12.75" customHeight="1">
      <c r="C426" s="164"/>
      <c r="D426" s="164"/>
      <c r="E426" s="164"/>
      <c r="F426" s="164"/>
      <c r="G426" s="164"/>
      <c r="H426" s="164"/>
      <c r="I426" s="164"/>
      <c r="J426" s="164"/>
      <c r="K426" s="164"/>
      <c r="L426" s="164"/>
      <c r="M426" s="164"/>
      <c r="N426" s="164"/>
      <c r="O426" s="164"/>
      <c r="P426" s="164"/>
    </row>
    <row r="427" ht="12.75" customHeight="1">
      <c r="C427" s="164"/>
      <c r="D427" s="164"/>
      <c r="E427" s="164"/>
      <c r="F427" s="164"/>
      <c r="G427" s="164"/>
      <c r="H427" s="164"/>
      <c r="I427" s="164"/>
      <c r="J427" s="164"/>
      <c r="K427" s="164"/>
      <c r="L427" s="164"/>
      <c r="M427" s="164"/>
      <c r="N427" s="164"/>
      <c r="O427" s="164"/>
      <c r="P427" s="164"/>
    </row>
    <row r="428" ht="12.75" customHeight="1">
      <c r="C428" s="164"/>
      <c r="D428" s="164"/>
      <c r="E428" s="164"/>
      <c r="F428" s="164"/>
      <c r="G428" s="164"/>
      <c r="H428" s="164"/>
      <c r="I428" s="164"/>
      <c r="J428" s="164"/>
      <c r="K428" s="164"/>
      <c r="L428" s="164"/>
      <c r="M428" s="164"/>
      <c r="N428" s="164"/>
      <c r="O428" s="164"/>
      <c r="P428" s="164"/>
    </row>
    <row r="429" ht="12.75" customHeight="1">
      <c r="C429" s="164"/>
      <c r="D429" s="164"/>
      <c r="E429" s="164"/>
      <c r="F429" s="164"/>
      <c r="G429" s="164"/>
      <c r="H429" s="164"/>
      <c r="I429" s="164"/>
      <c r="J429" s="164"/>
      <c r="K429" s="164"/>
      <c r="L429" s="164"/>
      <c r="M429" s="164"/>
      <c r="N429" s="164"/>
      <c r="O429" s="164"/>
      <c r="P429" s="164"/>
    </row>
    <row r="430" ht="12.75" customHeight="1">
      <c r="C430" s="164"/>
      <c r="D430" s="164"/>
      <c r="E430" s="164"/>
      <c r="F430" s="164"/>
      <c r="G430" s="164"/>
      <c r="H430" s="164"/>
      <c r="I430" s="164"/>
      <c r="J430" s="164"/>
      <c r="K430" s="164"/>
      <c r="L430" s="164"/>
      <c r="M430" s="164"/>
      <c r="N430" s="164"/>
      <c r="O430" s="164"/>
      <c r="P430" s="164"/>
    </row>
    <row r="431" ht="12.75" customHeight="1">
      <c r="C431" s="164"/>
      <c r="D431" s="164"/>
      <c r="E431" s="164"/>
      <c r="F431" s="164"/>
      <c r="G431" s="164"/>
      <c r="H431" s="164"/>
      <c r="I431" s="164"/>
      <c r="J431" s="164"/>
      <c r="K431" s="164"/>
      <c r="L431" s="164"/>
      <c r="M431" s="164"/>
      <c r="N431" s="164"/>
      <c r="O431" s="164"/>
      <c r="P431" s="164"/>
    </row>
    <row r="432" ht="12.75" customHeight="1">
      <c r="C432" s="164"/>
      <c r="D432" s="164"/>
      <c r="E432" s="164"/>
      <c r="F432" s="164"/>
      <c r="G432" s="164"/>
      <c r="H432" s="164"/>
      <c r="I432" s="164"/>
      <c r="J432" s="164"/>
      <c r="K432" s="164"/>
      <c r="L432" s="164"/>
      <c r="M432" s="164"/>
      <c r="N432" s="164"/>
      <c r="O432" s="164"/>
      <c r="P432" s="164"/>
    </row>
    <row r="433" ht="12.75" customHeight="1">
      <c r="C433" s="164"/>
      <c r="D433" s="164"/>
      <c r="E433" s="164"/>
      <c r="F433" s="164"/>
      <c r="G433" s="164"/>
      <c r="H433" s="164"/>
      <c r="I433" s="164"/>
      <c r="J433" s="164"/>
      <c r="K433" s="164"/>
      <c r="L433" s="164"/>
      <c r="M433" s="164"/>
      <c r="N433" s="164"/>
      <c r="O433" s="164"/>
      <c r="P433" s="164"/>
    </row>
    <row r="434" ht="12.75" customHeight="1">
      <c r="C434" s="164"/>
      <c r="D434" s="164"/>
      <c r="E434" s="164"/>
      <c r="F434" s="164"/>
      <c r="G434" s="164"/>
      <c r="H434" s="164"/>
      <c r="I434" s="164"/>
      <c r="J434" s="164"/>
      <c r="K434" s="164"/>
      <c r="L434" s="164"/>
      <c r="M434" s="164"/>
      <c r="N434" s="164"/>
      <c r="O434" s="164"/>
      <c r="P434" s="164"/>
    </row>
    <row r="435" ht="12.75" customHeight="1">
      <c r="C435" s="164"/>
      <c r="D435" s="164"/>
      <c r="E435" s="164"/>
      <c r="F435" s="164"/>
      <c r="G435" s="164"/>
      <c r="H435" s="164"/>
      <c r="I435" s="164"/>
      <c r="J435" s="164"/>
      <c r="K435" s="164"/>
      <c r="L435" s="164"/>
      <c r="M435" s="164"/>
      <c r="N435" s="164"/>
      <c r="O435" s="164"/>
      <c r="P435" s="164"/>
    </row>
    <row r="436" ht="12.75" customHeight="1">
      <c r="C436" s="164"/>
      <c r="D436" s="164"/>
      <c r="E436" s="164"/>
      <c r="F436" s="164"/>
      <c r="G436" s="164"/>
      <c r="H436" s="164"/>
      <c r="I436" s="164"/>
      <c r="J436" s="164"/>
      <c r="K436" s="164"/>
      <c r="L436" s="164"/>
      <c r="M436" s="164"/>
      <c r="N436" s="164"/>
      <c r="O436" s="164"/>
      <c r="P436" s="164"/>
    </row>
    <row r="437" ht="12.75" customHeight="1">
      <c r="C437" s="164"/>
      <c r="D437" s="164"/>
      <c r="E437" s="164"/>
      <c r="F437" s="164"/>
      <c r="G437" s="164"/>
      <c r="H437" s="164"/>
      <c r="I437" s="164"/>
      <c r="J437" s="164"/>
      <c r="K437" s="164"/>
      <c r="L437" s="164"/>
      <c r="M437" s="164"/>
      <c r="N437" s="164"/>
      <c r="O437" s="164"/>
      <c r="P437" s="164"/>
    </row>
    <row r="438" ht="12.75" customHeight="1">
      <c r="C438" s="164"/>
      <c r="D438" s="164"/>
      <c r="E438" s="164"/>
      <c r="F438" s="164"/>
      <c r="G438" s="164"/>
      <c r="H438" s="164"/>
      <c r="I438" s="164"/>
      <c r="J438" s="164"/>
      <c r="K438" s="164"/>
      <c r="L438" s="164"/>
      <c r="M438" s="164"/>
      <c r="N438" s="164"/>
      <c r="O438" s="164"/>
      <c r="P438" s="164"/>
    </row>
    <row r="439" ht="12.75" customHeight="1">
      <c r="C439" s="164"/>
      <c r="D439" s="164"/>
      <c r="E439" s="164"/>
      <c r="F439" s="164"/>
      <c r="G439" s="164"/>
      <c r="H439" s="164"/>
      <c r="I439" s="164"/>
      <c r="J439" s="164"/>
      <c r="K439" s="164"/>
      <c r="L439" s="164"/>
      <c r="M439" s="164"/>
      <c r="N439" s="164"/>
      <c r="O439" s="164"/>
      <c r="P439" s="164"/>
    </row>
    <row r="440" ht="12.75" customHeight="1">
      <c r="C440" s="164"/>
      <c r="D440" s="164"/>
      <c r="E440" s="164"/>
      <c r="F440" s="164"/>
      <c r="G440" s="164"/>
      <c r="H440" s="164"/>
      <c r="I440" s="164"/>
      <c r="J440" s="164"/>
      <c r="K440" s="164"/>
      <c r="L440" s="164"/>
      <c r="M440" s="164"/>
      <c r="N440" s="164"/>
      <c r="O440" s="164"/>
      <c r="P440" s="164"/>
    </row>
    <row r="441" ht="12.75" customHeight="1">
      <c r="C441" s="164"/>
      <c r="D441" s="164"/>
      <c r="E441" s="164"/>
      <c r="F441" s="164"/>
      <c r="G441" s="164"/>
      <c r="H441" s="164"/>
      <c r="I441" s="164"/>
      <c r="J441" s="164"/>
      <c r="K441" s="164"/>
      <c r="L441" s="164"/>
      <c r="M441" s="164"/>
      <c r="N441" s="164"/>
      <c r="O441" s="164"/>
      <c r="P441" s="164"/>
    </row>
    <row r="442" ht="12.75" customHeight="1">
      <c r="C442" s="164"/>
      <c r="D442" s="164"/>
      <c r="E442" s="164"/>
      <c r="F442" s="164"/>
      <c r="G442" s="164"/>
      <c r="H442" s="164"/>
      <c r="I442" s="164"/>
      <c r="J442" s="164"/>
      <c r="K442" s="164"/>
      <c r="L442" s="164"/>
      <c r="M442" s="164"/>
      <c r="N442" s="164"/>
      <c r="O442" s="164"/>
      <c r="P442" s="164"/>
    </row>
    <row r="443" ht="12.75" customHeight="1">
      <c r="C443" s="164"/>
      <c r="D443" s="164"/>
      <c r="E443" s="164"/>
      <c r="F443" s="164"/>
      <c r="G443" s="164"/>
      <c r="H443" s="164"/>
      <c r="I443" s="164"/>
      <c r="J443" s="164"/>
      <c r="K443" s="164"/>
      <c r="L443" s="164"/>
      <c r="M443" s="164"/>
      <c r="N443" s="164"/>
      <c r="O443" s="164"/>
      <c r="P443" s="164"/>
    </row>
    <row r="444" ht="12.75" customHeight="1">
      <c r="C444" s="164"/>
      <c r="D444" s="164"/>
      <c r="E444" s="164"/>
      <c r="F444" s="164"/>
      <c r="G444" s="164"/>
      <c r="H444" s="164"/>
      <c r="I444" s="164"/>
      <c r="J444" s="164"/>
      <c r="K444" s="164"/>
      <c r="L444" s="164"/>
      <c r="M444" s="164"/>
      <c r="N444" s="164"/>
      <c r="O444" s="164"/>
      <c r="P444" s="164"/>
    </row>
    <row r="445" ht="12.75" customHeight="1">
      <c r="C445" s="164"/>
      <c r="D445" s="164"/>
      <c r="E445" s="164"/>
      <c r="F445" s="164"/>
      <c r="G445" s="164"/>
      <c r="H445" s="164"/>
      <c r="I445" s="164"/>
      <c r="J445" s="164"/>
      <c r="K445" s="164"/>
      <c r="L445" s="164"/>
      <c r="M445" s="164"/>
      <c r="N445" s="164"/>
      <c r="O445" s="164"/>
      <c r="P445" s="164"/>
    </row>
    <row r="446" ht="12.75" customHeight="1">
      <c r="C446" s="164"/>
      <c r="D446" s="164"/>
      <c r="E446" s="164"/>
      <c r="F446" s="164"/>
      <c r="G446" s="164"/>
      <c r="H446" s="164"/>
      <c r="I446" s="164"/>
      <c r="J446" s="164"/>
      <c r="K446" s="164"/>
      <c r="L446" s="164"/>
      <c r="M446" s="164"/>
      <c r="N446" s="164"/>
      <c r="O446" s="164"/>
      <c r="P446" s="164"/>
    </row>
    <row r="447" ht="12.75" customHeight="1">
      <c r="C447" s="164"/>
      <c r="D447" s="164"/>
      <c r="E447" s="164"/>
      <c r="F447" s="164"/>
      <c r="G447" s="164"/>
      <c r="H447" s="164"/>
      <c r="I447" s="164"/>
      <c r="J447" s="164"/>
      <c r="K447" s="164"/>
      <c r="L447" s="164"/>
      <c r="M447" s="164"/>
      <c r="N447" s="164"/>
      <c r="O447" s="164"/>
      <c r="P447" s="164"/>
    </row>
    <row r="448" ht="12.75" customHeight="1">
      <c r="C448" s="164"/>
      <c r="D448" s="164"/>
      <c r="E448" s="164"/>
      <c r="F448" s="164"/>
      <c r="G448" s="164"/>
      <c r="H448" s="164"/>
      <c r="I448" s="164"/>
      <c r="J448" s="164"/>
      <c r="K448" s="164"/>
      <c r="L448" s="164"/>
      <c r="M448" s="164"/>
      <c r="N448" s="164"/>
      <c r="O448" s="164"/>
      <c r="P448" s="164"/>
    </row>
    <row r="449" ht="12.75" customHeight="1">
      <c r="C449" s="164"/>
      <c r="D449" s="164"/>
      <c r="E449" s="164"/>
      <c r="F449" s="164"/>
      <c r="G449" s="164"/>
      <c r="H449" s="164"/>
      <c r="I449" s="164"/>
      <c r="J449" s="164"/>
      <c r="K449" s="164"/>
      <c r="L449" s="164"/>
      <c r="M449" s="164"/>
      <c r="N449" s="164"/>
      <c r="O449" s="164"/>
      <c r="P449" s="164"/>
    </row>
    <row r="450" ht="12.75" customHeight="1">
      <c r="C450" s="164"/>
      <c r="D450" s="164"/>
      <c r="E450" s="164"/>
      <c r="F450" s="164"/>
      <c r="G450" s="164"/>
      <c r="H450" s="164"/>
      <c r="I450" s="164"/>
      <c r="J450" s="164"/>
      <c r="K450" s="164"/>
      <c r="L450" s="164"/>
      <c r="M450" s="164"/>
      <c r="N450" s="164"/>
      <c r="O450" s="164"/>
      <c r="P450" s="164"/>
    </row>
    <row r="451" ht="12.75" customHeight="1">
      <c r="C451" s="164"/>
      <c r="D451" s="164"/>
      <c r="E451" s="164"/>
      <c r="F451" s="164"/>
      <c r="G451" s="164"/>
      <c r="H451" s="164"/>
      <c r="I451" s="164"/>
      <c r="J451" s="164"/>
      <c r="K451" s="164"/>
      <c r="L451" s="164"/>
      <c r="M451" s="164"/>
      <c r="N451" s="164"/>
      <c r="O451" s="164"/>
      <c r="P451" s="164"/>
    </row>
    <row r="452" ht="12.75" customHeight="1">
      <c r="C452" s="164"/>
      <c r="D452" s="164"/>
      <c r="E452" s="164"/>
      <c r="F452" s="164"/>
      <c r="G452" s="164"/>
      <c r="H452" s="164"/>
      <c r="I452" s="164"/>
      <c r="J452" s="164"/>
      <c r="K452" s="164"/>
      <c r="L452" s="164"/>
      <c r="M452" s="164"/>
      <c r="N452" s="164"/>
      <c r="O452" s="164"/>
      <c r="P452" s="164"/>
    </row>
    <row r="453" ht="12.75" customHeight="1">
      <c r="C453" s="164"/>
      <c r="D453" s="164"/>
      <c r="E453" s="164"/>
      <c r="F453" s="164"/>
      <c r="G453" s="164"/>
      <c r="H453" s="164"/>
      <c r="I453" s="164"/>
      <c r="J453" s="164"/>
      <c r="K453" s="164"/>
      <c r="L453" s="164"/>
      <c r="M453" s="164"/>
      <c r="N453" s="164"/>
      <c r="O453" s="164"/>
      <c r="P453" s="164"/>
    </row>
    <row r="454" ht="12.75" customHeight="1">
      <c r="C454" s="164"/>
      <c r="D454" s="164"/>
      <c r="E454" s="164"/>
      <c r="F454" s="164"/>
      <c r="G454" s="164"/>
      <c r="H454" s="164"/>
      <c r="I454" s="164"/>
      <c r="J454" s="164"/>
      <c r="K454" s="164"/>
      <c r="L454" s="164"/>
      <c r="M454" s="164"/>
      <c r="N454" s="164"/>
      <c r="O454" s="164"/>
      <c r="P454" s="164"/>
    </row>
    <row r="455" ht="12.75" customHeight="1">
      <c r="C455" s="164"/>
      <c r="D455" s="164"/>
      <c r="E455" s="164"/>
      <c r="F455" s="164"/>
      <c r="G455" s="164"/>
      <c r="H455" s="164"/>
      <c r="I455" s="164"/>
      <c r="J455" s="164"/>
      <c r="K455" s="164"/>
      <c r="L455" s="164"/>
      <c r="M455" s="164"/>
      <c r="N455" s="164"/>
      <c r="O455" s="164"/>
      <c r="P455" s="164"/>
    </row>
    <row r="456" ht="12.75" customHeight="1">
      <c r="C456" s="164"/>
      <c r="D456" s="164"/>
      <c r="E456" s="164"/>
      <c r="F456" s="164"/>
      <c r="G456" s="164"/>
      <c r="H456" s="164"/>
      <c r="I456" s="164"/>
      <c r="J456" s="164"/>
      <c r="K456" s="164"/>
      <c r="L456" s="164"/>
      <c r="M456" s="164"/>
      <c r="N456" s="164"/>
      <c r="O456" s="164"/>
      <c r="P456" s="164"/>
    </row>
    <row r="457" ht="12.75" customHeight="1">
      <c r="C457" s="164"/>
      <c r="D457" s="164"/>
      <c r="E457" s="164"/>
      <c r="F457" s="164"/>
      <c r="G457" s="164"/>
      <c r="H457" s="164"/>
      <c r="I457" s="164"/>
      <c r="J457" s="164"/>
      <c r="K457" s="164"/>
      <c r="L457" s="164"/>
      <c r="M457" s="164"/>
      <c r="N457" s="164"/>
      <c r="O457" s="164"/>
      <c r="P457" s="164"/>
    </row>
    <row r="458" ht="12.75" customHeight="1">
      <c r="C458" s="164"/>
      <c r="D458" s="164"/>
      <c r="E458" s="164"/>
      <c r="F458" s="164"/>
      <c r="G458" s="164"/>
      <c r="H458" s="164"/>
      <c r="I458" s="164"/>
      <c r="J458" s="164"/>
      <c r="K458" s="164"/>
      <c r="L458" s="164"/>
      <c r="M458" s="164"/>
      <c r="N458" s="164"/>
      <c r="O458" s="164"/>
      <c r="P458" s="164"/>
    </row>
    <row r="459" ht="12.75" customHeight="1">
      <c r="C459" s="164"/>
      <c r="D459" s="164"/>
      <c r="E459" s="164"/>
      <c r="F459" s="164"/>
      <c r="G459" s="164"/>
      <c r="H459" s="164"/>
      <c r="I459" s="164"/>
      <c r="J459" s="164"/>
      <c r="K459" s="164"/>
      <c r="L459" s="164"/>
      <c r="M459" s="164"/>
      <c r="N459" s="164"/>
      <c r="O459" s="164"/>
      <c r="P459" s="164"/>
    </row>
    <row r="460" ht="12.75" customHeight="1">
      <c r="C460" s="164"/>
      <c r="D460" s="164"/>
      <c r="E460" s="164"/>
      <c r="F460" s="164"/>
      <c r="G460" s="164"/>
      <c r="H460" s="164"/>
      <c r="I460" s="164"/>
      <c r="J460" s="164"/>
      <c r="K460" s="164"/>
      <c r="L460" s="164"/>
      <c r="M460" s="164"/>
      <c r="N460" s="164"/>
      <c r="O460" s="164"/>
      <c r="P460" s="164"/>
    </row>
    <row r="461" ht="12.75" customHeight="1">
      <c r="C461" s="164"/>
      <c r="D461" s="164"/>
      <c r="E461" s="164"/>
      <c r="F461" s="164"/>
      <c r="G461" s="164"/>
      <c r="H461" s="164"/>
      <c r="I461" s="164"/>
      <c r="J461" s="164"/>
      <c r="K461" s="164"/>
      <c r="L461" s="164"/>
      <c r="M461" s="164"/>
      <c r="N461" s="164"/>
      <c r="O461" s="164"/>
      <c r="P461" s="164"/>
    </row>
    <row r="462" ht="12.75" customHeight="1">
      <c r="C462" s="164"/>
      <c r="D462" s="164"/>
      <c r="E462" s="164"/>
      <c r="F462" s="164"/>
      <c r="G462" s="164"/>
      <c r="H462" s="164"/>
      <c r="I462" s="164"/>
      <c r="J462" s="164"/>
      <c r="K462" s="164"/>
      <c r="L462" s="164"/>
      <c r="M462" s="164"/>
      <c r="N462" s="164"/>
      <c r="O462" s="164"/>
      <c r="P462" s="164"/>
    </row>
    <row r="463" ht="12.75" customHeight="1">
      <c r="C463" s="164"/>
      <c r="D463" s="164"/>
      <c r="E463" s="164"/>
      <c r="F463" s="164"/>
      <c r="G463" s="164"/>
      <c r="H463" s="164"/>
      <c r="I463" s="164"/>
      <c r="J463" s="164"/>
      <c r="K463" s="164"/>
      <c r="L463" s="164"/>
      <c r="M463" s="164"/>
      <c r="N463" s="164"/>
      <c r="O463" s="164"/>
      <c r="P463" s="164"/>
    </row>
    <row r="464" ht="12.75" customHeight="1">
      <c r="C464" s="164"/>
      <c r="D464" s="164"/>
      <c r="E464" s="164"/>
      <c r="F464" s="164"/>
      <c r="G464" s="164"/>
      <c r="H464" s="164"/>
      <c r="I464" s="164"/>
      <c r="J464" s="164"/>
      <c r="K464" s="164"/>
      <c r="L464" s="164"/>
      <c r="M464" s="164"/>
      <c r="N464" s="164"/>
      <c r="O464" s="164"/>
      <c r="P464" s="164"/>
    </row>
    <row r="465" ht="12.75" customHeight="1">
      <c r="C465" s="164"/>
      <c r="D465" s="164"/>
      <c r="E465" s="164"/>
      <c r="F465" s="164"/>
      <c r="G465" s="164"/>
      <c r="H465" s="164"/>
      <c r="I465" s="164"/>
      <c r="J465" s="164"/>
      <c r="K465" s="164"/>
      <c r="L465" s="164"/>
      <c r="M465" s="164"/>
      <c r="N465" s="164"/>
      <c r="O465" s="164"/>
      <c r="P465" s="164"/>
    </row>
    <row r="466" ht="12.75" customHeight="1">
      <c r="C466" s="164"/>
      <c r="D466" s="164"/>
      <c r="E466" s="164"/>
      <c r="F466" s="164"/>
      <c r="G466" s="164"/>
      <c r="H466" s="164"/>
      <c r="I466" s="164"/>
      <c r="J466" s="164"/>
      <c r="K466" s="164"/>
      <c r="L466" s="164"/>
      <c r="M466" s="164"/>
      <c r="N466" s="164"/>
      <c r="O466" s="164"/>
      <c r="P466" s="164"/>
    </row>
    <row r="467" ht="12.75" customHeight="1">
      <c r="C467" s="164"/>
      <c r="D467" s="164"/>
      <c r="E467" s="164"/>
      <c r="F467" s="164"/>
      <c r="G467" s="164"/>
      <c r="H467" s="164"/>
      <c r="I467" s="164"/>
      <c r="J467" s="164"/>
      <c r="K467" s="164"/>
      <c r="L467" s="164"/>
      <c r="M467" s="164"/>
      <c r="N467" s="164"/>
      <c r="O467" s="164"/>
      <c r="P467" s="164"/>
    </row>
    <row r="468" ht="12.75" customHeight="1">
      <c r="C468" s="164"/>
      <c r="D468" s="164"/>
      <c r="E468" s="164"/>
      <c r="F468" s="164"/>
      <c r="G468" s="164"/>
      <c r="H468" s="164"/>
      <c r="I468" s="164"/>
      <c r="J468" s="164"/>
      <c r="K468" s="164"/>
      <c r="L468" s="164"/>
      <c r="M468" s="164"/>
      <c r="N468" s="164"/>
      <c r="O468" s="164"/>
      <c r="P468" s="164"/>
    </row>
    <row r="469" ht="12.75" customHeight="1">
      <c r="C469" s="164"/>
      <c r="D469" s="164"/>
      <c r="E469" s="164"/>
      <c r="F469" s="164"/>
      <c r="G469" s="164"/>
      <c r="H469" s="164"/>
      <c r="I469" s="164"/>
      <c r="J469" s="164"/>
      <c r="K469" s="164"/>
      <c r="L469" s="164"/>
      <c r="M469" s="164"/>
      <c r="N469" s="164"/>
      <c r="O469" s="164"/>
      <c r="P469" s="164"/>
    </row>
    <row r="470" ht="12.75" customHeight="1">
      <c r="C470" s="164"/>
      <c r="D470" s="164"/>
      <c r="E470" s="164"/>
      <c r="F470" s="164"/>
      <c r="G470" s="164"/>
      <c r="H470" s="164"/>
      <c r="I470" s="164"/>
      <c r="J470" s="164"/>
      <c r="K470" s="164"/>
      <c r="L470" s="164"/>
      <c r="M470" s="164"/>
      <c r="N470" s="164"/>
      <c r="O470" s="164"/>
      <c r="P470" s="164"/>
    </row>
    <row r="471" ht="12.75" customHeight="1">
      <c r="C471" s="164"/>
      <c r="D471" s="164"/>
      <c r="E471" s="164"/>
      <c r="F471" s="164"/>
      <c r="G471" s="164"/>
      <c r="H471" s="164"/>
      <c r="I471" s="164"/>
      <c r="J471" s="164"/>
      <c r="K471" s="164"/>
      <c r="L471" s="164"/>
      <c r="M471" s="164"/>
      <c r="N471" s="164"/>
      <c r="O471" s="164"/>
      <c r="P471" s="164"/>
    </row>
    <row r="472" ht="12.75" customHeight="1">
      <c r="C472" s="164"/>
      <c r="D472" s="164"/>
      <c r="E472" s="164"/>
      <c r="F472" s="164"/>
      <c r="G472" s="164"/>
      <c r="H472" s="164"/>
      <c r="I472" s="164"/>
      <c r="J472" s="164"/>
      <c r="K472" s="164"/>
      <c r="L472" s="164"/>
      <c r="M472" s="164"/>
      <c r="N472" s="164"/>
      <c r="O472" s="164"/>
      <c r="P472" s="164"/>
    </row>
    <row r="473" ht="12.75" customHeight="1">
      <c r="C473" s="164"/>
      <c r="D473" s="164"/>
      <c r="E473" s="164"/>
      <c r="F473" s="164"/>
      <c r="G473" s="164"/>
      <c r="H473" s="164"/>
      <c r="I473" s="164"/>
      <c r="J473" s="164"/>
      <c r="K473" s="164"/>
      <c r="L473" s="164"/>
      <c r="M473" s="164"/>
      <c r="N473" s="164"/>
      <c r="O473" s="164"/>
      <c r="P473" s="164"/>
    </row>
    <row r="474" ht="12.75" customHeight="1">
      <c r="C474" s="164"/>
      <c r="D474" s="164"/>
      <c r="E474" s="164"/>
      <c r="F474" s="164"/>
      <c r="G474" s="164"/>
      <c r="H474" s="164"/>
      <c r="I474" s="164"/>
      <c r="J474" s="164"/>
      <c r="K474" s="164"/>
      <c r="L474" s="164"/>
      <c r="M474" s="164"/>
      <c r="N474" s="164"/>
      <c r="O474" s="164"/>
      <c r="P474" s="164"/>
    </row>
    <row r="475" ht="12.75" customHeight="1">
      <c r="C475" s="164"/>
      <c r="D475" s="164"/>
      <c r="E475" s="164"/>
      <c r="F475" s="164"/>
      <c r="G475" s="164"/>
      <c r="H475" s="164"/>
      <c r="I475" s="164"/>
      <c r="J475" s="164"/>
      <c r="K475" s="164"/>
      <c r="L475" s="164"/>
      <c r="M475" s="164"/>
      <c r="N475" s="164"/>
      <c r="O475" s="164"/>
      <c r="P475" s="164"/>
    </row>
    <row r="476" ht="12.75" customHeight="1">
      <c r="C476" s="164"/>
      <c r="D476" s="164"/>
      <c r="E476" s="164"/>
      <c r="F476" s="164"/>
      <c r="G476" s="164"/>
      <c r="H476" s="164"/>
      <c r="I476" s="164"/>
      <c r="J476" s="164"/>
      <c r="K476" s="164"/>
      <c r="L476" s="164"/>
      <c r="M476" s="164"/>
      <c r="N476" s="164"/>
      <c r="O476" s="164"/>
      <c r="P476" s="164"/>
    </row>
    <row r="477" ht="12.75" customHeight="1">
      <c r="C477" s="164"/>
      <c r="D477" s="164"/>
      <c r="E477" s="164"/>
      <c r="F477" s="164"/>
      <c r="G477" s="164"/>
      <c r="H477" s="164"/>
      <c r="I477" s="164"/>
      <c r="J477" s="164"/>
      <c r="K477" s="164"/>
      <c r="L477" s="164"/>
      <c r="M477" s="164"/>
      <c r="N477" s="164"/>
      <c r="O477" s="164"/>
      <c r="P477" s="164"/>
    </row>
    <row r="478" ht="12.75" customHeight="1">
      <c r="C478" s="164"/>
      <c r="D478" s="164"/>
      <c r="E478" s="164"/>
      <c r="F478" s="164"/>
      <c r="G478" s="164"/>
      <c r="H478" s="164"/>
      <c r="I478" s="164"/>
      <c r="J478" s="164"/>
      <c r="K478" s="164"/>
      <c r="L478" s="164"/>
      <c r="M478" s="164"/>
      <c r="N478" s="164"/>
      <c r="O478" s="164"/>
      <c r="P478" s="164"/>
    </row>
    <row r="479" ht="12.75" customHeight="1">
      <c r="C479" s="164"/>
      <c r="D479" s="164"/>
      <c r="E479" s="164"/>
      <c r="F479" s="164"/>
      <c r="G479" s="164"/>
      <c r="H479" s="164"/>
      <c r="I479" s="164"/>
      <c r="J479" s="164"/>
      <c r="K479" s="164"/>
      <c r="L479" s="164"/>
      <c r="M479" s="164"/>
      <c r="N479" s="164"/>
      <c r="O479" s="164"/>
      <c r="P479" s="164"/>
    </row>
    <row r="480" ht="12.75" customHeight="1">
      <c r="C480" s="164"/>
      <c r="D480" s="164"/>
      <c r="E480" s="164"/>
      <c r="F480" s="164"/>
      <c r="G480" s="164"/>
      <c r="H480" s="164"/>
      <c r="I480" s="164"/>
      <c r="J480" s="164"/>
      <c r="K480" s="164"/>
      <c r="L480" s="164"/>
      <c r="M480" s="164"/>
      <c r="N480" s="164"/>
      <c r="O480" s="164"/>
      <c r="P480" s="164"/>
    </row>
    <row r="481" ht="12.75" customHeight="1">
      <c r="C481" s="164"/>
      <c r="D481" s="164"/>
      <c r="E481" s="164"/>
      <c r="F481" s="164"/>
      <c r="G481" s="164"/>
      <c r="H481" s="164"/>
      <c r="I481" s="164"/>
      <c r="J481" s="164"/>
      <c r="K481" s="164"/>
      <c r="L481" s="164"/>
      <c r="M481" s="164"/>
      <c r="N481" s="164"/>
      <c r="O481" s="164"/>
      <c r="P481" s="164"/>
    </row>
    <row r="482" ht="12.75" customHeight="1">
      <c r="C482" s="164"/>
      <c r="D482" s="164"/>
      <c r="E482" s="164"/>
      <c r="F482" s="164"/>
      <c r="G482" s="164"/>
      <c r="H482" s="164"/>
      <c r="I482" s="164"/>
      <c r="J482" s="164"/>
      <c r="K482" s="164"/>
      <c r="L482" s="164"/>
      <c r="M482" s="164"/>
      <c r="N482" s="164"/>
      <c r="O482" s="164"/>
      <c r="P482" s="164"/>
    </row>
    <row r="483" ht="12.75" customHeight="1">
      <c r="C483" s="164"/>
      <c r="D483" s="164"/>
      <c r="E483" s="164"/>
      <c r="F483" s="164"/>
      <c r="G483" s="164"/>
      <c r="H483" s="164"/>
      <c r="I483" s="164"/>
      <c r="J483" s="164"/>
      <c r="K483" s="164"/>
      <c r="L483" s="164"/>
      <c r="M483" s="164"/>
      <c r="N483" s="164"/>
      <c r="O483" s="164"/>
      <c r="P483" s="164"/>
    </row>
    <row r="484" ht="12.75" customHeight="1">
      <c r="C484" s="164"/>
      <c r="D484" s="164"/>
      <c r="E484" s="164"/>
      <c r="F484" s="164"/>
      <c r="G484" s="164"/>
      <c r="H484" s="164"/>
      <c r="I484" s="164"/>
      <c r="J484" s="164"/>
      <c r="K484" s="164"/>
      <c r="L484" s="164"/>
      <c r="M484" s="164"/>
      <c r="N484" s="164"/>
      <c r="O484" s="164"/>
      <c r="P484" s="164"/>
    </row>
    <row r="485" ht="12.75" customHeight="1">
      <c r="C485" s="164"/>
      <c r="D485" s="164"/>
      <c r="E485" s="164"/>
      <c r="F485" s="164"/>
      <c r="G485" s="164"/>
      <c r="H485" s="164"/>
      <c r="I485" s="164"/>
      <c r="J485" s="164"/>
      <c r="K485" s="164"/>
      <c r="L485" s="164"/>
      <c r="M485" s="164"/>
      <c r="N485" s="164"/>
      <c r="O485" s="164"/>
      <c r="P485" s="164"/>
    </row>
    <row r="486" ht="12.75" customHeight="1">
      <c r="C486" s="164"/>
      <c r="D486" s="164"/>
      <c r="E486" s="164"/>
      <c r="F486" s="164"/>
      <c r="G486" s="164"/>
      <c r="H486" s="164"/>
      <c r="I486" s="164"/>
      <c r="J486" s="164"/>
      <c r="K486" s="164"/>
      <c r="L486" s="164"/>
      <c r="M486" s="164"/>
      <c r="N486" s="164"/>
      <c r="O486" s="164"/>
      <c r="P486" s="164"/>
    </row>
    <row r="487" ht="12.75" customHeight="1">
      <c r="C487" s="164"/>
      <c r="D487" s="164"/>
      <c r="E487" s="164"/>
      <c r="F487" s="164"/>
      <c r="G487" s="164"/>
      <c r="H487" s="164"/>
      <c r="I487" s="164"/>
      <c r="J487" s="164"/>
      <c r="K487" s="164"/>
      <c r="L487" s="164"/>
      <c r="M487" s="164"/>
      <c r="N487" s="164"/>
      <c r="O487" s="164"/>
      <c r="P487" s="164"/>
    </row>
    <row r="488" ht="12.75" customHeight="1">
      <c r="C488" s="164"/>
      <c r="D488" s="164"/>
      <c r="E488" s="164"/>
      <c r="F488" s="164"/>
      <c r="G488" s="164"/>
      <c r="H488" s="164"/>
      <c r="I488" s="164"/>
      <c r="J488" s="164"/>
      <c r="K488" s="164"/>
      <c r="L488" s="164"/>
      <c r="M488" s="164"/>
      <c r="N488" s="164"/>
      <c r="O488" s="164"/>
      <c r="P488" s="164"/>
    </row>
    <row r="489" ht="12.75" customHeight="1">
      <c r="C489" s="164"/>
      <c r="D489" s="164"/>
      <c r="E489" s="164"/>
      <c r="F489" s="164"/>
      <c r="G489" s="164"/>
      <c r="H489" s="164"/>
      <c r="I489" s="164"/>
      <c r="J489" s="164"/>
      <c r="K489" s="164"/>
      <c r="L489" s="164"/>
      <c r="M489" s="164"/>
      <c r="N489" s="164"/>
      <c r="O489" s="164"/>
      <c r="P489" s="164"/>
    </row>
    <row r="490" ht="12.75" customHeight="1">
      <c r="C490" s="164"/>
      <c r="D490" s="164"/>
      <c r="E490" s="164"/>
      <c r="F490" s="164"/>
      <c r="G490" s="164"/>
      <c r="H490" s="164"/>
      <c r="I490" s="164"/>
      <c r="J490" s="164"/>
      <c r="K490" s="164"/>
      <c r="L490" s="164"/>
      <c r="M490" s="164"/>
      <c r="N490" s="164"/>
      <c r="O490" s="164"/>
      <c r="P490" s="164"/>
    </row>
    <row r="491" ht="12.75" customHeight="1">
      <c r="C491" s="164"/>
      <c r="D491" s="164"/>
      <c r="E491" s="164"/>
      <c r="F491" s="164"/>
      <c r="G491" s="164"/>
      <c r="H491" s="164"/>
      <c r="I491" s="164"/>
      <c r="J491" s="164"/>
      <c r="K491" s="164"/>
      <c r="L491" s="164"/>
      <c r="M491" s="164"/>
      <c r="N491" s="164"/>
      <c r="O491" s="164"/>
      <c r="P491" s="164"/>
    </row>
    <row r="492" ht="12.75" customHeight="1">
      <c r="C492" s="164"/>
      <c r="D492" s="164"/>
      <c r="E492" s="164"/>
      <c r="F492" s="164"/>
      <c r="G492" s="164"/>
      <c r="H492" s="164"/>
      <c r="I492" s="164"/>
      <c r="J492" s="164"/>
      <c r="K492" s="164"/>
      <c r="L492" s="164"/>
      <c r="M492" s="164"/>
      <c r="N492" s="164"/>
      <c r="O492" s="164"/>
      <c r="P492" s="164"/>
    </row>
    <row r="493" ht="12.75" customHeight="1">
      <c r="C493" s="164"/>
      <c r="D493" s="164"/>
      <c r="E493" s="164"/>
      <c r="F493" s="164"/>
      <c r="G493" s="164"/>
      <c r="H493" s="164"/>
      <c r="I493" s="164"/>
      <c r="J493" s="164"/>
      <c r="K493" s="164"/>
      <c r="L493" s="164"/>
      <c r="M493" s="164"/>
      <c r="N493" s="164"/>
      <c r="O493" s="164"/>
      <c r="P493" s="164"/>
    </row>
    <row r="494" ht="12.75" customHeight="1">
      <c r="C494" s="164"/>
      <c r="D494" s="164"/>
      <c r="E494" s="164"/>
      <c r="F494" s="164"/>
      <c r="G494" s="164"/>
      <c r="H494" s="164"/>
      <c r="I494" s="164"/>
      <c r="J494" s="164"/>
      <c r="K494" s="164"/>
      <c r="L494" s="164"/>
      <c r="M494" s="164"/>
      <c r="N494" s="164"/>
      <c r="O494" s="164"/>
      <c r="P494" s="164"/>
    </row>
    <row r="495" ht="12.75" customHeight="1">
      <c r="C495" s="164"/>
      <c r="D495" s="164"/>
      <c r="E495" s="164"/>
      <c r="F495" s="164"/>
      <c r="G495" s="164"/>
      <c r="H495" s="164"/>
      <c r="I495" s="164"/>
      <c r="J495" s="164"/>
      <c r="K495" s="164"/>
      <c r="L495" s="164"/>
      <c r="M495" s="164"/>
      <c r="N495" s="164"/>
      <c r="O495" s="164"/>
      <c r="P495" s="164"/>
    </row>
    <row r="496" ht="12.75" customHeight="1">
      <c r="C496" s="164"/>
      <c r="D496" s="164"/>
      <c r="E496" s="164"/>
      <c r="F496" s="164"/>
      <c r="G496" s="164"/>
      <c r="H496" s="164"/>
      <c r="I496" s="164"/>
      <c r="J496" s="164"/>
      <c r="K496" s="164"/>
      <c r="L496" s="164"/>
      <c r="M496" s="164"/>
      <c r="N496" s="164"/>
      <c r="O496" s="164"/>
      <c r="P496" s="164"/>
    </row>
    <row r="497" ht="12.75" customHeight="1">
      <c r="C497" s="164"/>
      <c r="D497" s="164"/>
      <c r="E497" s="164"/>
      <c r="F497" s="164"/>
      <c r="G497" s="164"/>
      <c r="H497" s="164"/>
      <c r="I497" s="164"/>
      <c r="J497" s="164"/>
      <c r="K497" s="164"/>
      <c r="L497" s="164"/>
      <c r="M497" s="164"/>
      <c r="N497" s="164"/>
      <c r="O497" s="164"/>
      <c r="P497" s="164"/>
    </row>
    <row r="498" ht="12.75" customHeight="1">
      <c r="C498" s="164"/>
      <c r="D498" s="164"/>
      <c r="E498" s="164"/>
      <c r="F498" s="164"/>
      <c r="G498" s="164"/>
      <c r="H498" s="164"/>
      <c r="I498" s="164"/>
      <c r="J498" s="164"/>
      <c r="K498" s="164"/>
      <c r="L498" s="164"/>
      <c r="M498" s="164"/>
      <c r="N498" s="164"/>
      <c r="O498" s="164"/>
      <c r="P498" s="164"/>
    </row>
    <row r="499" ht="12.75" customHeight="1">
      <c r="C499" s="164"/>
      <c r="D499" s="164"/>
      <c r="E499" s="164"/>
      <c r="F499" s="164"/>
      <c r="G499" s="164"/>
      <c r="H499" s="164"/>
      <c r="I499" s="164"/>
      <c r="J499" s="164"/>
      <c r="K499" s="164"/>
      <c r="L499" s="164"/>
      <c r="M499" s="164"/>
      <c r="N499" s="164"/>
      <c r="O499" s="164"/>
      <c r="P499" s="164"/>
    </row>
    <row r="500" ht="12.75" customHeight="1">
      <c r="C500" s="164"/>
      <c r="D500" s="164"/>
      <c r="E500" s="164"/>
      <c r="F500" s="164"/>
      <c r="G500" s="164"/>
      <c r="H500" s="164"/>
      <c r="I500" s="164"/>
      <c r="J500" s="164"/>
      <c r="K500" s="164"/>
      <c r="L500" s="164"/>
      <c r="M500" s="164"/>
      <c r="N500" s="164"/>
      <c r="O500" s="164"/>
      <c r="P500" s="164"/>
    </row>
    <row r="501" ht="12.75" customHeight="1">
      <c r="C501" s="164"/>
      <c r="D501" s="164"/>
      <c r="E501" s="164"/>
      <c r="F501" s="164"/>
      <c r="G501" s="164"/>
      <c r="H501" s="164"/>
      <c r="I501" s="164"/>
      <c r="J501" s="164"/>
      <c r="K501" s="164"/>
      <c r="L501" s="164"/>
      <c r="M501" s="164"/>
      <c r="N501" s="164"/>
      <c r="O501" s="164"/>
      <c r="P501" s="164"/>
    </row>
    <row r="502" ht="12.75" customHeight="1">
      <c r="C502" s="164"/>
      <c r="D502" s="164"/>
      <c r="E502" s="164"/>
      <c r="F502" s="164"/>
      <c r="G502" s="164"/>
      <c r="H502" s="164"/>
      <c r="I502" s="164"/>
      <c r="J502" s="164"/>
      <c r="K502" s="164"/>
      <c r="L502" s="164"/>
      <c r="M502" s="164"/>
      <c r="N502" s="164"/>
      <c r="O502" s="164"/>
      <c r="P502" s="164"/>
    </row>
    <row r="503" ht="12.75" customHeight="1">
      <c r="C503" s="164"/>
      <c r="D503" s="164"/>
      <c r="E503" s="164"/>
      <c r="F503" s="164"/>
      <c r="G503" s="164"/>
      <c r="H503" s="164"/>
      <c r="I503" s="164"/>
      <c r="J503" s="164"/>
      <c r="K503" s="164"/>
      <c r="L503" s="164"/>
      <c r="M503" s="164"/>
      <c r="N503" s="164"/>
      <c r="O503" s="164"/>
      <c r="P503" s="164"/>
    </row>
    <row r="504" ht="12.75" customHeight="1">
      <c r="C504" s="164"/>
      <c r="D504" s="164"/>
      <c r="E504" s="164"/>
      <c r="F504" s="164"/>
      <c r="G504" s="164"/>
      <c r="H504" s="164"/>
      <c r="I504" s="164"/>
      <c r="J504" s="164"/>
      <c r="K504" s="164"/>
      <c r="L504" s="164"/>
      <c r="M504" s="164"/>
      <c r="N504" s="164"/>
      <c r="O504" s="164"/>
      <c r="P504" s="164"/>
    </row>
    <row r="505" ht="12.75" customHeight="1">
      <c r="C505" s="164"/>
      <c r="D505" s="164"/>
      <c r="E505" s="164"/>
      <c r="F505" s="164"/>
      <c r="G505" s="164"/>
      <c r="H505" s="164"/>
      <c r="I505" s="164"/>
      <c r="J505" s="164"/>
      <c r="K505" s="164"/>
      <c r="L505" s="164"/>
      <c r="M505" s="164"/>
      <c r="N505" s="164"/>
      <c r="O505" s="164"/>
      <c r="P505" s="164"/>
    </row>
    <row r="506" ht="12.75" customHeight="1">
      <c r="C506" s="164"/>
      <c r="D506" s="164"/>
      <c r="E506" s="164"/>
      <c r="F506" s="164"/>
      <c r="G506" s="164"/>
      <c r="H506" s="164"/>
      <c r="I506" s="164"/>
      <c r="J506" s="164"/>
      <c r="K506" s="164"/>
      <c r="L506" s="164"/>
      <c r="M506" s="164"/>
      <c r="N506" s="164"/>
      <c r="O506" s="164"/>
      <c r="P506" s="164"/>
    </row>
    <row r="507" ht="12.75" customHeight="1">
      <c r="C507" s="164"/>
      <c r="D507" s="164"/>
      <c r="E507" s="164"/>
      <c r="F507" s="164"/>
      <c r="G507" s="164"/>
      <c r="H507" s="164"/>
      <c r="I507" s="164"/>
      <c r="J507" s="164"/>
      <c r="K507" s="164"/>
      <c r="L507" s="164"/>
      <c r="M507" s="164"/>
      <c r="N507" s="164"/>
      <c r="O507" s="164"/>
      <c r="P507" s="164"/>
    </row>
    <row r="508" ht="12.75" customHeight="1">
      <c r="C508" s="164"/>
      <c r="D508" s="164"/>
      <c r="E508" s="164"/>
      <c r="F508" s="164"/>
      <c r="G508" s="164"/>
      <c r="H508" s="164"/>
      <c r="I508" s="164"/>
      <c r="J508" s="164"/>
      <c r="K508" s="164"/>
      <c r="L508" s="164"/>
      <c r="M508" s="164"/>
      <c r="N508" s="164"/>
      <c r="O508" s="164"/>
      <c r="P508" s="164"/>
    </row>
    <row r="509" ht="12.75" customHeight="1">
      <c r="C509" s="164"/>
      <c r="D509" s="164"/>
      <c r="E509" s="164"/>
      <c r="F509" s="164"/>
      <c r="G509" s="164"/>
      <c r="H509" s="164"/>
      <c r="I509" s="164"/>
      <c r="J509" s="164"/>
      <c r="K509" s="164"/>
      <c r="L509" s="164"/>
      <c r="M509" s="164"/>
      <c r="N509" s="164"/>
      <c r="O509" s="164"/>
      <c r="P509" s="164"/>
    </row>
    <row r="510" ht="12.75" customHeight="1">
      <c r="C510" s="164"/>
      <c r="D510" s="164"/>
      <c r="E510" s="164"/>
      <c r="F510" s="164"/>
      <c r="G510" s="164"/>
      <c r="H510" s="164"/>
      <c r="I510" s="164"/>
      <c r="J510" s="164"/>
      <c r="K510" s="164"/>
      <c r="L510" s="164"/>
      <c r="M510" s="164"/>
      <c r="N510" s="164"/>
      <c r="O510" s="164"/>
      <c r="P510" s="164"/>
    </row>
    <row r="511" ht="12.75" customHeight="1">
      <c r="C511" s="164"/>
      <c r="D511" s="164"/>
      <c r="E511" s="164"/>
      <c r="F511" s="164"/>
      <c r="G511" s="164"/>
      <c r="H511" s="164"/>
      <c r="I511" s="164"/>
      <c r="J511" s="164"/>
      <c r="K511" s="164"/>
      <c r="L511" s="164"/>
      <c r="M511" s="164"/>
      <c r="N511" s="164"/>
      <c r="O511" s="164"/>
      <c r="P511" s="164"/>
    </row>
    <row r="512" ht="12.75" customHeight="1">
      <c r="C512" s="164"/>
      <c r="D512" s="164"/>
      <c r="E512" s="164"/>
      <c r="F512" s="164"/>
      <c r="G512" s="164"/>
      <c r="H512" s="164"/>
      <c r="I512" s="164"/>
      <c r="J512" s="164"/>
      <c r="K512" s="164"/>
      <c r="L512" s="164"/>
      <c r="M512" s="164"/>
      <c r="N512" s="164"/>
      <c r="O512" s="164"/>
      <c r="P512" s="164"/>
    </row>
    <row r="513" ht="12.75" customHeight="1">
      <c r="C513" s="164"/>
      <c r="D513" s="164"/>
      <c r="E513" s="164"/>
      <c r="F513" s="164"/>
      <c r="G513" s="164"/>
      <c r="H513" s="164"/>
      <c r="I513" s="164"/>
      <c r="J513" s="164"/>
      <c r="K513" s="164"/>
      <c r="L513" s="164"/>
      <c r="M513" s="164"/>
      <c r="N513" s="164"/>
      <c r="O513" s="164"/>
      <c r="P513" s="164"/>
    </row>
    <row r="514" ht="12.75" customHeight="1">
      <c r="C514" s="164"/>
      <c r="D514" s="164"/>
      <c r="E514" s="164"/>
      <c r="F514" s="164"/>
      <c r="G514" s="164"/>
      <c r="H514" s="164"/>
      <c r="I514" s="164"/>
      <c r="J514" s="164"/>
      <c r="K514" s="164"/>
      <c r="L514" s="164"/>
      <c r="M514" s="164"/>
      <c r="N514" s="164"/>
      <c r="O514" s="164"/>
      <c r="P514" s="164"/>
    </row>
    <row r="515" ht="12.75" customHeight="1">
      <c r="C515" s="164"/>
      <c r="D515" s="164"/>
      <c r="E515" s="164"/>
      <c r="F515" s="164"/>
      <c r="G515" s="164"/>
      <c r="H515" s="164"/>
      <c r="I515" s="164"/>
      <c r="J515" s="164"/>
      <c r="K515" s="164"/>
      <c r="L515" s="164"/>
      <c r="M515" s="164"/>
      <c r="N515" s="164"/>
      <c r="O515" s="164"/>
      <c r="P515" s="164"/>
    </row>
    <row r="516" ht="12.75" customHeight="1">
      <c r="C516" s="164"/>
      <c r="D516" s="164"/>
      <c r="E516" s="164"/>
      <c r="F516" s="164"/>
      <c r="G516" s="164"/>
      <c r="H516" s="164"/>
      <c r="I516" s="164"/>
      <c r="J516" s="164"/>
      <c r="K516" s="164"/>
      <c r="L516" s="164"/>
      <c r="M516" s="164"/>
      <c r="N516" s="164"/>
      <c r="O516" s="164"/>
      <c r="P516" s="164"/>
    </row>
    <row r="517" ht="12.75" customHeight="1">
      <c r="C517" s="164"/>
      <c r="D517" s="164"/>
      <c r="E517" s="164"/>
      <c r="F517" s="164"/>
      <c r="G517" s="164"/>
      <c r="H517" s="164"/>
      <c r="I517" s="164"/>
      <c r="J517" s="164"/>
      <c r="K517" s="164"/>
      <c r="L517" s="164"/>
      <c r="M517" s="164"/>
      <c r="N517" s="164"/>
      <c r="O517" s="164"/>
      <c r="P517" s="164"/>
    </row>
    <row r="518" ht="12.75" customHeight="1">
      <c r="C518" s="164"/>
      <c r="D518" s="164"/>
      <c r="E518" s="164"/>
      <c r="F518" s="164"/>
      <c r="G518" s="164"/>
      <c r="H518" s="164"/>
      <c r="I518" s="164"/>
      <c r="J518" s="164"/>
      <c r="K518" s="164"/>
      <c r="L518" s="164"/>
      <c r="M518" s="164"/>
      <c r="N518" s="164"/>
      <c r="O518" s="164"/>
      <c r="P518" s="164"/>
    </row>
    <row r="519" ht="12.75" customHeight="1">
      <c r="C519" s="164"/>
      <c r="D519" s="164"/>
      <c r="E519" s="164"/>
      <c r="F519" s="164"/>
      <c r="G519" s="164"/>
      <c r="H519" s="164"/>
      <c r="I519" s="164"/>
      <c r="J519" s="164"/>
      <c r="K519" s="164"/>
      <c r="L519" s="164"/>
      <c r="M519" s="164"/>
      <c r="N519" s="164"/>
      <c r="O519" s="164"/>
      <c r="P519" s="164"/>
    </row>
    <row r="520" ht="12.75" customHeight="1">
      <c r="C520" s="164"/>
      <c r="D520" s="164"/>
      <c r="E520" s="164"/>
      <c r="F520" s="164"/>
      <c r="G520" s="164"/>
      <c r="H520" s="164"/>
      <c r="I520" s="164"/>
      <c r="J520" s="164"/>
      <c r="K520" s="164"/>
      <c r="L520" s="164"/>
      <c r="M520" s="164"/>
      <c r="N520" s="164"/>
      <c r="O520" s="164"/>
      <c r="P520" s="164"/>
    </row>
    <row r="521" ht="12.75" customHeight="1">
      <c r="C521" s="164"/>
      <c r="D521" s="164"/>
      <c r="E521" s="164"/>
      <c r="F521" s="164"/>
      <c r="G521" s="164"/>
      <c r="H521" s="164"/>
      <c r="I521" s="164"/>
      <c r="J521" s="164"/>
      <c r="K521" s="164"/>
      <c r="L521" s="164"/>
      <c r="M521" s="164"/>
      <c r="N521" s="164"/>
      <c r="O521" s="164"/>
      <c r="P521" s="164"/>
    </row>
    <row r="522" ht="12.75" customHeight="1">
      <c r="C522" s="164"/>
      <c r="D522" s="164"/>
      <c r="E522" s="164"/>
      <c r="F522" s="164"/>
      <c r="G522" s="164"/>
      <c r="H522" s="164"/>
      <c r="I522" s="164"/>
      <c r="J522" s="164"/>
      <c r="K522" s="164"/>
      <c r="L522" s="164"/>
      <c r="M522" s="164"/>
      <c r="N522" s="164"/>
      <c r="O522" s="164"/>
      <c r="P522" s="164"/>
    </row>
    <row r="523" ht="12.75" customHeight="1">
      <c r="C523" s="164"/>
      <c r="D523" s="164"/>
      <c r="E523" s="164"/>
      <c r="F523" s="164"/>
      <c r="G523" s="164"/>
      <c r="H523" s="164"/>
      <c r="I523" s="164"/>
      <c r="J523" s="164"/>
      <c r="K523" s="164"/>
      <c r="L523" s="164"/>
      <c r="M523" s="164"/>
      <c r="N523" s="164"/>
      <c r="O523" s="164"/>
      <c r="P523" s="164"/>
    </row>
    <row r="524" ht="12.75" customHeight="1">
      <c r="C524" s="164"/>
      <c r="D524" s="164"/>
      <c r="E524" s="164"/>
      <c r="F524" s="164"/>
      <c r="G524" s="164"/>
      <c r="H524" s="164"/>
      <c r="I524" s="164"/>
      <c r="J524" s="164"/>
      <c r="K524" s="164"/>
      <c r="L524" s="164"/>
      <c r="M524" s="164"/>
      <c r="N524" s="164"/>
      <c r="O524" s="164"/>
      <c r="P524" s="164"/>
    </row>
    <row r="525" ht="12.75" customHeight="1">
      <c r="C525" s="164"/>
      <c r="D525" s="164"/>
      <c r="E525" s="164"/>
      <c r="F525" s="164"/>
      <c r="G525" s="164"/>
      <c r="H525" s="164"/>
      <c r="I525" s="164"/>
      <c r="J525" s="164"/>
      <c r="K525" s="164"/>
      <c r="L525" s="164"/>
      <c r="M525" s="164"/>
      <c r="N525" s="164"/>
      <c r="O525" s="164"/>
      <c r="P525" s="164"/>
    </row>
    <row r="526" ht="12.75" customHeight="1">
      <c r="C526" s="164"/>
      <c r="D526" s="164"/>
      <c r="E526" s="164"/>
      <c r="F526" s="164"/>
      <c r="G526" s="164"/>
      <c r="H526" s="164"/>
      <c r="I526" s="164"/>
      <c r="J526" s="164"/>
      <c r="K526" s="164"/>
      <c r="L526" s="164"/>
      <c r="M526" s="164"/>
      <c r="N526" s="164"/>
      <c r="O526" s="164"/>
      <c r="P526" s="164"/>
    </row>
    <row r="527" ht="12.75" customHeight="1">
      <c r="C527" s="164"/>
      <c r="D527" s="164"/>
      <c r="E527" s="164"/>
      <c r="F527" s="164"/>
      <c r="G527" s="164"/>
      <c r="H527" s="164"/>
      <c r="I527" s="164"/>
      <c r="J527" s="164"/>
      <c r="K527" s="164"/>
      <c r="L527" s="164"/>
      <c r="M527" s="164"/>
      <c r="N527" s="164"/>
      <c r="O527" s="164"/>
      <c r="P527" s="164"/>
    </row>
    <row r="528" ht="12.75" customHeight="1">
      <c r="C528" s="164"/>
      <c r="D528" s="164"/>
      <c r="E528" s="164"/>
      <c r="F528" s="164"/>
      <c r="G528" s="164"/>
      <c r="H528" s="164"/>
      <c r="I528" s="164"/>
      <c r="J528" s="164"/>
      <c r="K528" s="164"/>
      <c r="L528" s="164"/>
      <c r="M528" s="164"/>
      <c r="N528" s="164"/>
      <c r="O528" s="164"/>
      <c r="P528" s="164"/>
    </row>
    <row r="529" ht="12.75" customHeight="1">
      <c r="C529" s="164"/>
      <c r="D529" s="164"/>
      <c r="E529" s="164"/>
      <c r="F529" s="164"/>
      <c r="G529" s="164"/>
      <c r="H529" s="164"/>
      <c r="I529" s="164"/>
      <c r="J529" s="164"/>
      <c r="K529" s="164"/>
      <c r="L529" s="164"/>
      <c r="M529" s="164"/>
      <c r="N529" s="164"/>
      <c r="O529" s="164"/>
      <c r="P529" s="164"/>
    </row>
    <row r="530" ht="12.75" customHeight="1">
      <c r="C530" s="164"/>
      <c r="D530" s="164"/>
      <c r="E530" s="164"/>
      <c r="F530" s="164"/>
      <c r="G530" s="164"/>
      <c r="H530" s="164"/>
      <c r="I530" s="164"/>
      <c r="J530" s="164"/>
      <c r="K530" s="164"/>
      <c r="L530" s="164"/>
      <c r="M530" s="164"/>
      <c r="N530" s="164"/>
      <c r="O530" s="164"/>
      <c r="P530" s="164"/>
    </row>
    <row r="531" ht="12.75" customHeight="1">
      <c r="C531" s="164"/>
      <c r="D531" s="164"/>
      <c r="E531" s="164"/>
      <c r="F531" s="164"/>
      <c r="G531" s="164"/>
      <c r="H531" s="164"/>
      <c r="I531" s="164"/>
      <c r="J531" s="164"/>
      <c r="K531" s="164"/>
      <c r="L531" s="164"/>
      <c r="M531" s="164"/>
      <c r="N531" s="164"/>
      <c r="O531" s="164"/>
      <c r="P531" s="164"/>
    </row>
    <row r="532" ht="12.75" customHeight="1">
      <c r="C532" s="164"/>
      <c r="D532" s="164"/>
      <c r="E532" s="164"/>
      <c r="F532" s="164"/>
      <c r="G532" s="164"/>
      <c r="H532" s="164"/>
      <c r="I532" s="164"/>
      <c r="J532" s="164"/>
      <c r="K532" s="164"/>
      <c r="L532" s="164"/>
      <c r="M532" s="164"/>
      <c r="N532" s="164"/>
      <c r="O532" s="164"/>
      <c r="P532" s="164"/>
    </row>
    <row r="533" ht="12.75" customHeight="1">
      <c r="C533" s="164"/>
      <c r="D533" s="164"/>
      <c r="E533" s="164"/>
      <c r="F533" s="164"/>
      <c r="G533" s="164"/>
      <c r="H533" s="164"/>
      <c r="I533" s="164"/>
      <c r="J533" s="164"/>
      <c r="K533" s="164"/>
      <c r="L533" s="164"/>
      <c r="M533" s="164"/>
      <c r="N533" s="164"/>
      <c r="O533" s="164"/>
      <c r="P533" s="164"/>
    </row>
    <row r="534" ht="12.75" customHeight="1">
      <c r="C534" s="164"/>
      <c r="D534" s="164"/>
      <c r="E534" s="164"/>
      <c r="F534" s="164"/>
      <c r="G534" s="164"/>
      <c r="H534" s="164"/>
      <c r="I534" s="164"/>
      <c r="J534" s="164"/>
      <c r="K534" s="164"/>
      <c r="L534" s="164"/>
      <c r="M534" s="164"/>
      <c r="N534" s="164"/>
      <c r="O534" s="164"/>
      <c r="P534" s="164"/>
    </row>
    <row r="535" ht="12.75" customHeight="1">
      <c r="C535" s="164"/>
      <c r="D535" s="164"/>
      <c r="E535" s="164"/>
      <c r="F535" s="164"/>
      <c r="G535" s="164"/>
      <c r="H535" s="164"/>
      <c r="I535" s="164"/>
      <c r="J535" s="164"/>
      <c r="K535" s="164"/>
      <c r="L535" s="164"/>
      <c r="M535" s="164"/>
      <c r="N535" s="164"/>
      <c r="O535" s="164"/>
      <c r="P535" s="164"/>
    </row>
    <row r="536" ht="12.75" customHeight="1">
      <c r="C536" s="164"/>
      <c r="D536" s="164"/>
      <c r="E536" s="164"/>
      <c r="F536" s="164"/>
      <c r="G536" s="164"/>
      <c r="H536" s="164"/>
      <c r="I536" s="164"/>
      <c r="J536" s="164"/>
      <c r="K536" s="164"/>
      <c r="L536" s="164"/>
      <c r="M536" s="164"/>
      <c r="N536" s="164"/>
      <c r="O536" s="164"/>
      <c r="P536" s="164"/>
    </row>
    <row r="537" ht="12.75" customHeight="1">
      <c r="C537" s="164"/>
      <c r="D537" s="164"/>
      <c r="E537" s="164"/>
      <c r="F537" s="164"/>
      <c r="G537" s="164"/>
      <c r="H537" s="164"/>
      <c r="I537" s="164"/>
      <c r="J537" s="164"/>
      <c r="K537" s="164"/>
      <c r="L537" s="164"/>
      <c r="M537" s="164"/>
      <c r="N537" s="164"/>
      <c r="O537" s="164"/>
      <c r="P537" s="164"/>
    </row>
    <row r="538" ht="12.75" customHeight="1">
      <c r="C538" s="164"/>
      <c r="D538" s="164"/>
      <c r="E538" s="164"/>
      <c r="F538" s="164"/>
      <c r="G538" s="164"/>
      <c r="H538" s="164"/>
      <c r="I538" s="164"/>
      <c r="J538" s="164"/>
      <c r="K538" s="164"/>
      <c r="L538" s="164"/>
      <c r="M538" s="164"/>
      <c r="N538" s="164"/>
      <c r="O538" s="164"/>
      <c r="P538" s="164"/>
    </row>
    <row r="539" ht="12.75" customHeight="1">
      <c r="C539" s="164"/>
      <c r="D539" s="164"/>
      <c r="E539" s="164"/>
      <c r="F539" s="164"/>
      <c r="G539" s="164"/>
      <c r="H539" s="164"/>
      <c r="I539" s="164"/>
      <c r="J539" s="164"/>
      <c r="K539" s="164"/>
      <c r="L539" s="164"/>
      <c r="M539" s="164"/>
      <c r="N539" s="164"/>
      <c r="O539" s="164"/>
      <c r="P539" s="164"/>
    </row>
    <row r="540" ht="12.75" customHeight="1">
      <c r="C540" s="164"/>
      <c r="D540" s="164"/>
      <c r="E540" s="164"/>
      <c r="F540" s="164"/>
      <c r="G540" s="164"/>
      <c r="H540" s="164"/>
      <c r="I540" s="164"/>
      <c r="J540" s="164"/>
      <c r="K540" s="164"/>
      <c r="L540" s="164"/>
      <c r="M540" s="164"/>
      <c r="N540" s="164"/>
      <c r="O540" s="164"/>
      <c r="P540" s="164"/>
    </row>
    <row r="541" ht="12.75" customHeight="1">
      <c r="C541" s="164"/>
      <c r="D541" s="164"/>
      <c r="E541" s="164"/>
      <c r="F541" s="164"/>
      <c r="G541" s="164"/>
      <c r="H541" s="164"/>
      <c r="I541" s="164"/>
      <c r="J541" s="164"/>
      <c r="K541" s="164"/>
      <c r="L541" s="164"/>
      <c r="M541" s="164"/>
      <c r="N541" s="164"/>
      <c r="O541" s="164"/>
      <c r="P541" s="164"/>
    </row>
    <row r="542" ht="12.75" customHeight="1">
      <c r="C542" s="164"/>
      <c r="D542" s="164"/>
      <c r="E542" s="164"/>
      <c r="F542" s="164"/>
      <c r="G542" s="164"/>
      <c r="H542" s="164"/>
      <c r="I542" s="164"/>
      <c r="J542" s="164"/>
      <c r="K542" s="164"/>
      <c r="L542" s="164"/>
      <c r="M542" s="164"/>
      <c r="N542" s="164"/>
      <c r="O542" s="164"/>
      <c r="P542" s="164"/>
    </row>
    <row r="543" ht="12.75" customHeight="1">
      <c r="C543" s="164"/>
      <c r="D543" s="164"/>
      <c r="E543" s="164"/>
      <c r="F543" s="164"/>
      <c r="G543" s="164"/>
      <c r="H543" s="164"/>
      <c r="I543" s="164"/>
      <c r="J543" s="164"/>
      <c r="K543" s="164"/>
      <c r="L543" s="164"/>
      <c r="M543" s="164"/>
      <c r="N543" s="164"/>
      <c r="O543" s="164"/>
      <c r="P543" s="164"/>
    </row>
    <row r="544" ht="12.75" customHeight="1">
      <c r="C544" s="164"/>
      <c r="D544" s="164"/>
      <c r="E544" s="164"/>
      <c r="F544" s="164"/>
      <c r="G544" s="164"/>
      <c r="H544" s="164"/>
      <c r="I544" s="164"/>
      <c r="J544" s="164"/>
      <c r="K544" s="164"/>
      <c r="L544" s="164"/>
      <c r="M544" s="164"/>
      <c r="N544" s="164"/>
      <c r="O544" s="164"/>
      <c r="P544" s="164"/>
    </row>
    <row r="545" ht="12.75" customHeight="1">
      <c r="C545" s="164"/>
      <c r="D545" s="164"/>
      <c r="E545" s="164"/>
      <c r="F545" s="164"/>
      <c r="G545" s="164"/>
      <c r="H545" s="164"/>
      <c r="I545" s="164"/>
      <c r="J545" s="164"/>
      <c r="K545" s="164"/>
      <c r="L545" s="164"/>
      <c r="M545" s="164"/>
      <c r="N545" s="164"/>
      <c r="O545" s="164"/>
      <c r="P545" s="164"/>
    </row>
    <row r="546" ht="12.75" customHeight="1">
      <c r="C546" s="164"/>
      <c r="D546" s="164"/>
      <c r="E546" s="164"/>
      <c r="F546" s="164"/>
      <c r="G546" s="164"/>
      <c r="H546" s="164"/>
      <c r="I546" s="164"/>
      <c r="J546" s="164"/>
      <c r="K546" s="164"/>
      <c r="L546" s="164"/>
      <c r="M546" s="164"/>
      <c r="N546" s="164"/>
      <c r="O546" s="164"/>
      <c r="P546" s="164"/>
    </row>
    <row r="547" ht="12.75" customHeight="1">
      <c r="C547" s="164"/>
      <c r="D547" s="164"/>
      <c r="E547" s="164"/>
      <c r="F547" s="164"/>
      <c r="G547" s="164"/>
      <c r="H547" s="164"/>
      <c r="I547" s="164"/>
      <c r="J547" s="164"/>
      <c r="K547" s="164"/>
      <c r="L547" s="164"/>
      <c r="M547" s="164"/>
      <c r="N547" s="164"/>
      <c r="O547" s="164"/>
      <c r="P547" s="164"/>
    </row>
    <row r="548" ht="12.75" customHeight="1">
      <c r="C548" s="164"/>
      <c r="D548" s="164"/>
      <c r="E548" s="164"/>
      <c r="F548" s="164"/>
      <c r="G548" s="164"/>
      <c r="H548" s="164"/>
      <c r="I548" s="164"/>
      <c r="J548" s="164"/>
      <c r="K548" s="164"/>
      <c r="L548" s="164"/>
      <c r="M548" s="164"/>
      <c r="N548" s="164"/>
      <c r="O548" s="164"/>
      <c r="P548" s="164"/>
    </row>
    <row r="549" ht="12.75" customHeight="1">
      <c r="C549" s="164"/>
      <c r="D549" s="164"/>
      <c r="E549" s="164"/>
      <c r="F549" s="164"/>
      <c r="G549" s="164"/>
      <c r="H549" s="164"/>
      <c r="I549" s="164"/>
      <c r="J549" s="164"/>
      <c r="K549" s="164"/>
      <c r="L549" s="164"/>
      <c r="M549" s="164"/>
      <c r="N549" s="164"/>
      <c r="O549" s="164"/>
      <c r="P549" s="164"/>
    </row>
    <row r="550" ht="12.75" customHeight="1">
      <c r="C550" s="164"/>
      <c r="D550" s="164"/>
      <c r="E550" s="164"/>
      <c r="F550" s="164"/>
      <c r="G550" s="164"/>
      <c r="H550" s="164"/>
      <c r="I550" s="164"/>
      <c r="J550" s="164"/>
      <c r="K550" s="164"/>
      <c r="L550" s="164"/>
      <c r="M550" s="164"/>
      <c r="N550" s="164"/>
      <c r="O550" s="164"/>
      <c r="P550" s="164"/>
    </row>
    <row r="551" ht="12.75" customHeight="1">
      <c r="C551" s="164"/>
      <c r="D551" s="164"/>
      <c r="E551" s="164"/>
      <c r="F551" s="164"/>
      <c r="G551" s="164"/>
      <c r="H551" s="164"/>
      <c r="I551" s="164"/>
      <c r="J551" s="164"/>
      <c r="K551" s="164"/>
      <c r="L551" s="164"/>
      <c r="M551" s="164"/>
      <c r="N551" s="164"/>
      <c r="O551" s="164"/>
      <c r="P551" s="164"/>
    </row>
    <row r="552" ht="12.75" customHeight="1">
      <c r="C552" s="164"/>
      <c r="D552" s="164"/>
      <c r="E552" s="164"/>
      <c r="F552" s="164"/>
      <c r="G552" s="164"/>
      <c r="H552" s="164"/>
      <c r="I552" s="164"/>
      <c r="J552" s="164"/>
      <c r="K552" s="164"/>
      <c r="L552" s="164"/>
      <c r="M552" s="164"/>
      <c r="N552" s="164"/>
      <c r="O552" s="164"/>
      <c r="P552" s="164"/>
    </row>
    <row r="553" ht="12.75" customHeight="1">
      <c r="C553" s="164"/>
      <c r="D553" s="164"/>
      <c r="E553" s="164"/>
      <c r="F553" s="164"/>
      <c r="G553" s="164"/>
      <c r="H553" s="164"/>
      <c r="I553" s="164"/>
      <c r="J553" s="164"/>
      <c r="K553" s="164"/>
      <c r="L553" s="164"/>
      <c r="M553" s="164"/>
      <c r="N553" s="164"/>
      <c r="O553" s="164"/>
      <c r="P553" s="164"/>
    </row>
    <row r="554" ht="12.75" customHeight="1">
      <c r="C554" s="164"/>
      <c r="D554" s="164"/>
      <c r="E554" s="164"/>
      <c r="F554" s="164"/>
      <c r="G554" s="164"/>
      <c r="H554" s="164"/>
      <c r="I554" s="164"/>
      <c r="J554" s="164"/>
      <c r="K554" s="164"/>
      <c r="L554" s="164"/>
      <c r="M554" s="164"/>
      <c r="N554" s="164"/>
      <c r="O554" s="164"/>
      <c r="P554" s="164"/>
    </row>
    <row r="555" ht="12.75" customHeight="1">
      <c r="C555" s="164"/>
      <c r="D555" s="164"/>
      <c r="E555" s="164"/>
      <c r="F555" s="164"/>
      <c r="G555" s="164"/>
      <c r="H555" s="164"/>
      <c r="I555" s="164"/>
      <c r="J555" s="164"/>
      <c r="K555" s="164"/>
      <c r="L555" s="164"/>
      <c r="M555" s="164"/>
      <c r="N555" s="164"/>
      <c r="O555" s="164"/>
      <c r="P555" s="164"/>
    </row>
    <row r="556" ht="12.75" customHeight="1">
      <c r="C556" s="164"/>
      <c r="D556" s="164"/>
      <c r="E556" s="164"/>
      <c r="F556" s="164"/>
      <c r="G556" s="164"/>
      <c r="H556" s="164"/>
      <c r="I556" s="164"/>
      <c r="J556" s="164"/>
      <c r="K556" s="164"/>
      <c r="L556" s="164"/>
      <c r="M556" s="164"/>
      <c r="N556" s="164"/>
      <c r="O556" s="164"/>
      <c r="P556" s="164"/>
    </row>
    <row r="557" ht="12.75" customHeight="1">
      <c r="C557" s="164"/>
      <c r="D557" s="164"/>
      <c r="E557" s="164"/>
      <c r="F557" s="164"/>
      <c r="G557" s="164"/>
      <c r="H557" s="164"/>
      <c r="I557" s="164"/>
      <c r="J557" s="164"/>
      <c r="K557" s="164"/>
      <c r="L557" s="164"/>
      <c r="M557" s="164"/>
      <c r="N557" s="164"/>
      <c r="O557" s="164"/>
      <c r="P557" s="164"/>
    </row>
    <row r="558" ht="12.75" customHeight="1">
      <c r="C558" s="164"/>
      <c r="D558" s="164"/>
      <c r="E558" s="164"/>
      <c r="F558" s="164"/>
      <c r="G558" s="164"/>
      <c r="H558" s="164"/>
      <c r="I558" s="164"/>
      <c r="J558" s="164"/>
      <c r="K558" s="164"/>
      <c r="L558" s="164"/>
      <c r="M558" s="164"/>
      <c r="N558" s="164"/>
      <c r="O558" s="164"/>
      <c r="P558" s="164"/>
    </row>
    <row r="559" ht="12.75" customHeight="1">
      <c r="C559" s="164"/>
      <c r="D559" s="164"/>
      <c r="E559" s="164"/>
      <c r="F559" s="164"/>
      <c r="G559" s="164"/>
      <c r="H559" s="164"/>
      <c r="I559" s="164"/>
      <c r="J559" s="164"/>
      <c r="K559" s="164"/>
      <c r="L559" s="164"/>
      <c r="M559" s="164"/>
      <c r="N559" s="164"/>
      <c r="O559" s="164"/>
      <c r="P559" s="164"/>
    </row>
    <row r="560" ht="12.75" customHeight="1">
      <c r="C560" s="164"/>
      <c r="D560" s="164"/>
      <c r="E560" s="164"/>
      <c r="F560" s="164"/>
      <c r="G560" s="164"/>
      <c r="H560" s="164"/>
      <c r="I560" s="164"/>
      <c r="J560" s="164"/>
      <c r="K560" s="164"/>
      <c r="L560" s="164"/>
      <c r="M560" s="164"/>
      <c r="N560" s="164"/>
      <c r="O560" s="164"/>
      <c r="P560" s="164"/>
    </row>
    <row r="561" ht="12.75" customHeight="1">
      <c r="C561" s="164"/>
      <c r="D561" s="164"/>
      <c r="E561" s="164"/>
      <c r="F561" s="164"/>
      <c r="G561" s="164"/>
      <c r="H561" s="164"/>
      <c r="I561" s="164"/>
      <c r="J561" s="164"/>
      <c r="K561" s="164"/>
      <c r="L561" s="164"/>
      <c r="M561" s="164"/>
      <c r="N561" s="164"/>
      <c r="O561" s="164"/>
      <c r="P561" s="164"/>
    </row>
    <row r="562" ht="12.75" customHeight="1">
      <c r="C562" s="164"/>
      <c r="D562" s="164"/>
      <c r="E562" s="164"/>
      <c r="F562" s="164"/>
      <c r="G562" s="164"/>
      <c r="H562" s="164"/>
      <c r="I562" s="164"/>
      <c r="J562" s="164"/>
      <c r="K562" s="164"/>
      <c r="L562" s="164"/>
      <c r="M562" s="164"/>
      <c r="N562" s="164"/>
      <c r="O562" s="164"/>
      <c r="P562" s="164"/>
    </row>
    <row r="563" ht="12.75" customHeight="1">
      <c r="C563" s="164"/>
      <c r="D563" s="164"/>
      <c r="E563" s="164"/>
      <c r="F563" s="164"/>
      <c r="G563" s="164"/>
      <c r="H563" s="164"/>
      <c r="I563" s="164"/>
      <c r="J563" s="164"/>
      <c r="K563" s="164"/>
      <c r="L563" s="164"/>
      <c r="M563" s="164"/>
      <c r="N563" s="164"/>
      <c r="O563" s="164"/>
      <c r="P563" s="164"/>
    </row>
    <row r="564" ht="12.75" customHeight="1">
      <c r="C564" s="164"/>
      <c r="D564" s="164"/>
      <c r="E564" s="164"/>
      <c r="F564" s="164"/>
      <c r="G564" s="164"/>
      <c r="H564" s="164"/>
      <c r="I564" s="164"/>
      <c r="J564" s="164"/>
      <c r="K564" s="164"/>
      <c r="L564" s="164"/>
      <c r="M564" s="164"/>
      <c r="N564" s="164"/>
      <c r="O564" s="164"/>
      <c r="P564" s="164"/>
    </row>
    <row r="565" ht="12.75" customHeight="1">
      <c r="C565" s="164"/>
      <c r="D565" s="164"/>
      <c r="E565" s="164"/>
      <c r="F565" s="164"/>
      <c r="G565" s="164"/>
      <c r="H565" s="164"/>
      <c r="I565" s="164"/>
      <c r="J565" s="164"/>
      <c r="K565" s="164"/>
      <c r="L565" s="164"/>
      <c r="M565" s="164"/>
      <c r="N565" s="164"/>
      <c r="O565" s="164"/>
      <c r="P565" s="164"/>
    </row>
    <row r="566" ht="12.75" customHeight="1">
      <c r="C566" s="164"/>
      <c r="D566" s="164"/>
      <c r="E566" s="164"/>
      <c r="F566" s="164"/>
      <c r="G566" s="164"/>
      <c r="H566" s="164"/>
      <c r="I566" s="164"/>
      <c r="J566" s="164"/>
      <c r="K566" s="164"/>
      <c r="L566" s="164"/>
      <c r="M566" s="164"/>
      <c r="N566" s="164"/>
      <c r="O566" s="164"/>
      <c r="P566" s="164"/>
    </row>
    <row r="567" ht="12.75" customHeight="1">
      <c r="C567" s="164"/>
      <c r="D567" s="164"/>
      <c r="E567" s="164"/>
      <c r="F567" s="164"/>
      <c r="G567" s="164"/>
      <c r="H567" s="164"/>
      <c r="I567" s="164"/>
      <c r="J567" s="164"/>
      <c r="K567" s="164"/>
      <c r="L567" s="164"/>
      <c r="M567" s="164"/>
      <c r="N567" s="164"/>
      <c r="O567" s="164"/>
      <c r="P567" s="164"/>
    </row>
    <row r="568" ht="12.75" customHeight="1">
      <c r="C568" s="164"/>
      <c r="D568" s="164"/>
      <c r="E568" s="164"/>
      <c r="F568" s="164"/>
      <c r="G568" s="164"/>
      <c r="H568" s="164"/>
      <c r="I568" s="164"/>
      <c r="J568" s="164"/>
      <c r="K568" s="164"/>
      <c r="L568" s="164"/>
      <c r="M568" s="164"/>
      <c r="N568" s="164"/>
      <c r="O568" s="164"/>
      <c r="P568" s="164"/>
    </row>
    <row r="569" ht="12.75" customHeight="1">
      <c r="C569" s="164"/>
      <c r="D569" s="164"/>
      <c r="E569" s="164"/>
      <c r="F569" s="164"/>
      <c r="G569" s="164"/>
      <c r="H569" s="164"/>
      <c r="I569" s="164"/>
      <c r="J569" s="164"/>
      <c r="K569" s="164"/>
      <c r="L569" s="164"/>
      <c r="M569" s="164"/>
      <c r="N569" s="164"/>
      <c r="O569" s="164"/>
      <c r="P569" s="164"/>
    </row>
    <row r="570" ht="12.75" customHeight="1">
      <c r="C570" s="164"/>
      <c r="D570" s="164"/>
      <c r="E570" s="164"/>
      <c r="F570" s="164"/>
      <c r="G570" s="164"/>
      <c r="H570" s="164"/>
      <c r="I570" s="164"/>
      <c r="J570" s="164"/>
      <c r="K570" s="164"/>
      <c r="L570" s="164"/>
      <c r="M570" s="164"/>
      <c r="N570" s="164"/>
      <c r="O570" s="164"/>
      <c r="P570" s="164"/>
    </row>
    <row r="571" ht="12.75" customHeight="1">
      <c r="C571" s="164"/>
      <c r="D571" s="164"/>
      <c r="E571" s="164"/>
      <c r="F571" s="164"/>
      <c r="G571" s="164"/>
      <c r="H571" s="164"/>
      <c r="I571" s="164"/>
      <c r="J571" s="164"/>
      <c r="K571" s="164"/>
      <c r="L571" s="164"/>
      <c r="M571" s="164"/>
      <c r="N571" s="164"/>
      <c r="O571" s="164"/>
      <c r="P571" s="164"/>
    </row>
    <row r="572" ht="12.75" customHeight="1">
      <c r="C572" s="164"/>
      <c r="D572" s="164"/>
      <c r="E572" s="164"/>
      <c r="F572" s="164"/>
      <c r="G572" s="164"/>
      <c r="H572" s="164"/>
      <c r="I572" s="164"/>
      <c r="J572" s="164"/>
      <c r="K572" s="164"/>
      <c r="L572" s="164"/>
      <c r="M572" s="164"/>
      <c r="N572" s="164"/>
      <c r="O572" s="164"/>
      <c r="P572" s="164"/>
    </row>
    <row r="573" ht="12.75" customHeight="1">
      <c r="C573" s="164"/>
      <c r="D573" s="164"/>
      <c r="E573" s="164"/>
      <c r="F573" s="164"/>
      <c r="G573" s="164"/>
      <c r="H573" s="164"/>
      <c r="I573" s="164"/>
      <c r="J573" s="164"/>
      <c r="K573" s="164"/>
      <c r="L573" s="164"/>
      <c r="M573" s="164"/>
      <c r="N573" s="164"/>
      <c r="O573" s="164"/>
      <c r="P573" s="164"/>
    </row>
    <row r="574" ht="12.75" customHeight="1">
      <c r="C574" s="164"/>
      <c r="D574" s="164"/>
      <c r="E574" s="164"/>
      <c r="F574" s="164"/>
      <c r="G574" s="164"/>
      <c r="H574" s="164"/>
      <c r="I574" s="164"/>
      <c r="J574" s="164"/>
      <c r="K574" s="164"/>
      <c r="L574" s="164"/>
      <c r="M574" s="164"/>
      <c r="N574" s="164"/>
      <c r="O574" s="164"/>
      <c r="P574" s="164"/>
    </row>
    <row r="575" ht="12.75" customHeight="1">
      <c r="C575" s="164"/>
      <c r="D575" s="164"/>
      <c r="E575" s="164"/>
      <c r="F575" s="164"/>
      <c r="G575" s="164"/>
      <c r="H575" s="164"/>
      <c r="I575" s="164"/>
      <c r="J575" s="164"/>
      <c r="K575" s="164"/>
      <c r="L575" s="164"/>
      <c r="M575" s="164"/>
      <c r="N575" s="164"/>
      <c r="O575" s="164"/>
      <c r="P575" s="164"/>
    </row>
    <row r="576" ht="12.75" customHeight="1">
      <c r="C576" s="164"/>
      <c r="D576" s="164"/>
      <c r="E576" s="164"/>
      <c r="F576" s="164"/>
      <c r="G576" s="164"/>
      <c r="H576" s="164"/>
      <c r="I576" s="164"/>
      <c r="J576" s="164"/>
      <c r="K576" s="164"/>
      <c r="L576" s="164"/>
      <c r="M576" s="164"/>
      <c r="N576" s="164"/>
      <c r="O576" s="164"/>
      <c r="P576" s="164"/>
    </row>
    <row r="577" ht="12.75" customHeight="1">
      <c r="C577" s="164"/>
      <c r="D577" s="164"/>
      <c r="E577" s="164"/>
      <c r="F577" s="164"/>
      <c r="G577" s="164"/>
      <c r="H577" s="164"/>
      <c r="I577" s="164"/>
      <c r="J577" s="164"/>
      <c r="K577" s="164"/>
      <c r="L577" s="164"/>
      <c r="M577" s="164"/>
      <c r="N577" s="164"/>
      <c r="O577" s="164"/>
      <c r="P577" s="164"/>
    </row>
    <row r="578" ht="12.75" customHeight="1">
      <c r="C578" s="164"/>
      <c r="D578" s="164"/>
      <c r="E578" s="164"/>
      <c r="F578" s="164"/>
      <c r="G578" s="164"/>
      <c r="H578" s="164"/>
      <c r="I578" s="164"/>
      <c r="J578" s="164"/>
      <c r="K578" s="164"/>
      <c r="L578" s="164"/>
      <c r="M578" s="164"/>
      <c r="N578" s="164"/>
      <c r="O578" s="164"/>
      <c r="P578" s="164"/>
    </row>
    <row r="579" ht="12.75" customHeight="1">
      <c r="C579" s="164"/>
      <c r="D579" s="164"/>
      <c r="E579" s="164"/>
      <c r="F579" s="164"/>
      <c r="G579" s="164"/>
      <c r="H579" s="164"/>
      <c r="I579" s="164"/>
      <c r="J579" s="164"/>
      <c r="K579" s="164"/>
      <c r="L579" s="164"/>
      <c r="M579" s="164"/>
      <c r="N579" s="164"/>
      <c r="O579" s="164"/>
      <c r="P579" s="164"/>
    </row>
    <row r="580" ht="12.75" customHeight="1">
      <c r="C580" s="164"/>
      <c r="D580" s="164"/>
      <c r="E580" s="164"/>
      <c r="F580" s="164"/>
      <c r="G580" s="164"/>
      <c r="H580" s="164"/>
      <c r="I580" s="164"/>
      <c r="J580" s="164"/>
      <c r="K580" s="164"/>
      <c r="L580" s="164"/>
      <c r="M580" s="164"/>
      <c r="N580" s="164"/>
      <c r="O580" s="164"/>
      <c r="P580" s="164"/>
    </row>
    <row r="581" ht="12.75" customHeight="1">
      <c r="C581" s="164"/>
      <c r="D581" s="164"/>
      <c r="E581" s="164"/>
      <c r="F581" s="164"/>
      <c r="G581" s="164"/>
      <c r="H581" s="164"/>
      <c r="I581" s="164"/>
      <c r="J581" s="164"/>
      <c r="K581" s="164"/>
      <c r="L581" s="164"/>
      <c r="M581" s="164"/>
      <c r="N581" s="164"/>
      <c r="O581" s="164"/>
      <c r="P581" s="164"/>
    </row>
    <row r="582" ht="12.75" customHeight="1">
      <c r="C582" s="164"/>
      <c r="D582" s="164"/>
      <c r="E582" s="164"/>
      <c r="F582" s="164"/>
      <c r="G582" s="164"/>
      <c r="H582" s="164"/>
      <c r="I582" s="164"/>
      <c r="J582" s="164"/>
      <c r="K582" s="164"/>
      <c r="L582" s="164"/>
      <c r="M582" s="164"/>
      <c r="N582" s="164"/>
      <c r="O582" s="164"/>
      <c r="P582" s="164"/>
    </row>
    <row r="583" ht="12.75" customHeight="1">
      <c r="C583" s="164"/>
      <c r="D583" s="164"/>
      <c r="E583" s="164"/>
      <c r="F583" s="164"/>
      <c r="G583" s="164"/>
      <c r="H583" s="164"/>
      <c r="I583" s="164"/>
      <c r="J583" s="164"/>
      <c r="K583" s="164"/>
      <c r="L583" s="164"/>
      <c r="M583" s="164"/>
      <c r="N583" s="164"/>
      <c r="O583" s="164"/>
      <c r="P583" s="164"/>
    </row>
    <row r="584" ht="12.75" customHeight="1">
      <c r="C584" s="164"/>
      <c r="D584" s="164"/>
      <c r="E584" s="164"/>
      <c r="F584" s="164"/>
      <c r="G584" s="164"/>
      <c r="H584" s="164"/>
      <c r="I584" s="164"/>
      <c r="J584" s="164"/>
      <c r="K584" s="164"/>
      <c r="L584" s="164"/>
      <c r="M584" s="164"/>
      <c r="N584" s="164"/>
      <c r="O584" s="164"/>
      <c r="P584" s="164"/>
    </row>
    <row r="585" ht="12.75" customHeight="1">
      <c r="C585" s="164"/>
      <c r="D585" s="164"/>
      <c r="E585" s="164"/>
      <c r="F585" s="164"/>
      <c r="G585" s="164"/>
      <c r="H585" s="164"/>
      <c r="I585" s="164"/>
      <c r="J585" s="164"/>
      <c r="K585" s="164"/>
      <c r="L585" s="164"/>
      <c r="M585" s="164"/>
      <c r="N585" s="164"/>
      <c r="O585" s="164"/>
      <c r="P585" s="164"/>
    </row>
    <row r="586" ht="12.75" customHeight="1">
      <c r="C586" s="164"/>
      <c r="D586" s="164"/>
      <c r="E586" s="164"/>
      <c r="F586" s="164"/>
      <c r="G586" s="164"/>
      <c r="H586" s="164"/>
      <c r="I586" s="164"/>
      <c r="J586" s="164"/>
      <c r="K586" s="164"/>
      <c r="L586" s="164"/>
      <c r="M586" s="164"/>
      <c r="N586" s="164"/>
      <c r="O586" s="164"/>
      <c r="P586" s="164"/>
    </row>
    <row r="587" ht="12.75" customHeight="1">
      <c r="C587" s="164"/>
      <c r="D587" s="164"/>
      <c r="E587" s="164"/>
      <c r="F587" s="164"/>
      <c r="G587" s="164"/>
      <c r="H587" s="164"/>
      <c r="I587" s="164"/>
      <c r="J587" s="164"/>
      <c r="K587" s="164"/>
      <c r="L587" s="164"/>
      <c r="M587" s="164"/>
      <c r="N587" s="164"/>
      <c r="O587" s="164"/>
      <c r="P587" s="164"/>
    </row>
    <row r="588" ht="12.75" customHeight="1">
      <c r="C588" s="164"/>
      <c r="D588" s="164"/>
      <c r="E588" s="164"/>
      <c r="F588" s="164"/>
      <c r="G588" s="164"/>
      <c r="H588" s="164"/>
      <c r="I588" s="164"/>
      <c r="J588" s="164"/>
      <c r="K588" s="164"/>
      <c r="L588" s="164"/>
      <c r="M588" s="164"/>
      <c r="N588" s="164"/>
      <c r="O588" s="164"/>
      <c r="P588" s="164"/>
    </row>
    <row r="589" ht="12.75" customHeight="1">
      <c r="C589" s="164"/>
      <c r="D589" s="164"/>
      <c r="E589" s="164"/>
      <c r="F589" s="164"/>
      <c r="G589" s="164"/>
      <c r="H589" s="164"/>
      <c r="I589" s="164"/>
      <c r="J589" s="164"/>
      <c r="K589" s="164"/>
      <c r="L589" s="164"/>
      <c r="M589" s="164"/>
      <c r="N589" s="164"/>
      <c r="O589" s="164"/>
      <c r="P589" s="164"/>
    </row>
    <row r="590" ht="12.75" customHeight="1">
      <c r="C590" s="164"/>
      <c r="D590" s="164"/>
      <c r="E590" s="164"/>
      <c r="F590" s="164"/>
      <c r="G590" s="164"/>
      <c r="H590" s="164"/>
      <c r="I590" s="164"/>
      <c r="J590" s="164"/>
      <c r="K590" s="164"/>
      <c r="L590" s="164"/>
      <c r="M590" s="164"/>
      <c r="N590" s="164"/>
      <c r="O590" s="164"/>
      <c r="P590" s="164"/>
    </row>
    <row r="591" ht="12.75" customHeight="1">
      <c r="C591" s="164"/>
      <c r="D591" s="164"/>
      <c r="E591" s="164"/>
      <c r="F591" s="164"/>
      <c r="G591" s="164"/>
      <c r="H591" s="164"/>
      <c r="I591" s="164"/>
      <c r="J591" s="164"/>
      <c r="K591" s="164"/>
      <c r="L591" s="164"/>
      <c r="M591" s="164"/>
      <c r="N591" s="164"/>
      <c r="O591" s="164"/>
      <c r="P591" s="164"/>
    </row>
    <row r="592" ht="12.75" customHeight="1">
      <c r="C592" s="164"/>
      <c r="D592" s="164"/>
      <c r="E592" s="164"/>
      <c r="F592" s="164"/>
      <c r="G592" s="164"/>
      <c r="H592" s="164"/>
      <c r="I592" s="164"/>
      <c r="J592" s="164"/>
      <c r="K592" s="164"/>
      <c r="L592" s="164"/>
      <c r="M592" s="164"/>
      <c r="N592" s="164"/>
      <c r="O592" s="164"/>
      <c r="P592" s="164"/>
    </row>
    <row r="593" ht="12.75" customHeight="1">
      <c r="C593" s="164"/>
      <c r="D593" s="164"/>
      <c r="E593" s="164"/>
      <c r="F593" s="164"/>
      <c r="G593" s="164"/>
      <c r="H593" s="164"/>
      <c r="I593" s="164"/>
      <c r="J593" s="164"/>
      <c r="K593" s="164"/>
      <c r="L593" s="164"/>
      <c r="M593" s="164"/>
      <c r="N593" s="164"/>
      <c r="O593" s="164"/>
      <c r="P593" s="164"/>
    </row>
    <row r="594" ht="12.75" customHeight="1">
      <c r="C594" s="164"/>
      <c r="D594" s="164"/>
      <c r="E594" s="164"/>
      <c r="F594" s="164"/>
      <c r="G594" s="164"/>
      <c r="H594" s="164"/>
      <c r="I594" s="164"/>
      <c r="J594" s="164"/>
      <c r="K594" s="164"/>
      <c r="L594" s="164"/>
      <c r="M594" s="164"/>
      <c r="N594" s="164"/>
      <c r="O594" s="164"/>
      <c r="P594" s="164"/>
    </row>
    <row r="595" ht="12.75" customHeight="1">
      <c r="C595" s="164"/>
      <c r="D595" s="164"/>
      <c r="E595" s="164"/>
      <c r="F595" s="164"/>
      <c r="G595" s="164"/>
      <c r="H595" s="164"/>
      <c r="I595" s="164"/>
      <c r="J595" s="164"/>
      <c r="K595" s="164"/>
      <c r="L595" s="164"/>
      <c r="M595" s="164"/>
      <c r="N595" s="164"/>
      <c r="O595" s="164"/>
      <c r="P595" s="164"/>
    </row>
    <row r="596" ht="12.75" customHeight="1">
      <c r="C596" s="164"/>
      <c r="D596" s="164"/>
      <c r="E596" s="164"/>
      <c r="F596" s="164"/>
      <c r="G596" s="164"/>
      <c r="H596" s="164"/>
      <c r="I596" s="164"/>
      <c r="J596" s="164"/>
      <c r="K596" s="164"/>
      <c r="L596" s="164"/>
      <c r="M596" s="164"/>
      <c r="N596" s="164"/>
      <c r="O596" s="164"/>
      <c r="P596" s="164"/>
    </row>
    <row r="597" ht="12.75" customHeight="1">
      <c r="C597" s="164"/>
      <c r="D597" s="164"/>
      <c r="E597" s="164"/>
      <c r="F597" s="164"/>
      <c r="G597" s="164"/>
      <c r="H597" s="164"/>
      <c r="I597" s="164"/>
      <c r="J597" s="164"/>
      <c r="K597" s="164"/>
      <c r="L597" s="164"/>
      <c r="M597" s="164"/>
      <c r="N597" s="164"/>
      <c r="O597" s="164"/>
      <c r="P597" s="164"/>
    </row>
    <row r="598" ht="12.75" customHeight="1">
      <c r="C598" s="164"/>
      <c r="D598" s="164"/>
      <c r="E598" s="164"/>
      <c r="F598" s="164"/>
      <c r="G598" s="164"/>
      <c r="H598" s="164"/>
      <c r="I598" s="164"/>
      <c r="J598" s="164"/>
      <c r="K598" s="164"/>
      <c r="L598" s="164"/>
      <c r="M598" s="164"/>
      <c r="N598" s="164"/>
      <c r="O598" s="164"/>
      <c r="P598" s="164"/>
    </row>
    <row r="599" ht="12.75" customHeight="1">
      <c r="C599" s="164"/>
      <c r="D599" s="164"/>
      <c r="E599" s="164"/>
      <c r="F599" s="164"/>
      <c r="G599" s="164"/>
      <c r="H599" s="164"/>
      <c r="I599" s="164"/>
      <c r="J599" s="164"/>
      <c r="K599" s="164"/>
      <c r="L599" s="164"/>
      <c r="M599" s="164"/>
      <c r="N599" s="164"/>
      <c r="O599" s="164"/>
      <c r="P599" s="164"/>
    </row>
    <row r="600" ht="12.75" customHeight="1">
      <c r="C600" s="164"/>
      <c r="D600" s="164"/>
      <c r="E600" s="164"/>
      <c r="F600" s="164"/>
      <c r="G600" s="164"/>
      <c r="H600" s="164"/>
      <c r="I600" s="164"/>
      <c r="J600" s="164"/>
      <c r="K600" s="164"/>
      <c r="L600" s="164"/>
      <c r="M600" s="164"/>
      <c r="N600" s="164"/>
      <c r="O600" s="164"/>
      <c r="P600" s="164"/>
    </row>
    <row r="601" ht="12.75" customHeight="1">
      <c r="C601" s="164"/>
      <c r="D601" s="164"/>
      <c r="E601" s="164"/>
      <c r="F601" s="164"/>
      <c r="G601" s="164"/>
      <c r="H601" s="164"/>
      <c r="I601" s="164"/>
      <c r="J601" s="164"/>
      <c r="K601" s="164"/>
      <c r="L601" s="164"/>
      <c r="M601" s="164"/>
      <c r="N601" s="164"/>
      <c r="O601" s="164"/>
      <c r="P601" s="164"/>
    </row>
    <row r="602" ht="12.75" customHeight="1">
      <c r="C602" s="164"/>
      <c r="D602" s="164"/>
      <c r="E602" s="164"/>
      <c r="F602" s="164"/>
      <c r="G602" s="164"/>
      <c r="H602" s="164"/>
      <c r="I602" s="164"/>
      <c r="J602" s="164"/>
      <c r="K602" s="164"/>
      <c r="L602" s="164"/>
      <c r="M602" s="164"/>
      <c r="N602" s="164"/>
      <c r="O602" s="164"/>
      <c r="P602" s="164"/>
    </row>
    <row r="603" ht="12.75" customHeight="1">
      <c r="C603" s="164"/>
      <c r="D603" s="164"/>
      <c r="E603" s="164"/>
      <c r="F603" s="164"/>
      <c r="G603" s="164"/>
      <c r="H603" s="164"/>
      <c r="I603" s="164"/>
      <c r="J603" s="164"/>
      <c r="K603" s="164"/>
      <c r="L603" s="164"/>
      <c r="M603" s="164"/>
      <c r="N603" s="164"/>
      <c r="O603" s="164"/>
      <c r="P603" s="164"/>
    </row>
    <row r="604" ht="12.75" customHeight="1">
      <c r="C604" s="164"/>
      <c r="D604" s="164"/>
      <c r="E604" s="164"/>
      <c r="F604" s="164"/>
      <c r="G604" s="164"/>
      <c r="H604" s="164"/>
      <c r="I604" s="164"/>
      <c r="J604" s="164"/>
      <c r="K604" s="164"/>
      <c r="L604" s="164"/>
      <c r="M604" s="164"/>
      <c r="N604" s="164"/>
      <c r="O604" s="164"/>
      <c r="P604" s="164"/>
    </row>
    <row r="605" ht="12.75" customHeight="1">
      <c r="C605" s="164"/>
      <c r="D605" s="164"/>
      <c r="E605" s="164"/>
      <c r="F605" s="164"/>
      <c r="G605" s="164"/>
      <c r="H605" s="164"/>
      <c r="I605" s="164"/>
      <c r="J605" s="164"/>
      <c r="K605" s="164"/>
      <c r="L605" s="164"/>
      <c r="M605" s="164"/>
      <c r="N605" s="164"/>
      <c r="O605" s="164"/>
      <c r="P605" s="164"/>
    </row>
    <row r="606" ht="12.75" customHeight="1">
      <c r="C606" s="164"/>
      <c r="D606" s="164"/>
      <c r="E606" s="164"/>
      <c r="F606" s="164"/>
      <c r="G606" s="164"/>
      <c r="H606" s="164"/>
      <c r="I606" s="164"/>
      <c r="J606" s="164"/>
      <c r="K606" s="164"/>
      <c r="L606" s="164"/>
      <c r="M606" s="164"/>
      <c r="N606" s="164"/>
      <c r="O606" s="164"/>
      <c r="P606" s="164"/>
    </row>
    <row r="607" ht="12.75" customHeight="1">
      <c r="C607" s="164"/>
      <c r="D607" s="164"/>
      <c r="E607" s="164"/>
      <c r="F607" s="164"/>
      <c r="G607" s="164"/>
      <c r="H607" s="164"/>
      <c r="I607" s="164"/>
      <c r="J607" s="164"/>
      <c r="K607" s="164"/>
      <c r="L607" s="164"/>
      <c r="M607" s="164"/>
      <c r="N607" s="164"/>
      <c r="O607" s="164"/>
      <c r="P607" s="164"/>
    </row>
    <row r="608" ht="12.75" customHeight="1">
      <c r="C608" s="164"/>
      <c r="D608" s="164"/>
      <c r="E608" s="164"/>
      <c r="F608" s="164"/>
      <c r="G608" s="164"/>
      <c r="H608" s="164"/>
      <c r="I608" s="164"/>
      <c r="J608" s="164"/>
      <c r="K608" s="164"/>
      <c r="L608" s="164"/>
      <c r="M608" s="164"/>
      <c r="N608" s="164"/>
      <c r="O608" s="164"/>
      <c r="P608" s="164"/>
    </row>
    <row r="609" ht="12.75" customHeight="1">
      <c r="C609" s="164"/>
      <c r="D609" s="164"/>
      <c r="E609" s="164"/>
      <c r="F609" s="164"/>
      <c r="G609" s="164"/>
      <c r="H609" s="164"/>
      <c r="I609" s="164"/>
      <c r="J609" s="164"/>
      <c r="K609" s="164"/>
      <c r="L609" s="164"/>
      <c r="M609" s="164"/>
      <c r="N609" s="164"/>
      <c r="O609" s="164"/>
      <c r="P609" s="164"/>
    </row>
    <row r="610" ht="12.75" customHeight="1">
      <c r="C610" s="164"/>
      <c r="D610" s="164"/>
      <c r="E610" s="164"/>
      <c r="F610" s="164"/>
      <c r="G610" s="164"/>
      <c r="H610" s="164"/>
      <c r="I610" s="164"/>
      <c r="J610" s="164"/>
      <c r="K610" s="164"/>
      <c r="L610" s="164"/>
      <c r="M610" s="164"/>
      <c r="N610" s="164"/>
      <c r="O610" s="164"/>
      <c r="P610" s="164"/>
    </row>
    <row r="611" ht="12.75" customHeight="1">
      <c r="C611" s="164"/>
      <c r="D611" s="164"/>
      <c r="E611" s="164"/>
      <c r="F611" s="164"/>
      <c r="G611" s="164"/>
      <c r="H611" s="164"/>
      <c r="I611" s="164"/>
      <c r="J611" s="164"/>
      <c r="K611" s="164"/>
      <c r="L611" s="164"/>
      <c r="M611" s="164"/>
      <c r="N611" s="164"/>
      <c r="O611" s="164"/>
      <c r="P611" s="164"/>
    </row>
    <row r="612" ht="12.75" customHeight="1">
      <c r="C612" s="164"/>
      <c r="D612" s="164"/>
      <c r="E612" s="164"/>
      <c r="F612" s="164"/>
      <c r="G612" s="164"/>
      <c r="H612" s="164"/>
      <c r="I612" s="164"/>
      <c r="J612" s="164"/>
      <c r="K612" s="164"/>
      <c r="L612" s="164"/>
      <c r="M612" s="164"/>
      <c r="N612" s="164"/>
      <c r="O612" s="164"/>
      <c r="P612" s="164"/>
    </row>
    <row r="613" ht="12.75" customHeight="1">
      <c r="C613" s="164"/>
      <c r="D613" s="164"/>
      <c r="E613" s="164"/>
      <c r="F613" s="164"/>
      <c r="G613" s="164"/>
      <c r="H613" s="164"/>
      <c r="I613" s="164"/>
      <c r="J613" s="164"/>
      <c r="K613" s="164"/>
      <c r="L613" s="164"/>
      <c r="M613" s="164"/>
      <c r="N613" s="164"/>
      <c r="O613" s="164"/>
      <c r="P613" s="164"/>
    </row>
    <row r="614" ht="12.75" customHeight="1">
      <c r="C614" s="164"/>
      <c r="D614" s="164"/>
      <c r="E614" s="164"/>
      <c r="F614" s="164"/>
      <c r="G614" s="164"/>
      <c r="H614" s="164"/>
      <c r="I614" s="164"/>
      <c r="J614" s="164"/>
      <c r="K614" s="164"/>
      <c r="L614" s="164"/>
      <c r="M614" s="164"/>
      <c r="N614" s="164"/>
      <c r="O614" s="164"/>
      <c r="P614" s="164"/>
    </row>
    <row r="615" ht="12.75" customHeight="1">
      <c r="C615" s="164"/>
      <c r="D615" s="164"/>
      <c r="E615" s="164"/>
      <c r="F615" s="164"/>
      <c r="G615" s="164"/>
      <c r="H615" s="164"/>
      <c r="I615" s="164"/>
      <c r="J615" s="164"/>
      <c r="K615" s="164"/>
      <c r="L615" s="164"/>
      <c r="M615" s="164"/>
      <c r="N615" s="164"/>
      <c r="O615" s="164"/>
      <c r="P615" s="164"/>
    </row>
    <row r="616" ht="12.75" customHeight="1">
      <c r="C616" s="164"/>
      <c r="D616" s="164"/>
      <c r="E616" s="164"/>
      <c r="F616" s="164"/>
      <c r="G616" s="164"/>
      <c r="H616" s="164"/>
      <c r="I616" s="164"/>
      <c r="J616" s="164"/>
      <c r="K616" s="164"/>
      <c r="L616" s="164"/>
      <c r="M616" s="164"/>
      <c r="N616" s="164"/>
      <c r="O616" s="164"/>
      <c r="P616" s="164"/>
    </row>
    <row r="617" ht="12.75" customHeight="1">
      <c r="C617" s="164"/>
      <c r="D617" s="164"/>
      <c r="E617" s="164"/>
      <c r="F617" s="164"/>
      <c r="G617" s="164"/>
      <c r="H617" s="164"/>
      <c r="I617" s="164"/>
      <c r="J617" s="164"/>
      <c r="K617" s="164"/>
      <c r="L617" s="164"/>
      <c r="M617" s="164"/>
      <c r="N617" s="164"/>
      <c r="O617" s="164"/>
      <c r="P617" s="164"/>
    </row>
    <row r="618" ht="12.75" customHeight="1">
      <c r="C618" s="164"/>
      <c r="D618" s="164"/>
      <c r="E618" s="164"/>
      <c r="F618" s="164"/>
      <c r="G618" s="164"/>
      <c r="H618" s="164"/>
      <c r="I618" s="164"/>
      <c r="J618" s="164"/>
      <c r="K618" s="164"/>
      <c r="L618" s="164"/>
      <c r="M618" s="164"/>
      <c r="N618" s="164"/>
      <c r="O618" s="164"/>
      <c r="P618" s="164"/>
    </row>
    <row r="619" ht="12.75" customHeight="1">
      <c r="C619" s="164"/>
      <c r="D619" s="164"/>
      <c r="E619" s="164"/>
      <c r="F619" s="164"/>
      <c r="G619" s="164"/>
      <c r="H619" s="164"/>
      <c r="I619" s="164"/>
      <c r="J619" s="164"/>
      <c r="K619" s="164"/>
      <c r="L619" s="164"/>
      <c r="M619" s="164"/>
      <c r="N619" s="164"/>
      <c r="O619" s="164"/>
      <c r="P619" s="164"/>
    </row>
    <row r="620" ht="12.75" customHeight="1">
      <c r="C620" s="164"/>
      <c r="D620" s="164"/>
      <c r="E620" s="164"/>
      <c r="F620" s="164"/>
      <c r="G620" s="164"/>
      <c r="H620" s="164"/>
      <c r="I620" s="164"/>
      <c r="J620" s="164"/>
      <c r="K620" s="164"/>
      <c r="L620" s="164"/>
      <c r="M620" s="164"/>
      <c r="N620" s="164"/>
      <c r="O620" s="164"/>
      <c r="P620" s="164"/>
    </row>
    <row r="621" ht="12.75" customHeight="1">
      <c r="C621" s="164"/>
      <c r="D621" s="164"/>
      <c r="E621" s="164"/>
      <c r="F621" s="164"/>
      <c r="G621" s="164"/>
      <c r="H621" s="164"/>
      <c r="I621" s="164"/>
      <c r="J621" s="164"/>
      <c r="K621" s="164"/>
      <c r="L621" s="164"/>
      <c r="M621" s="164"/>
      <c r="N621" s="164"/>
      <c r="O621" s="164"/>
      <c r="P621" s="164"/>
    </row>
    <row r="622" ht="12.75" customHeight="1">
      <c r="C622" s="164"/>
      <c r="D622" s="164"/>
      <c r="E622" s="164"/>
      <c r="F622" s="164"/>
      <c r="G622" s="164"/>
      <c r="H622" s="164"/>
      <c r="I622" s="164"/>
      <c r="J622" s="164"/>
      <c r="K622" s="164"/>
      <c r="L622" s="164"/>
      <c r="M622" s="164"/>
      <c r="N622" s="164"/>
      <c r="O622" s="164"/>
      <c r="P622" s="164"/>
    </row>
    <row r="623" ht="12.75" customHeight="1">
      <c r="C623" s="164"/>
      <c r="D623" s="164"/>
      <c r="E623" s="164"/>
      <c r="F623" s="164"/>
      <c r="G623" s="164"/>
      <c r="H623" s="164"/>
      <c r="I623" s="164"/>
      <c r="J623" s="164"/>
      <c r="K623" s="164"/>
      <c r="L623" s="164"/>
      <c r="M623" s="164"/>
      <c r="N623" s="164"/>
      <c r="O623" s="164"/>
      <c r="P623" s="164"/>
    </row>
    <row r="624" ht="12.75" customHeight="1">
      <c r="C624" s="164"/>
      <c r="D624" s="164"/>
      <c r="E624" s="164"/>
      <c r="F624" s="164"/>
      <c r="G624" s="164"/>
      <c r="H624" s="164"/>
      <c r="I624" s="164"/>
      <c r="J624" s="164"/>
      <c r="K624" s="164"/>
      <c r="L624" s="164"/>
      <c r="M624" s="164"/>
      <c r="N624" s="164"/>
      <c r="O624" s="164"/>
      <c r="P624" s="164"/>
    </row>
    <row r="625" ht="12.75" customHeight="1">
      <c r="C625" s="164"/>
      <c r="D625" s="164"/>
      <c r="E625" s="164"/>
      <c r="F625" s="164"/>
      <c r="G625" s="164"/>
      <c r="H625" s="164"/>
      <c r="I625" s="164"/>
      <c r="J625" s="164"/>
      <c r="K625" s="164"/>
      <c r="L625" s="164"/>
      <c r="M625" s="164"/>
      <c r="N625" s="164"/>
      <c r="O625" s="164"/>
      <c r="P625" s="164"/>
    </row>
    <row r="626" ht="12.75" customHeight="1">
      <c r="C626" s="164"/>
      <c r="D626" s="164"/>
      <c r="E626" s="164"/>
      <c r="F626" s="164"/>
      <c r="G626" s="164"/>
      <c r="H626" s="164"/>
      <c r="I626" s="164"/>
      <c r="J626" s="164"/>
      <c r="K626" s="164"/>
      <c r="L626" s="164"/>
      <c r="M626" s="164"/>
      <c r="N626" s="164"/>
      <c r="O626" s="164"/>
      <c r="P626" s="164"/>
    </row>
    <row r="627" ht="12.75" customHeight="1">
      <c r="C627" s="164"/>
      <c r="D627" s="164"/>
      <c r="E627" s="164"/>
      <c r="F627" s="164"/>
      <c r="G627" s="164"/>
      <c r="H627" s="164"/>
      <c r="I627" s="164"/>
      <c r="J627" s="164"/>
      <c r="K627" s="164"/>
      <c r="L627" s="164"/>
      <c r="M627" s="164"/>
      <c r="N627" s="164"/>
      <c r="O627" s="164"/>
      <c r="P627" s="164"/>
    </row>
    <row r="628" ht="12.75" customHeight="1">
      <c r="C628" s="164"/>
      <c r="D628" s="164"/>
      <c r="E628" s="164"/>
      <c r="F628" s="164"/>
      <c r="G628" s="164"/>
      <c r="H628" s="164"/>
      <c r="I628" s="164"/>
      <c r="J628" s="164"/>
      <c r="K628" s="164"/>
      <c r="L628" s="164"/>
      <c r="M628" s="164"/>
      <c r="N628" s="164"/>
      <c r="O628" s="164"/>
      <c r="P628" s="164"/>
    </row>
    <row r="629" ht="12.75" customHeight="1">
      <c r="C629" s="164"/>
      <c r="D629" s="164"/>
      <c r="E629" s="164"/>
      <c r="F629" s="164"/>
      <c r="G629" s="164"/>
      <c r="H629" s="164"/>
      <c r="I629" s="164"/>
      <c r="J629" s="164"/>
      <c r="K629" s="164"/>
      <c r="L629" s="164"/>
      <c r="M629" s="164"/>
      <c r="N629" s="164"/>
      <c r="O629" s="164"/>
      <c r="P629" s="164"/>
    </row>
    <row r="630" ht="12.75" customHeight="1">
      <c r="C630" s="164"/>
      <c r="D630" s="164"/>
      <c r="E630" s="164"/>
      <c r="F630" s="164"/>
      <c r="G630" s="164"/>
      <c r="H630" s="164"/>
      <c r="I630" s="164"/>
      <c r="J630" s="164"/>
      <c r="K630" s="164"/>
      <c r="L630" s="164"/>
      <c r="M630" s="164"/>
      <c r="N630" s="164"/>
      <c r="O630" s="164"/>
      <c r="P630" s="164"/>
    </row>
    <row r="631" ht="12.75" customHeight="1">
      <c r="C631" s="164"/>
      <c r="D631" s="164"/>
      <c r="E631" s="164"/>
      <c r="F631" s="164"/>
      <c r="G631" s="164"/>
      <c r="H631" s="164"/>
      <c r="I631" s="164"/>
      <c r="J631" s="164"/>
      <c r="K631" s="164"/>
      <c r="L631" s="164"/>
      <c r="M631" s="164"/>
      <c r="N631" s="164"/>
      <c r="O631" s="164"/>
      <c r="P631" s="164"/>
    </row>
    <row r="632" ht="12.75" customHeight="1">
      <c r="C632" s="164"/>
      <c r="D632" s="164"/>
      <c r="E632" s="164"/>
      <c r="F632" s="164"/>
      <c r="G632" s="164"/>
      <c r="H632" s="164"/>
      <c r="I632" s="164"/>
      <c r="J632" s="164"/>
      <c r="K632" s="164"/>
      <c r="L632" s="164"/>
      <c r="M632" s="164"/>
      <c r="N632" s="164"/>
      <c r="O632" s="164"/>
      <c r="P632" s="164"/>
    </row>
    <row r="633" ht="12.75" customHeight="1">
      <c r="C633" s="164"/>
      <c r="D633" s="164"/>
      <c r="E633" s="164"/>
      <c r="F633" s="164"/>
      <c r="G633" s="164"/>
      <c r="H633" s="164"/>
      <c r="I633" s="164"/>
      <c r="J633" s="164"/>
      <c r="K633" s="164"/>
      <c r="L633" s="164"/>
      <c r="M633" s="164"/>
      <c r="N633" s="164"/>
      <c r="O633" s="164"/>
      <c r="P633" s="164"/>
    </row>
    <row r="634" ht="12.75" customHeight="1">
      <c r="C634" s="164"/>
      <c r="D634" s="164"/>
      <c r="E634" s="164"/>
      <c r="F634" s="164"/>
      <c r="G634" s="164"/>
      <c r="H634" s="164"/>
      <c r="I634" s="164"/>
      <c r="J634" s="164"/>
      <c r="K634" s="164"/>
      <c r="L634" s="164"/>
      <c r="M634" s="164"/>
      <c r="N634" s="164"/>
      <c r="O634" s="164"/>
      <c r="P634" s="164"/>
    </row>
    <row r="635" ht="12.75" customHeight="1">
      <c r="C635" s="164"/>
      <c r="D635" s="164"/>
      <c r="E635" s="164"/>
      <c r="F635" s="164"/>
      <c r="G635" s="164"/>
      <c r="H635" s="164"/>
      <c r="I635" s="164"/>
      <c r="J635" s="164"/>
      <c r="K635" s="164"/>
      <c r="L635" s="164"/>
      <c r="M635" s="164"/>
      <c r="N635" s="164"/>
      <c r="O635" s="164"/>
      <c r="P635" s="164"/>
    </row>
    <row r="636" ht="12.75" customHeight="1">
      <c r="C636" s="164"/>
      <c r="D636" s="164"/>
      <c r="E636" s="164"/>
      <c r="F636" s="164"/>
      <c r="G636" s="164"/>
      <c r="H636" s="164"/>
      <c r="I636" s="164"/>
      <c r="J636" s="164"/>
      <c r="K636" s="164"/>
      <c r="L636" s="164"/>
      <c r="M636" s="164"/>
      <c r="N636" s="164"/>
      <c r="O636" s="164"/>
      <c r="P636" s="164"/>
    </row>
    <row r="637" ht="12.75" customHeight="1">
      <c r="C637" s="164"/>
      <c r="D637" s="164"/>
      <c r="E637" s="164"/>
      <c r="F637" s="164"/>
      <c r="G637" s="164"/>
      <c r="H637" s="164"/>
      <c r="I637" s="164"/>
      <c r="J637" s="164"/>
      <c r="K637" s="164"/>
      <c r="L637" s="164"/>
      <c r="M637" s="164"/>
      <c r="N637" s="164"/>
      <c r="O637" s="164"/>
      <c r="P637" s="164"/>
    </row>
    <row r="638" ht="12.75" customHeight="1">
      <c r="C638" s="164"/>
      <c r="D638" s="164"/>
      <c r="E638" s="164"/>
      <c r="F638" s="164"/>
      <c r="G638" s="164"/>
      <c r="H638" s="164"/>
      <c r="I638" s="164"/>
      <c r="J638" s="164"/>
      <c r="K638" s="164"/>
      <c r="L638" s="164"/>
      <c r="M638" s="164"/>
      <c r="N638" s="164"/>
      <c r="O638" s="164"/>
      <c r="P638" s="164"/>
    </row>
    <row r="639" ht="12.75" customHeight="1">
      <c r="C639" s="164"/>
      <c r="D639" s="164"/>
      <c r="E639" s="164"/>
      <c r="F639" s="164"/>
      <c r="G639" s="164"/>
      <c r="H639" s="164"/>
      <c r="I639" s="164"/>
      <c r="J639" s="164"/>
      <c r="K639" s="164"/>
      <c r="L639" s="164"/>
      <c r="M639" s="164"/>
      <c r="N639" s="164"/>
      <c r="O639" s="164"/>
      <c r="P639" s="164"/>
    </row>
    <row r="640" ht="12.75" customHeight="1">
      <c r="C640" s="164"/>
      <c r="D640" s="164"/>
      <c r="E640" s="164"/>
      <c r="F640" s="164"/>
      <c r="G640" s="164"/>
      <c r="H640" s="164"/>
      <c r="I640" s="164"/>
      <c r="J640" s="164"/>
      <c r="K640" s="164"/>
      <c r="L640" s="164"/>
      <c r="M640" s="164"/>
      <c r="N640" s="164"/>
      <c r="O640" s="164"/>
      <c r="P640" s="164"/>
    </row>
    <row r="641" ht="12.75" customHeight="1">
      <c r="C641" s="164"/>
      <c r="D641" s="164"/>
      <c r="E641" s="164"/>
      <c r="F641" s="164"/>
      <c r="G641" s="164"/>
      <c r="H641" s="164"/>
      <c r="I641" s="164"/>
      <c r="J641" s="164"/>
      <c r="K641" s="164"/>
      <c r="L641" s="164"/>
      <c r="M641" s="164"/>
      <c r="N641" s="164"/>
      <c r="O641" s="164"/>
      <c r="P641" s="164"/>
    </row>
    <row r="642" ht="12.75" customHeight="1">
      <c r="C642" s="164"/>
      <c r="D642" s="164"/>
      <c r="E642" s="164"/>
      <c r="F642" s="164"/>
      <c r="G642" s="164"/>
      <c r="H642" s="164"/>
      <c r="I642" s="164"/>
      <c r="J642" s="164"/>
      <c r="K642" s="164"/>
      <c r="L642" s="164"/>
      <c r="M642" s="164"/>
      <c r="N642" s="164"/>
      <c r="O642" s="164"/>
      <c r="P642" s="164"/>
    </row>
    <row r="643" ht="12.75" customHeight="1">
      <c r="C643" s="164"/>
      <c r="D643" s="164"/>
      <c r="E643" s="164"/>
      <c r="F643" s="164"/>
      <c r="G643" s="164"/>
      <c r="H643" s="164"/>
      <c r="I643" s="164"/>
      <c r="J643" s="164"/>
      <c r="K643" s="164"/>
      <c r="L643" s="164"/>
      <c r="M643" s="164"/>
      <c r="N643" s="164"/>
      <c r="O643" s="164"/>
      <c r="P643" s="164"/>
    </row>
    <row r="644" ht="12.75" customHeight="1">
      <c r="C644" s="164"/>
      <c r="D644" s="164"/>
      <c r="E644" s="164"/>
      <c r="F644" s="164"/>
      <c r="G644" s="164"/>
      <c r="H644" s="164"/>
      <c r="I644" s="164"/>
      <c r="J644" s="164"/>
      <c r="K644" s="164"/>
      <c r="L644" s="164"/>
      <c r="M644" s="164"/>
      <c r="N644" s="164"/>
      <c r="O644" s="164"/>
      <c r="P644" s="164"/>
    </row>
    <row r="645" ht="12.75" customHeight="1">
      <c r="C645" s="164"/>
      <c r="D645" s="164"/>
      <c r="E645" s="164"/>
      <c r="F645" s="164"/>
      <c r="G645" s="164"/>
      <c r="H645" s="164"/>
      <c r="I645" s="164"/>
      <c r="J645" s="164"/>
      <c r="K645" s="164"/>
      <c r="L645" s="164"/>
      <c r="M645" s="164"/>
      <c r="N645" s="164"/>
      <c r="O645" s="164"/>
      <c r="P645" s="164"/>
    </row>
    <row r="646" ht="12.75" customHeight="1">
      <c r="C646" s="164"/>
      <c r="D646" s="164"/>
      <c r="E646" s="164"/>
      <c r="F646" s="164"/>
      <c r="G646" s="164"/>
      <c r="H646" s="164"/>
      <c r="I646" s="164"/>
      <c r="J646" s="164"/>
      <c r="K646" s="164"/>
      <c r="L646" s="164"/>
      <c r="M646" s="164"/>
      <c r="N646" s="164"/>
      <c r="O646" s="164"/>
      <c r="P646" s="164"/>
    </row>
    <row r="647" ht="12.75" customHeight="1">
      <c r="C647" s="164"/>
      <c r="D647" s="164"/>
      <c r="E647" s="164"/>
      <c r="F647" s="164"/>
      <c r="G647" s="164"/>
      <c r="H647" s="164"/>
      <c r="I647" s="164"/>
      <c r="J647" s="164"/>
      <c r="K647" s="164"/>
      <c r="L647" s="164"/>
      <c r="M647" s="164"/>
      <c r="N647" s="164"/>
      <c r="O647" s="164"/>
      <c r="P647" s="164"/>
    </row>
    <row r="648" ht="12.75" customHeight="1">
      <c r="C648" s="164"/>
      <c r="D648" s="164"/>
      <c r="E648" s="164"/>
      <c r="F648" s="164"/>
      <c r="G648" s="164"/>
      <c r="H648" s="164"/>
      <c r="I648" s="164"/>
      <c r="J648" s="164"/>
      <c r="K648" s="164"/>
      <c r="L648" s="164"/>
      <c r="M648" s="164"/>
      <c r="N648" s="164"/>
      <c r="O648" s="164"/>
      <c r="P648" s="164"/>
    </row>
    <row r="649" ht="12.75" customHeight="1">
      <c r="C649" s="164"/>
      <c r="D649" s="164"/>
      <c r="E649" s="164"/>
      <c r="F649" s="164"/>
      <c r="G649" s="164"/>
      <c r="H649" s="164"/>
      <c r="I649" s="164"/>
      <c r="J649" s="164"/>
      <c r="K649" s="164"/>
      <c r="L649" s="164"/>
      <c r="M649" s="164"/>
      <c r="N649" s="164"/>
      <c r="O649" s="164"/>
      <c r="P649" s="164"/>
    </row>
    <row r="650" ht="12.75" customHeight="1">
      <c r="C650" s="164"/>
      <c r="D650" s="164"/>
      <c r="E650" s="164"/>
      <c r="F650" s="164"/>
      <c r="G650" s="164"/>
      <c r="H650" s="164"/>
      <c r="I650" s="164"/>
      <c r="J650" s="164"/>
      <c r="K650" s="164"/>
      <c r="L650" s="164"/>
      <c r="M650" s="164"/>
      <c r="N650" s="164"/>
      <c r="O650" s="164"/>
      <c r="P650" s="164"/>
    </row>
    <row r="651" ht="12.75" customHeight="1">
      <c r="C651" s="164"/>
      <c r="D651" s="164"/>
      <c r="E651" s="164"/>
      <c r="F651" s="164"/>
      <c r="G651" s="164"/>
      <c r="H651" s="164"/>
      <c r="I651" s="164"/>
      <c r="J651" s="164"/>
      <c r="K651" s="164"/>
      <c r="L651" s="164"/>
      <c r="M651" s="164"/>
      <c r="N651" s="164"/>
      <c r="O651" s="164"/>
      <c r="P651" s="164"/>
    </row>
    <row r="652" ht="12.75" customHeight="1">
      <c r="C652" s="164"/>
      <c r="D652" s="164"/>
      <c r="E652" s="164"/>
      <c r="F652" s="164"/>
      <c r="G652" s="164"/>
      <c r="H652" s="164"/>
      <c r="I652" s="164"/>
      <c r="J652" s="164"/>
      <c r="K652" s="164"/>
      <c r="L652" s="164"/>
      <c r="M652" s="164"/>
      <c r="N652" s="164"/>
      <c r="O652" s="164"/>
      <c r="P652" s="164"/>
    </row>
    <row r="653" ht="12.75" customHeight="1">
      <c r="C653" s="164"/>
      <c r="D653" s="164"/>
      <c r="E653" s="164"/>
      <c r="F653" s="164"/>
      <c r="G653" s="164"/>
      <c r="H653" s="164"/>
      <c r="I653" s="164"/>
      <c r="J653" s="164"/>
      <c r="K653" s="164"/>
      <c r="L653" s="164"/>
      <c r="M653" s="164"/>
      <c r="N653" s="164"/>
      <c r="O653" s="164"/>
      <c r="P653" s="164"/>
    </row>
    <row r="654" ht="12.75" customHeight="1">
      <c r="C654" s="164"/>
      <c r="D654" s="164"/>
      <c r="E654" s="164"/>
      <c r="F654" s="164"/>
      <c r="G654" s="164"/>
      <c r="H654" s="164"/>
      <c r="I654" s="164"/>
      <c r="J654" s="164"/>
      <c r="K654" s="164"/>
      <c r="L654" s="164"/>
      <c r="M654" s="164"/>
      <c r="N654" s="164"/>
      <c r="O654" s="164"/>
      <c r="P654" s="164"/>
    </row>
    <row r="655" ht="12.75" customHeight="1">
      <c r="C655" s="164"/>
      <c r="D655" s="164"/>
      <c r="E655" s="164"/>
      <c r="F655" s="164"/>
      <c r="G655" s="164"/>
      <c r="H655" s="164"/>
      <c r="I655" s="164"/>
      <c r="J655" s="164"/>
      <c r="K655" s="164"/>
      <c r="L655" s="164"/>
      <c r="M655" s="164"/>
      <c r="N655" s="164"/>
      <c r="O655" s="164"/>
      <c r="P655" s="164"/>
    </row>
    <row r="656" ht="12.75" customHeight="1">
      <c r="C656" s="164"/>
      <c r="D656" s="164"/>
      <c r="E656" s="164"/>
      <c r="F656" s="164"/>
      <c r="G656" s="164"/>
      <c r="H656" s="164"/>
      <c r="I656" s="164"/>
      <c r="J656" s="164"/>
      <c r="K656" s="164"/>
      <c r="L656" s="164"/>
      <c r="M656" s="164"/>
      <c r="N656" s="164"/>
      <c r="O656" s="164"/>
      <c r="P656" s="164"/>
    </row>
    <row r="657" ht="12.75" customHeight="1">
      <c r="C657" s="164"/>
      <c r="D657" s="164"/>
      <c r="E657" s="164"/>
      <c r="F657" s="164"/>
      <c r="G657" s="164"/>
      <c r="H657" s="164"/>
      <c r="I657" s="164"/>
      <c r="J657" s="164"/>
      <c r="K657" s="164"/>
      <c r="L657" s="164"/>
      <c r="M657" s="164"/>
      <c r="N657" s="164"/>
      <c r="O657" s="164"/>
      <c r="P657" s="164"/>
    </row>
    <row r="658" ht="12.75" customHeight="1">
      <c r="C658" s="164"/>
      <c r="D658" s="164"/>
      <c r="E658" s="164"/>
      <c r="F658" s="164"/>
      <c r="G658" s="164"/>
      <c r="H658" s="164"/>
      <c r="I658" s="164"/>
      <c r="J658" s="164"/>
      <c r="K658" s="164"/>
      <c r="L658" s="164"/>
      <c r="M658" s="164"/>
      <c r="N658" s="164"/>
      <c r="O658" s="164"/>
      <c r="P658" s="164"/>
    </row>
    <row r="659" ht="12.75" customHeight="1">
      <c r="C659" s="164"/>
      <c r="D659" s="164"/>
      <c r="E659" s="164"/>
      <c r="F659" s="164"/>
      <c r="G659" s="164"/>
      <c r="H659" s="164"/>
      <c r="I659" s="164"/>
      <c r="J659" s="164"/>
      <c r="K659" s="164"/>
      <c r="L659" s="164"/>
      <c r="M659" s="164"/>
      <c r="N659" s="164"/>
      <c r="O659" s="164"/>
      <c r="P659" s="164"/>
    </row>
    <row r="660" ht="12.75" customHeight="1">
      <c r="C660" s="164"/>
      <c r="D660" s="164"/>
      <c r="E660" s="164"/>
      <c r="F660" s="164"/>
      <c r="G660" s="164"/>
      <c r="H660" s="164"/>
      <c r="I660" s="164"/>
      <c r="J660" s="164"/>
      <c r="K660" s="164"/>
      <c r="L660" s="164"/>
      <c r="M660" s="164"/>
      <c r="N660" s="164"/>
      <c r="O660" s="164"/>
      <c r="P660" s="164"/>
    </row>
    <row r="661" ht="12.75" customHeight="1">
      <c r="C661" s="164"/>
      <c r="D661" s="164"/>
      <c r="E661" s="164"/>
      <c r="F661" s="164"/>
      <c r="G661" s="164"/>
      <c r="H661" s="164"/>
      <c r="I661" s="164"/>
      <c r="J661" s="164"/>
      <c r="K661" s="164"/>
      <c r="L661" s="164"/>
      <c r="M661" s="164"/>
      <c r="N661" s="164"/>
      <c r="O661" s="164"/>
      <c r="P661" s="164"/>
    </row>
    <row r="662" ht="12.75" customHeight="1">
      <c r="C662" s="164"/>
      <c r="D662" s="164"/>
      <c r="E662" s="164"/>
      <c r="F662" s="164"/>
      <c r="G662" s="164"/>
      <c r="H662" s="164"/>
      <c r="I662" s="164"/>
      <c r="J662" s="164"/>
      <c r="K662" s="164"/>
      <c r="L662" s="164"/>
      <c r="M662" s="164"/>
      <c r="N662" s="164"/>
      <c r="O662" s="164"/>
      <c r="P662" s="164"/>
    </row>
    <row r="663" ht="12.75" customHeight="1">
      <c r="C663" s="164"/>
      <c r="D663" s="164"/>
      <c r="E663" s="164"/>
      <c r="F663" s="164"/>
      <c r="G663" s="164"/>
      <c r="H663" s="164"/>
      <c r="I663" s="164"/>
      <c r="J663" s="164"/>
      <c r="K663" s="164"/>
      <c r="L663" s="164"/>
      <c r="M663" s="164"/>
      <c r="N663" s="164"/>
      <c r="O663" s="164"/>
      <c r="P663" s="164"/>
    </row>
    <row r="664" ht="12.75" customHeight="1">
      <c r="C664" s="164"/>
      <c r="D664" s="164"/>
      <c r="E664" s="164"/>
      <c r="F664" s="164"/>
      <c r="G664" s="164"/>
      <c r="H664" s="164"/>
      <c r="I664" s="164"/>
      <c r="J664" s="164"/>
      <c r="K664" s="164"/>
      <c r="L664" s="164"/>
      <c r="M664" s="164"/>
      <c r="N664" s="164"/>
      <c r="O664" s="164"/>
      <c r="P664" s="164"/>
    </row>
    <row r="665" ht="12.75" customHeight="1">
      <c r="C665" s="164"/>
      <c r="D665" s="164"/>
      <c r="E665" s="164"/>
      <c r="F665" s="164"/>
      <c r="G665" s="164"/>
      <c r="H665" s="164"/>
      <c r="I665" s="164"/>
      <c r="J665" s="164"/>
      <c r="K665" s="164"/>
      <c r="L665" s="164"/>
      <c r="M665" s="164"/>
      <c r="N665" s="164"/>
      <c r="O665" s="164"/>
      <c r="P665" s="164"/>
    </row>
    <row r="666" ht="12.75" customHeight="1">
      <c r="C666" s="164"/>
      <c r="D666" s="164"/>
      <c r="E666" s="164"/>
      <c r="F666" s="164"/>
      <c r="G666" s="164"/>
      <c r="H666" s="164"/>
      <c r="I666" s="164"/>
      <c r="J666" s="164"/>
      <c r="K666" s="164"/>
      <c r="L666" s="164"/>
      <c r="M666" s="164"/>
      <c r="N666" s="164"/>
      <c r="O666" s="164"/>
      <c r="P666" s="164"/>
    </row>
    <row r="667" ht="12.75" customHeight="1">
      <c r="C667" s="164"/>
      <c r="D667" s="164"/>
      <c r="E667" s="164"/>
      <c r="F667" s="164"/>
      <c r="G667" s="164"/>
      <c r="H667" s="164"/>
      <c r="I667" s="164"/>
      <c r="J667" s="164"/>
      <c r="K667" s="164"/>
      <c r="L667" s="164"/>
      <c r="M667" s="164"/>
      <c r="N667" s="164"/>
      <c r="O667" s="164"/>
      <c r="P667" s="164"/>
    </row>
    <row r="668" ht="12.75" customHeight="1">
      <c r="C668" s="164"/>
      <c r="D668" s="164"/>
      <c r="E668" s="164"/>
      <c r="F668" s="164"/>
      <c r="G668" s="164"/>
      <c r="H668" s="164"/>
      <c r="I668" s="164"/>
      <c r="J668" s="164"/>
      <c r="K668" s="164"/>
      <c r="L668" s="164"/>
      <c r="M668" s="164"/>
      <c r="N668" s="164"/>
      <c r="O668" s="164"/>
      <c r="P668" s="164"/>
    </row>
    <row r="669" ht="12.75" customHeight="1">
      <c r="C669" s="164"/>
      <c r="D669" s="164"/>
      <c r="E669" s="164"/>
      <c r="F669" s="164"/>
      <c r="G669" s="164"/>
      <c r="H669" s="164"/>
      <c r="I669" s="164"/>
      <c r="J669" s="164"/>
      <c r="K669" s="164"/>
      <c r="L669" s="164"/>
      <c r="M669" s="164"/>
      <c r="N669" s="164"/>
      <c r="O669" s="164"/>
      <c r="P669" s="164"/>
    </row>
    <row r="670" ht="12.75" customHeight="1">
      <c r="C670" s="164"/>
      <c r="D670" s="164"/>
      <c r="E670" s="164"/>
      <c r="F670" s="164"/>
      <c r="G670" s="164"/>
      <c r="H670" s="164"/>
      <c r="I670" s="164"/>
      <c r="J670" s="164"/>
      <c r="K670" s="164"/>
      <c r="L670" s="164"/>
      <c r="M670" s="164"/>
      <c r="N670" s="164"/>
      <c r="O670" s="164"/>
      <c r="P670" s="164"/>
    </row>
    <row r="671" ht="12.75" customHeight="1">
      <c r="C671" s="164"/>
      <c r="D671" s="164"/>
      <c r="E671" s="164"/>
      <c r="F671" s="164"/>
      <c r="G671" s="164"/>
      <c r="H671" s="164"/>
      <c r="I671" s="164"/>
      <c r="J671" s="164"/>
      <c r="K671" s="164"/>
      <c r="L671" s="164"/>
      <c r="M671" s="164"/>
      <c r="N671" s="164"/>
      <c r="O671" s="164"/>
      <c r="P671" s="164"/>
    </row>
    <row r="672" ht="12.75" customHeight="1">
      <c r="C672" s="164"/>
      <c r="D672" s="164"/>
      <c r="E672" s="164"/>
      <c r="F672" s="164"/>
      <c r="G672" s="164"/>
      <c r="H672" s="164"/>
      <c r="I672" s="164"/>
      <c r="J672" s="164"/>
      <c r="K672" s="164"/>
      <c r="L672" s="164"/>
      <c r="M672" s="164"/>
      <c r="N672" s="164"/>
      <c r="O672" s="164"/>
      <c r="P672" s="164"/>
    </row>
    <row r="673" ht="12.75" customHeight="1">
      <c r="C673" s="164"/>
      <c r="D673" s="164"/>
      <c r="E673" s="164"/>
      <c r="F673" s="164"/>
      <c r="G673" s="164"/>
      <c r="H673" s="164"/>
      <c r="I673" s="164"/>
      <c r="J673" s="164"/>
      <c r="K673" s="164"/>
      <c r="L673" s="164"/>
      <c r="M673" s="164"/>
      <c r="N673" s="164"/>
      <c r="O673" s="164"/>
      <c r="P673" s="164"/>
    </row>
    <row r="674" ht="12.75" customHeight="1">
      <c r="C674" s="164"/>
      <c r="D674" s="164"/>
      <c r="E674" s="164"/>
      <c r="F674" s="164"/>
      <c r="G674" s="164"/>
      <c r="H674" s="164"/>
      <c r="I674" s="164"/>
      <c r="J674" s="164"/>
      <c r="K674" s="164"/>
      <c r="L674" s="164"/>
      <c r="M674" s="164"/>
      <c r="N674" s="164"/>
      <c r="O674" s="164"/>
      <c r="P674" s="164"/>
    </row>
    <row r="675" ht="12.75" customHeight="1">
      <c r="C675" s="164"/>
      <c r="D675" s="164"/>
      <c r="E675" s="164"/>
      <c r="F675" s="164"/>
      <c r="G675" s="164"/>
      <c r="H675" s="164"/>
      <c r="I675" s="164"/>
      <c r="J675" s="164"/>
      <c r="K675" s="164"/>
      <c r="L675" s="164"/>
      <c r="M675" s="164"/>
      <c r="N675" s="164"/>
      <c r="O675" s="164"/>
      <c r="P675" s="164"/>
    </row>
    <row r="676" ht="12.75" customHeight="1">
      <c r="C676" s="164"/>
      <c r="D676" s="164"/>
      <c r="E676" s="164"/>
      <c r="F676" s="164"/>
      <c r="G676" s="164"/>
      <c r="H676" s="164"/>
      <c r="I676" s="164"/>
      <c r="J676" s="164"/>
      <c r="K676" s="164"/>
      <c r="L676" s="164"/>
      <c r="M676" s="164"/>
      <c r="N676" s="164"/>
      <c r="O676" s="164"/>
      <c r="P676" s="164"/>
    </row>
    <row r="677" ht="12.75" customHeight="1">
      <c r="C677" s="164"/>
      <c r="D677" s="164"/>
      <c r="E677" s="164"/>
      <c r="F677" s="164"/>
      <c r="G677" s="164"/>
      <c r="H677" s="164"/>
      <c r="I677" s="164"/>
      <c r="J677" s="164"/>
      <c r="K677" s="164"/>
      <c r="L677" s="164"/>
      <c r="M677" s="164"/>
      <c r="N677" s="164"/>
      <c r="O677" s="164"/>
      <c r="P677" s="164"/>
    </row>
    <row r="678" ht="12.75" customHeight="1">
      <c r="C678" s="164"/>
      <c r="D678" s="164"/>
      <c r="E678" s="164"/>
      <c r="F678" s="164"/>
      <c r="G678" s="164"/>
      <c r="H678" s="164"/>
      <c r="I678" s="164"/>
      <c r="J678" s="164"/>
      <c r="K678" s="164"/>
      <c r="L678" s="164"/>
      <c r="M678" s="164"/>
      <c r="N678" s="164"/>
      <c r="O678" s="164"/>
      <c r="P678" s="164"/>
    </row>
    <row r="679" ht="12.75" customHeight="1">
      <c r="C679" s="164"/>
      <c r="D679" s="164"/>
      <c r="E679" s="164"/>
      <c r="F679" s="164"/>
      <c r="G679" s="164"/>
      <c r="H679" s="164"/>
      <c r="I679" s="164"/>
      <c r="J679" s="164"/>
      <c r="K679" s="164"/>
      <c r="L679" s="164"/>
      <c r="M679" s="164"/>
      <c r="N679" s="164"/>
      <c r="O679" s="164"/>
      <c r="P679" s="164"/>
    </row>
    <row r="680" ht="12.75" customHeight="1">
      <c r="C680" s="164"/>
      <c r="D680" s="164"/>
      <c r="E680" s="164"/>
      <c r="F680" s="164"/>
      <c r="G680" s="164"/>
      <c r="H680" s="164"/>
      <c r="I680" s="164"/>
      <c r="J680" s="164"/>
      <c r="K680" s="164"/>
      <c r="L680" s="164"/>
      <c r="M680" s="164"/>
      <c r="N680" s="164"/>
      <c r="O680" s="164"/>
      <c r="P680" s="164"/>
    </row>
    <row r="681" ht="12.75" customHeight="1">
      <c r="C681" s="164"/>
      <c r="D681" s="164"/>
      <c r="E681" s="164"/>
      <c r="F681" s="164"/>
      <c r="G681" s="164"/>
      <c r="H681" s="164"/>
      <c r="I681" s="164"/>
      <c r="J681" s="164"/>
      <c r="K681" s="164"/>
      <c r="L681" s="164"/>
      <c r="M681" s="164"/>
      <c r="N681" s="164"/>
      <c r="O681" s="164"/>
      <c r="P681" s="164"/>
    </row>
    <row r="682" ht="12.75" customHeight="1">
      <c r="C682" s="164"/>
      <c r="D682" s="164"/>
      <c r="E682" s="164"/>
      <c r="F682" s="164"/>
      <c r="G682" s="164"/>
      <c r="H682" s="164"/>
      <c r="I682" s="164"/>
      <c r="J682" s="164"/>
      <c r="K682" s="164"/>
      <c r="L682" s="164"/>
      <c r="M682" s="164"/>
      <c r="N682" s="164"/>
      <c r="O682" s="164"/>
      <c r="P682" s="164"/>
    </row>
    <row r="683" ht="12.75" customHeight="1">
      <c r="C683" s="164"/>
      <c r="D683" s="164"/>
      <c r="E683" s="164"/>
      <c r="F683" s="164"/>
      <c r="G683" s="164"/>
      <c r="H683" s="164"/>
      <c r="I683" s="164"/>
      <c r="J683" s="164"/>
      <c r="K683" s="164"/>
      <c r="L683" s="164"/>
      <c r="M683" s="164"/>
      <c r="N683" s="164"/>
      <c r="O683" s="164"/>
      <c r="P683" s="164"/>
    </row>
    <row r="684" ht="12.75" customHeight="1">
      <c r="C684" s="164"/>
      <c r="D684" s="164"/>
      <c r="E684" s="164"/>
      <c r="F684" s="164"/>
      <c r="G684" s="164"/>
      <c r="H684" s="164"/>
      <c r="I684" s="164"/>
      <c r="J684" s="164"/>
      <c r="K684" s="164"/>
      <c r="L684" s="164"/>
      <c r="M684" s="164"/>
      <c r="N684" s="164"/>
      <c r="O684" s="164"/>
      <c r="P684" s="164"/>
    </row>
    <row r="685" ht="12.75" customHeight="1">
      <c r="C685" s="164"/>
      <c r="D685" s="164"/>
      <c r="E685" s="164"/>
      <c r="F685" s="164"/>
      <c r="G685" s="164"/>
      <c r="H685" s="164"/>
      <c r="I685" s="164"/>
      <c r="J685" s="164"/>
      <c r="K685" s="164"/>
      <c r="L685" s="164"/>
      <c r="M685" s="164"/>
      <c r="N685" s="164"/>
      <c r="O685" s="164"/>
      <c r="P685" s="164"/>
    </row>
    <row r="686" ht="12.75" customHeight="1">
      <c r="C686" s="164"/>
      <c r="D686" s="164"/>
      <c r="E686" s="164"/>
      <c r="F686" s="164"/>
      <c r="G686" s="164"/>
      <c r="H686" s="164"/>
      <c r="I686" s="164"/>
      <c r="J686" s="164"/>
      <c r="K686" s="164"/>
      <c r="L686" s="164"/>
      <c r="M686" s="164"/>
      <c r="N686" s="164"/>
      <c r="O686" s="164"/>
      <c r="P686" s="164"/>
    </row>
    <row r="687" ht="12.75" customHeight="1">
      <c r="C687" s="164"/>
      <c r="D687" s="164"/>
      <c r="E687" s="164"/>
      <c r="F687" s="164"/>
      <c r="G687" s="164"/>
      <c r="H687" s="164"/>
      <c r="I687" s="164"/>
      <c r="J687" s="164"/>
      <c r="K687" s="164"/>
      <c r="L687" s="164"/>
      <c r="M687" s="164"/>
      <c r="N687" s="164"/>
      <c r="O687" s="164"/>
      <c r="P687" s="164"/>
    </row>
    <row r="688" ht="12.75" customHeight="1">
      <c r="C688" s="164"/>
      <c r="D688" s="164"/>
      <c r="E688" s="164"/>
      <c r="F688" s="164"/>
      <c r="G688" s="164"/>
      <c r="H688" s="164"/>
      <c r="I688" s="164"/>
      <c r="J688" s="164"/>
      <c r="K688" s="164"/>
      <c r="L688" s="164"/>
      <c r="M688" s="164"/>
      <c r="N688" s="164"/>
      <c r="O688" s="164"/>
      <c r="P688" s="164"/>
    </row>
    <row r="689" ht="12.75" customHeight="1">
      <c r="C689" s="164"/>
      <c r="D689" s="164"/>
      <c r="E689" s="164"/>
      <c r="F689" s="164"/>
      <c r="G689" s="164"/>
      <c r="H689" s="164"/>
      <c r="I689" s="164"/>
      <c r="J689" s="164"/>
      <c r="K689" s="164"/>
      <c r="L689" s="164"/>
      <c r="M689" s="164"/>
      <c r="N689" s="164"/>
      <c r="O689" s="164"/>
      <c r="P689" s="164"/>
    </row>
    <row r="690" ht="12.75" customHeight="1">
      <c r="C690" s="164"/>
      <c r="D690" s="164"/>
      <c r="E690" s="164"/>
      <c r="F690" s="164"/>
      <c r="G690" s="164"/>
      <c r="H690" s="164"/>
      <c r="I690" s="164"/>
      <c r="J690" s="164"/>
      <c r="K690" s="164"/>
      <c r="L690" s="164"/>
      <c r="M690" s="164"/>
      <c r="N690" s="164"/>
      <c r="O690" s="164"/>
      <c r="P690" s="164"/>
    </row>
    <row r="691" ht="12.75" customHeight="1">
      <c r="C691" s="164"/>
      <c r="D691" s="164"/>
      <c r="E691" s="164"/>
      <c r="F691" s="164"/>
      <c r="G691" s="164"/>
      <c r="H691" s="164"/>
      <c r="I691" s="164"/>
      <c r="J691" s="164"/>
      <c r="K691" s="164"/>
      <c r="L691" s="164"/>
      <c r="M691" s="164"/>
      <c r="N691" s="164"/>
      <c r="O691" s="164"/>
      <c r="P691" s="164"/>
    </row>
    <row r="692" ht="12.75" customHeight="1">
      <c r="C692" s="164"/>
      <c r="D692" s="164"/>
      <c r="E692" s="164"/>
      <c r="F692" s="164"/>
      <c r="G692" s="164"/>
      <c r="H692" s="164"/>
      <c r="I692" s="164"/>
      <c r="J692" s="164"/>
      <c r="K692" s="164"/>
      <c r="L692" s="164"/>
      <c r="M692" s="164"/>
      <c r="N692" s="164"/>
      <c r="O692" s="164"/>
      <c r="P692" s="164"/>
    </row>
    <row r="693" ht="12.75" customHeight="1">
      <c r="C693" s="164"/>
      <c r="D693" s="164"/>
      <c r="E693" s="164"/>
      <c r="F693" s="164"/>
      <c r="G693" s="164"/>
      <c r="H693" s="164"/>
      <c r="I693" s="164"/>
      <c r="J693" s="164"/>
      <c r="K693" s="164"/>
      <c r="L693" s="164"/>
      <c r="M693" s="164"/>
      <c r="N693" s="164"/>
      <c r="O693" s="164"/>
      <c r="P693" s="164"/>
    </row>
    <row r="694" ht="12.75" customHeight="1">
      <c r="C694" s="164"/>
      <c r="D694" s="164"/>
      <c r="E694" s="164"/>
      <c r="F694" s="164"/>
      <c r="G694" s="164"/>
      <c r="H694" s="164"/>
      <c r="I694" s="164"/>
      <c r="J694" s="164"/>
      <c r="K694" s="164"/>
      <c r="L694" s="164"/>
      <c r="M694" s="164"/>
      <c r="N694" s="164"/>
      <c r="O694" s="164"/>
      <c r="P694" s="164"/>
    </row>
    <row r="695" ht="12.75" customHeight="1">
      <c r="C695" s="164"/>
      <c r="D695" s="164"/>
      <c r="E695" s="164"/>
      <c r="F695" s="164"/>
      <c r="G695" s="164"/>
      <c r="H695" s="164"/>
      <c r="I695" s="164"/>
      <c r="J695" s="164"/>
      <c r="K695" s="164"/>
      <c r="L695" s="164"/>
      <c r="M695" s="164"/>
      <c r="N695" s="164"/>
      <c r="O695" s="164"/>
      <c r="P695" s="164"/>
    </row>
    <row r="696" ht="12.75" customHeight="1">
      <c r="C696" s="164"/>
      <c r="D696" s="164"/>
      <c r="E696" s="164"/>
      <c r="F696" s="164"/>
      <c r="G696" s="164"/>
      <c r="H696" s="164"/>
      <c r="I696" s="164"/>
      <c r="J696" s="164"/>
      <c r="K696" s="164"/>
      <c r="L696" s="164"/>
      <c r="M696" s="164"/>
      <c r="N696" s="164"/>
      <c r="O696" s="164"/>
      <c r="P696" s="164"/>
    </row>
    <row r="697" ht="12.75" customHeight="1">
      <c r="C697" s="164"/>
      <c r="D697" s="164"/>
      <c r="E697" s="164"/>
      <c r="F697" s="164"/>
      <c r="G697" s="164"/>
      <c r="H697" s="164"/>
      <c r="I697" s="164"/>
      <c r="J697" s="164"/>
      <c r="K697" s="164"/>
      <c r="L697" s="164"/>
      <c r="M697" s="164"/>
      <c r="N697" s="164"/>
      <c r="O697" s="164"/>
      <c r="P697" s="164"/>
    </row>
    <row r="698" ht="12.75" customHeight="1">
      <c r="C698" s="164"/>
      <c r="D698" s="164"/>
      <c r="E698" s="164"/>
      <c r="F698" s="164"/>
      <c r="G698" s="164"/>
      <c r="H698" s="164"/>
      <c r="I698" s="164"/>
      <c r="J698" s="164"/>
      <c r="K698" s="164"/>
      <c r="L698" s="164"/>
      <c r="M698" s="164"/>
      <c r="N698" s="164"/>
      <c r="O698" s="164"/>
      <c r="P698" s="164"/>
    </row>
    <row r="699" ht="12.75" customHeight="1">
      <c r="C699" s="164"/>
      <c r="D699" s="164"/>
      <c r="E699" s="164"/>
      <c r="F699" s="164"/>
      <c r="G699" s="164"/>
      <c r="H699" s="164"/>
      <c r="I699" s="164"/>
      <c r="J699" s="164"/>
      <c r="K699" s="164"/>
      <c r="L699" s="164"/>
      <c r="M699" s="164"/>
      <c r="N699" s="164"/>
      <c r="O699" s="164"/>
      <c r="P699" s="164"/>
    </row>
    <row r="700" ht="12.75" customHeight="1">
      <c r="C700" s="164"/>
      <c r="D700" s="164"/>
      <c r="E700" s="164"/>
      <c r="F700" s="164"/>
      <c r="G700" s="164"/>
      <c r="H700" s="164"/>
      <c r="I700" s="164"/>
      <c r="J700" s="164"/>
      <c r="K700" s="164"/>
      <c r="L700" s="164"/>
      <c r="M700" s="164"/>
      <c r="N700" s="164"/>
      <c r="O700" s="164"/>
      <c r="P700" s="164"/>
    </row>
    <row r="701" ht="12.75" customHeight="1">
      <c r="C701" s="164"/>
      <c r="D701" s="164"/>
      <c r="E701" s="164"/>
      <c r="F701" s="164"/>
      <c r="G701" s="164"/>
      <c r="H701" s="164"/>
      <c r="I701" s="164"/>
      <c r="J701" s="164"/>
      <c r="K701" s="164"/>
      <c r="L701" s="164"/>
      <c r="M701" s="164"/>
      <c r="N701" s="164"/>
      <c r="O701" s="164"/>
      <c r="P701" s="164"/>
    </row>
    <row r="702" ht="12.75" customHeight="1">
      <c r="C702" s="164"/>
      <c r="D702" s="164"/>
      <c r="E702" s="164"/>
      <c r="F702" s="164"/>
      <c r="G702" s="164"/>
      <c r="H702" s="164"/>
      <c r="I702" s="164"/>
      <c r="J702" s="164"/>
      <c r="K702" s="164"/>
      <c r="L702" s="164"/>
      <c r="M702" s="164"/>
      <c r="N702" s="164"/>
      <c r="O702" s="164"/>
      <c r="P702" s="164"/>
    </row>
    <row r="703" ht="12.75" customHeight="1">
      <c r="C703" s="164"/>
      <c r="D703" s="164"/>
      <c r="E703" s="164"/>
      <c r="F703" s="164"/>
      <c r="G703" s="164"/>
      <c r="H703" s="164"/>
      <c r="I703" s="164"/>
      <c r="J703" s="164"/>
      <c r="K703" s="164"/>
      <c r="L703" s="164"/>
      <c r="M703" s="164"/>
      <c r="N703" s="164"/>
      <c r="O703" s="164"/>
      <c r="P703" s="164"/>
    </row>
    <row r="704" ht="12.75" customHeight="1">
      <c r="C704" s="164"/>
      <c r="D704" s="164"/>
      <c r="E704" s="164"/>
      <c r="F704" s="164"/>
      <c r="G704" s="164"/>
      <c r="H704" s="164"/>
      <c r="I704" s="164"/>
      <c r="J704" s="164"/>
      <c r="K704" s="164"/>
      <c r="L704" s="164"/>
      <c r="M704" s="164"/>
      <c r="N704" s="164"/>
      <c r="O704" s="164"/>
      <c r="P704" s="164"/>
    </row>
    <row r="705" ht="12.75" customHeight="1">
      <c r="C705" s="164"/>
      <c r="D705" s="164"/>
      <c r="E705" s="164"/>
      <c r="F705" s="164"/>
      <c r="G705" s="164"/>
      <c r="H705" s="164"/>
      <c r="I705" s="164"/>
      <c r="J705" s="164"/>
      <c r="K705" s="164"/>
      <c r="L705" s="164"/>
      <c r="M705" s="164"/>
      <c r="N705" s="164"/>
      <c r="O705" s="164"/>
      <c r="P705" s="164"/>
    </row>
    <row r="706" ht="12.75" customHeight="1">
      <c r="C706" s="164"/>
      <c r="D706" s="164"/>
      <c r="E706" s="164"/>
      <c r="F706" s="164"/>
      <c r="G706" s="164"/>
      <c r="H706" s="164"/>
      <c r="I706" s="164"/>
      <c r="J706" s="164"/>
      <c r="K706" s="164"/>
      <c r="L706" s="164"/>
      <c r="M706" s="164"/>
      <c r="N706" s="164"/>
      <c r="O706" s="164"/>
      <c r="P706" s="164"/>
    </row>
    <row r="707" ht="12.75" customHeight="1">
      <c r="C707" s="164"/>
      <c r="D707" s="164"/>
      <c r="E707" s="164"/>
      <c r="F707" s="164"/>
      <c r="G707" s="164"/>
      <c r="H707" s="164"/>
      <c r="I707" s="164"/>
      <c r="J707" s="164"/>
      <c r="K707" s="164"/>
      <c r="L707" s="164"/>
      <c r="M707" s="164"/>
      <c r="N707" s="164"/>
      <c r="O707" s="164"/>
      <c r="P707" s="164"/>
    </row>
    <row r="708" ht="12.75" customHeight="1">
      <c r="C708" s="164"/>
      <c r="D708" s="164"/>
      <c r="E708" s="164"/>
      <c r="F708" s="164"/>
      <c r="G708" s="164"/>
      <c r="H708" s="164"/>
      <c r="I708" s="164"/>
      <c r="J708" s="164"/>
      <c r="K708" s="164"/>
      <c r="L708" s="164"/>
      <c r="M708" s="164"/>
      <c r="N708" s="164"/>
      <c r="O708" s="164"/>
      <c r="P708" s="164"/>
    </row>
    <row r="709" ht="12.75" customHeight="1">
      <c r="C709" s="164"/>
      <c r="D709" s="164"/>
      <c r="E709" s="164"/>
      <c r="F709" s="164"/>
      <c r="G709" s="164"/>
      <c r="H709" s="164"/>
      <c r="I709" s="164"/>
      <c r="J709" s="164"/>
      <c r="K709" s="164"/>
      <c r="L709" s="164"/>
      <c r="M709" s="164"/>
      <c r="N709" s="164"/>
      <c r="O709" s="164"/>
      <c r="P709" s="164"/>
    </row>
    <row r="710" ht="12.75" customHeight="1">
      <c r="C710" s="164"/>
      <c r="D710" s="164"/>
      <c r="E710" s="164"/>
      <c r="F710" s="164"/>
      <c r="G710" s="164"/>
      <c r="H710" s="164"/>
      <c r="I710" s="164"/>
      <c r="J710" s="164"/>
      <c r="K710" s="164"/>
      <c r="L710" s="164"/>
      <c r="M710" s="164"/>
      <c r="N710" s="164"/>
      <c r="O710" s="164"/>
      <c r="P710" s="164"/>
    </row>
    <row r="711" ht="12.75" customHeight="1">
      <c r="C711" s="164"/>
      <c r="D711" s="164"/>
      <c r="E711" s="164"/>
      <c r="F711" s="164"/>
      <c r="G711" s="164"/>
      <c r="H711" s="164"/>
      <c r="I711" s="164"/>
      <c r="J711" s="164"/>
      <c r="K711" s="164"/>
      <c r="L711" s="164"/>
      <c r="M711" s="164"/>
      <c r="N711" s="164"/>
      <c r="O711" s="164"/>
      <c r="P711" s="164"/>
    </row>
    <row r="712" ht="12.75" customHeight="1">
      <c r="C712" s="164"/>
      <c r="D712" s="164"/>
      <c r="E712" s="164"/>
      <c r="F712" s="164"/>
      <c r="G712" s="164"/>
      <c r="H712" s="164"/>
      <c r="I712" s="164"/>
      <c r="J712" s="164"/>
      <c r="K712" s="164"/>
      <c r="L712" s="164"/>
      <c r="M712" s="164"/>
      <c r="N712" s="164"/>
      <c r="O712" s="164"/>
      <c r="P712" s="164"/>
    </row>
    <row r="713" ht="12.75" customHeight="1">
      <c r="C713" s="164"/>
      <c r="D713" s="164"/>
      <c r="E713" s="164"/>
      <c r="F713" s="164"/>
      <c r="G713" s="164"/>
      <c r="H713" s="164"/>
      <c r="I713" s="164"/>
      <c r="J713" s="164"/>
      <c r="K713" s="164"/>
      <c r="L713" s="164"/>
      <c r="M713" s="164"/>
      <c r="N713" s="164"/>
      <c r="O713" s="164"/>
      <c r="P713" s="164"/>
    </row>
    <row r="714" ht="12.75" customHeight="1">
      <c r="C714" s="164"/>
      <c r="D714" s="164"/>
      <c r="E714" s="164"/>
      <c r="F714" s="164"/>
      <c r="G714" s="164"/>
      <c r="H714" s="164"/>
      <c r="I714" s="164"/>
      <c r="J714" s="164"/>
      <c r="K714" s="164"/>
      <c r="L714" s="164"/>
      <c r="M714" s="164"/>
      <c r="N714" s="164"/>
      <c r="O714" s="164"/>
      <c r="P714" s="164"/>
    </row>
    <row r="715" ht="12.75" customHeight="1">
      <c r="C715" s="164"/>
      <c r="D715" s="164"/>
      <c r="E715" s="164"/>
      <c r="F715" s="164"/>
      <c r="G715" s="164"/>
      <c r="H715" s="164"/>
      <c r="I715" s="164"/>
      <c r="J715" s="164"/>
      <c r="K715" s="164"/>
      <c r="L715" s="164"/>
      <c r="M715" s="164"/>
      <c r="N715" s="164"/>
      <c r="O715" s="164"/>
      <c r="P715" s="164"/>
    </row>
    <row r="716" ht="12.75" customHeight="1">
      <c r="C716" s="164"/>
      <c r="D716" s="164"/>
      <c r="E716" s="164"/>
      <c r="F716" s="164"/>
      <c r="G716" s="164"/>
      <c r="H716" s="164"/>
      <c r="I716" s="164"/>
      <c r="J716" s="164"/>
      <c r="K716" s="164"/>
      <c r="L716" s="164"/>
      <c r="M716" s="164"/>
      <c r="N716" s="164"/>
      <c r="O716" s="164"/>
      <c r="P716" s="164"/>
    </row>
    <row r="717" ht="12.75" customHeight="1">
      <c r="C717" s="164"/>
      <c r="D717" s="164"/>
      <c r="E717" s="164"/>
      <c r="F717" s="164"/>
      <c r="G717" s="164"/>
      <c r="H717" s="164"/>
      <c r="I717" s="164"/>
      <c r="J717" s="164"/>
      <c r="K717" s="164"/>
      <c r="L717" s="164"/>
      <c r="M717" s="164"/>
      <c r="N717" s="164"/>
      <c r="O717" s="164"/>
      <c r="P717" s="164"/>
    </row>
    <row r="718" ht="12.75" customHeight="1">
      <c r="C718" s="164"/>
      <c r="D718" s="164"/>
      <c r="E718" s="164"/>
      <c r="F718" s="164"/>
      <c r="G718" s="164"/>
      <c r="H718" s="164"/>
      <c r="I718" s="164"/>
      <c r="J718" s="164"/>
      <c r="K718" s="164"/>
      <c r="L718" s="164"/>
      <c r="M718" s="164"/>
      <c r="N718" s="164"/>
      <c r="O718" s="164"/>
      <c r="P718" s="164"/>
    </row>
    <row r="719" ht="12.75" customHeight="1">
      <c r="C719" s="164"/>
      <c r="D719" s="164"/>
      <c r="E719" s="164"/>
      <c r="F719" s="164"/>
      <c r="G719" s="164"/>
      <c r="H719" s="164"/>
      <c r="I719" s="164"/>
      <c r="J719" s="164"/>
      <c r="K719" s="164"/>
      <c r="L719" s="164"/>
      <c r="M719" s="164"/>
      <c r="N719" s="164"/>
      <c r="O719" s="164"/>
      <c r="P719" s="164"/>
    </row>
    <row r="720" ht="12.75" customHeight="1">
      <c r="C720" s="164"/>
      <c r="D720" s="164"/>
      <c r="E720" s="164"/>
      <c r="F720" s="164"/>
      <c r="G720" s="164"/>
      <c r="H720" s="164"/>
      <c r="I720" s="164"/>
      <c r="J720" s="164"/>
      <c r="K720" s="164"/>
      <c r="L720" s="164"/>
      <c r="M720" s="164"/>
      <c r="N720" s="164"/>
      <c r="O720" s="164"/>
      <c r="P720" s="164"/>
    </row>
    <row r="721" ht="12.75" customHeight="1">
      <c r="C721" s="164"/>
      <c r="D721" s="164"/>
      <c r="E721" s="164"/>
      <c r="F721" s="164"/>
      <c r="G721" s="164"/>
      <c r="H721" s="164"/>
      <c r="I721" s="164"/>
      <c r="J721" s="164"/>
      <c r="K721" s="164"/>
      <c r="L721" s="164"/>
      <c r="M721" s="164"/>
      <c r="N721" s="164"/>
      <c r="O721" s="164"/>
      <c r="P721" s="164"/>
    </row>
    <row r="722" ht="12.75" customHeight="1">
      <c r="C722" s="164"/>
      <c r="D722" s="164"/>
      <c r="E722" s="164"/>
      <c r="F722" s="164"/>
      <c r="G722" s="164"/>
      <c r="H722" s="164"/>
      <c r="I722" s="164"/>
      <c r="J722" s="164"/>
      <c r="K722" s="164"/>
      <c r="L722" s="164"/>
      <c r="M722" s="164"/>
      <c r="N722" s="164"/>
      <c r="O722" s="164"/>
      <c r="P722" s="164"/>
    </row>
    <row r="723" ht="12.75" customHeight="1">
      <c r="C723" s="164"/>
      <c r="D723" s="164"/>
      <c r="E723" s="164"/>
      <c r="F723" s="164"/>
      <c r="G723" s="164"/>
      <c r="H723" s="164"/>
      <c r="I723" s="164"/>
      <c r="J723" s="164"/>
      <c r="K723" s="164"/>
      <c r="L723" s="164"/>
      <c r="M723" s="164"/>
      <c r="N723" s="164"/>
      <c r="O723" s="164"/>
      <c r="P723" s="164"/>
    </row>
    <row r="724" ht="12.75" customHeight="1">
      <c r="C724" s="164"/>
      <c r="D724" s="164"/>
      <c r="E724" s="164"/>
      <c r="F724" s="164"/>
      <c r="G724" s="164"/>
      <c r="H724" s="164"/>
      <c r="I724" s="164"/>
      <c r="J724" s="164"/>
      <c r="K724" s="164"/>
      <c r="L724" s="164"/>
      <c r="M724" s="164"/>
      <c r="N724" s="164"/>
      <c r="O724" s="164"/>
      <c r="P724" s="164"/>
    </row>
    <row r="725" ht="12.75" customHeight="1">
      <c r="C725" s="164"/>
      <c r="D725" s="164"/>
      <c r="E725" s="164"/>
      <c r="F725" s="164"/>
      <c r="G725" s="164"/>
      <c r="H725" s="164"/>
      <c r="I725" s="164"/>
      <c r="J725" s="164"/>
      <c r="K725" s="164"/>
      <c r="L725" s="164"/>
      <c r="M725" s="164"/>
      <c r="N725" s="164"/>
      <c r="O725" s="164"/>
      <c r="P725" s="164"/>
    </row>
    <row r="726" ht="12.75" customHeight="1">
      <c r="C726" s="164"/>
      <c r="D726" s="164"/>
      <c r="E726" s="164"/>
      <c r="F726" s="164"/>
      <c r="G726" s="164"/>
      <c r="H726" s="164"/>
      <c r="I726" s="164"/>
      <c r="J726" s="164"/>
      <c r="K726" s="164"/>
      <c r="L726" s="164"/>
      <c r="M726" s="164"/>
      <c r="N726" s="164"/>
      <c r="O726" s="164"/>
      <c r="P726" s="164"/>
    </row>
    <row r="727" ht="12.75" customHeight="1">
      <c r="C727" s="164"/>
      <c r="D727" s="164"/>
      <c r="E727" s="164"/>
      <c r="F727" s="164"/>
      <c r="G727" s="164"/>
      <c r="H727" s="164"/>
      <c r="I727" s="164"/>
      <c r="J727" s="164"/>
      <c r="K727" s="164"/>
      <c r="L727" s="164"/>
      <c r="M727" s="164"/>
      <c r="N727" s="164"/>
      <c r="O727" s="164"/>
      <c r="P727" s="164"/>
    </row>
    <row r="728" ht="12.75" customHeight="1">
      <c r="C728" s="164"/>
      <c r="D728" s="164"/>
      <c r="E728" s="164"/>
      <c r="F728" s="164"/>
      <c r="G728" s="164"/>
      <c r="H728" s="164"/>
      <c r="I728" s="164"/>
      <c r="J728" s="164"/>
      <c r="K728" s="164"/>
      <c r="L728" s="164"/>
      <c r="M728" s="164"/>
      <c r="N728" s="164"/>
      <c r="O728" s="164"/>
      <c r="P728" s="164"/>
    </row>
    <row r="729" ht="12.75" customHeight="1">
      <c r="C729" s="164"/>
      <c r="D729" s="164"/>
      <c r="E729" s="164"/>
      <c r="F729" s="164"/>
      <c r="G729" s="164"/>
      <c r="H729" s="164"/>
      <c r="I729" s="164"/>
      <c r="J729" s="164"/>
      <c r="K729" s="164"/>
      <c r="L729" s="164"/>
      <c r="M729" s="164"/>
      <c r="N729" s="164"/>
      <c r="O729" s="164"/>
      <c r="P729" s="164"/>
    </row>
    <row r="730" ht="12.75" customHeight="1">
      <c r="C730" s="164"/>
      <c r="D730" s="164"/>
      <c r="E730" s="164"/>
      <c r="F730" s="164"/>
      <c r="G730" s="164"/>
      <c r="H730" s="164"/>
      <c r="I730" s="164"/>
      <c r="J730" s="164"/>
      <c r="K730" s="164"/>
      <c r="L730" s="164"/>
      <c r="M730" s="164"/>
      <c r="N730" s="164"/>
      <c r="O730" s="164"/>
      <c r="P730" s="164"/>
    </row>
    <row r="731" ht="12.75" customHeight="1">
      <c r="C731" s="164"/>
      <c r="D731" s="164"/>
      <c r="E731" s="164"/>
      <c r="F731" s="164"/>
      <c r="G731" s="164"/>
      <c r="H731" s="164"/>
      <c r="I731" s="164"/>
      <c r="J731" s="164"/>
      <c r="K731" s="164"/>
      <c r="L731" s="164"/>
      <c r="M731" s="164"/>
      <c r="N731" s="164"/>
      <c r="O731" s="164"/>
      <c r="P731" s="164"/>
    </row>
    <row r="732" ht="12.75" customHeight="1">
      <c r="C732" s="164"/>
      <c r="D732" s="164"/>
      <c r="E732" s="164"/>
      <c r="F732" s="164"/>
      <c r="G732" s="164"/>
      <c r="H732" s="164"/>
      <c r="I732" s="164"/>
      <c r="J732" s="164"/>
      <c r="K732" s="164"/>
      <c r="L732" s="164"/>
      <c r="M732" s="164"/>
      <c r="N732" s="164"/>
      <c r="O732" s="164"/>
      <c r="P732" s="164"/>
    </row>
    <row r="733" ht="12.75" customHeight="1">
      <c r="C733" s="164"/>
      <c r="D733" s="164"/>
      <c r="E733" s="164"/>
      <c r="F733" s="164"/>
      <c r="G733" s="164"/>
      <c r="H733" s="164"/>
      <c r="I733" s="164"/>
      <c r="J733" s="164"/>
      <c r="K733" s="164"/>
      <c r="L733" s="164"/>
      <c r="M733" s="164"/>
      <c r="N733" s="164"/>
      <c r="O733" s="164"/>
      <c r="P733" s="164"/>
    </row>
    <row r="734" ht="12.75" customHeight="1">
      <c r="C734" s="164"/>
      <c r="D734" s="164"/>
      <c r="E734" s="164"/>
      <c r="F734" s="164"/>
      <c r="G734" s="164"/>
      <c r="H734" s="164"/>
      <c r="I734" s="164"/>
      <c r="J734" s="164"/>
      <c r="K734" s="164"/>
      <c r="L734" s="164"/>
      <c r="M734" s="164"/>
      <c r="N734" s="164"/>
      <c r="O734" s="164"/>
      <c r="P734" s="164"/>
    </row>
    <row r="735" ht="12.75" customHeight="1">
      <c r="C735" s="164"/>
      <c r="D735" s="164"/>
      <c r="E735" s="164"/>
      <c r="F735" s="164"/>
      <c r="G735" s="164"/>
      <c r="H735" s="164"/>
      <c r="I735" s="164"/>
      <c r="J735" s="164"/>
      <c r="K735" s="164"/>
      <c r="L735" s="164"/>
      <c r="M735" s="164"/>
      <c r="N735" s="164"/>
      <c r="O735" s="164"/>
      <c r="P735" s="164"/>
    </row>
    <row r="736" ht="12.75" customHeight="1">
      <c r="C736" s="164"/>
      <c r="D736" s="164"/>
      <c r="E736" s="164"/>
      <c r="F736" s="164"/>
      <c r="G736" s="164"/>
      <c r="H736" s="164"/>
      <c r="I736" s="164"/>
      <c r="J736" s="164"/>
      <c r="K736" s="164"/>
      <c r="L736" s="164"/>
      <c r="M736" s="164"/>
      <c r="N736" s="164"/>
      <c r="O736" s="164"/>
      <c r="P736" s="164"/>
    </row>
    <row r="737" ht="12.75" customHeight="1">
      <c r="C737" s="164"/>
      <c r="D737" s="164"/>
      <c r="E737" s="164"/>
      <c r="F737" s="164"/>
      <c r="G737" s="164"/>
      <c r="H737" s="164"/>
      <c r="I737" s="164"/>
      <c r="J737" s="164"/>
      <c r="K737" s="164"/>
      <c r="L737" s="164"/>
      <c r="M737" s="164"/>
      <c r="N737" s="164"/>
      <c r="O737" s="164"/>
      <c r="P737" s="164"/>
    </row>
    <row r="738" ht="12.75" customHeight="1">
      <c r="C738" s="164"/>
      <c r="D738" s="164"/>
      <c r="E738" s="164"/>
      <c r="F738" s="164"/>
      <c r="G738" s="164"/>
      <c r="H738" s="164"/>
      <c r="I738" s="164"/>
      <c r="J738" s="164"/>
      <c r="K738" s="164"/>
      <c r="L738" s="164"/>
      <c r="M738" s="164"/>
      <c r="N738" s="164"/>
      <c r="O738" s="164"/>
      <c r="P738" s="164"/>
    </row>
    <row r="739" ht="12.75" customHeight="1">
      <c r="C739" s="164"/>
      <c r="D739" s="164"/>
      <c r="E739" s="164"/>
      <c r="F739" s="164"/>
      <c r="G739" s="164"/>
      <c r="H739" s="164"/>
      <c r="I739" s="164"/>
      <c r="J739" s="164"/>
      <c r="K739" s="164"/>
      <c r="L739" s="164"/>
      <c r="M739" s="164"/>
      <c r="N739" s="164"/>
      <c r="O739" s="164"/>
      <c r="P739" s="164"/>
    </row>
    <row r="740" ht="12.75" customHeight="1">
      <c r="C740" s="164"/>
      <c r="D740" s="164"/>
      <c r="E740" s="164"/>
      <c r="F740" s="164"/>
      <c r="G740" s="164"/>
      <c r="H740" s="164"/>
      <c r="I740" s="164"/>
      <c r="J740" s="164"/>
      <c r="K740" s="164"/>
      <c r="L740" s="164"/>
      <c r="M740" s="164"/>
      <c r="N740" s="164"/>
      <c r="O740" s="164"/>
      <c r="P740" s="164"/>
    </row>
    <row r="741" ht="12.75" customHeight="1">
      <c r="C741" s="164"/>
      <c r="D741" s="164"/>
      <c r="E741" s="164"/>
      <c r="F741" s="164"/>
      <c r="G741" s="164"/>
      <c r="H741" s="164"/>
      <c r="I741" s="164"/>
      <c r="J741" s="164"/>
      <c r="K741" s="164"/>
      <c r="L741" s="164"/>
      <c r="M741" s="164"/>
      <c r="N741" s="164"/>
      <c r="O741" s="164"/>
      <c r="P741" s="164"/>
    </row>
    <row r="742" ht="12.75" customHeight="1">
      <c r="C742" s="164"/>
      <c r="D742" s="164"/>
      <c r="E742" s="164"/>
      <c r="F742" s="164"/>
      <c r="G742" s="164"/>
      <c r="H742" s="164"/>
      <c r="I742" s="164"/>
      <c r="J742" s="164"/>
      <c r="K742" s="164"/>
      <c r="L742" s="164"/>
      <c r="M742" s="164"/>
      <c r="N742" s="164"/>
      <c r="O742" s="164"/>
      <c r="P742" s="164"/>
    </row>
    <row r="743" ht="12.75" customHeight="1">
      <c r="C743" s="164"/>
      <c r="D743" s="164"/>
      <c r="E743" s="164"/>
      <c r="F743" s="164"/>
      <c r="G743" s="164"/>
      <c r="H743" s="164"/>
      <c r="I743" s="164"/>
      <c r="J743" s="164"/>
      <c r="K743" s="164"/>
      <c r="L743" s="164"/>
      <c r="M743" s="164"/>
      <c r="N743" s="164"/>
      <c r="O743" s="164"/>
      <c r="P743" s="164"/>
    </row>
    <row r="744" ht="12.75" customHeight="1">
      <c r="C744" s="164"/>
      <c r="D744" s="164"/>
      <c r="E744" s="164"/>
      <c r="F744" s="164"/>
      <c r="G744" s="164"/>
      <c r="H744" s="164"/>
      <c r="I744" s="164"/>
      <c r="J744" s="164"/>
      <c r="K744" s="164"/>
      <c r="L744" s="164"/>
      <c r="M744" s="164"/>
      <c r="N744" s="164"/>
      <c r="O744" s="164"/>
      <c r="P744" s="164"/>
    </row>
    <row r="745" ht="12.75" customHeight="1">
      <c r="C745" s="164"/>
      <c r="D745" s="164"/>
      <c r="E745" s="164"/>
      <c r="F745" s="164"/>
      <c r="G745" s="164"/>
      <c r="H745" s="164"/>
      <c r="I745" s="164"/>
      <c r="J745" s="164"/>
      <c r="K745" s="164"/>
      <c r="L745" s="164"/>
      <c r="M745" s="164"/>
      <c r="N745" s="164"/>
      <c r="O745" s="164"/>
      <c r="P745" s="164"/>
    </row>
    <row r="746" ht="12.75" customHeight="1">
      <c r="C746" s="164"/>
      <c r="D746" s="164"/>
      <c r="E746" s="164"/>
      <c r="F746" s="164"/>
      <c r="G746" s="164"/>
      <c r="H746" s="164"/>
      <c r="I746" s="164"/>
      <c r="J746" s="164"/>
      <c r="K746" s="164"/>
      <c r="L746" s="164"/>
      <c r="M746" s="164"/>
      <c r="N746" s="164"/>
      <c r="O746" s="164"/>
      <c r="P746" s="164"/>
    </row>
    <row r="747" ht="12.75" customHeight="1">
      <c r="C747" s="164"/>
      <c r="D747" s="164"/>
      <c r="E747" s="164"/>
      <c r="F747" s="164"/>
      <c r="G747" s="164"/>
      <c r="H747" s="164"/>
      <c r="I747" s="164"/>
      <c r="J747" s="164"/>
      <c r="K747" s="164"/>
      <c r="L747" s="164"/>
      <c r="M747" s="164"/>
      <c r="N747" s="164"/>
      <c r="O747" s="164"/>
      <c r="P747" s="164"/>
    </row>
    <row r="748" ht="12.75" customHeight="1">
      <c r="C748" s="164"/>
      <c r="D748" s="164"/>
      <c r="E748" s="164"/>
      <c r="F748" s="164"/>
      <c r="G748" s="164"/>
      <c r="H748" s="164"/>
      <c r="I748" s="164"/>
      <c r="J748" s="164"/>
      <c r="K748" s="164"/>
      <c r="L748" s="164"/>
      <c r="M748" s="164"/>
      <c r="N748" s="164"/>
      <c r="O748" s="164"/>
      <c r="P748" s="164"/>
    </row>
    <row r="749" ht="12.75" customHeight="1">
      <c r="C749" s="164"/>
      <c r="D749" s="164"/>
      <c r="E749" s="164"/>
      <c r="F749" s="164"/>
      <c r="G749" s="164"/>
      <c r="H749" s="164"/>
      <c r="I749" s="164"/>
      <c r="J749" s="164"/>
      <c r="K749" s="164"/>
      <c r="L749" s="164"/>
      <c r="M749" s="164"/>
      <c r="N749" s="164"/>
      <c r="O749" s="164"/>
      <c r="P749" s="164"/>
    </row>
    <row r="750" ht="12.75" customHeight="1">
      <c r="C750" s="164"/>
      <c r="D750" s="164"/>
      <c r="E750" s="164"/>
      <c r="F750" s="164"/>
      <c r="G750" s="164"/>
      <c r="H750" s="164"/>
      <c r="I750" s="164"/>
      <c r="J750" s="164"/>
      <c r="K750" s="164"/>
      <c r="L750" s="164"/>
      <c r="M750" s="164"/>
      <c r="N750" s="164"/>
      <c r="O750" s="164"/>
      <c r="P750" s="164"/>
    </row>
    <row r="751" ht="12.75" customHeight="1">
      <c r="C751" s="164"/>
      <c r="D751" s="164"/>
      <c r="E751" s="164"/>
      <c r="F751" s="164"/>
      <c r="G751" s="164"/>
      <c r="H751" s="164"/>
      <c r="I751" s="164"/>
      <c r="J751" s="164"/>
      <c r="K751" s="164"/>
      <c r="L751" s="164"/>
      <c r="M751" s="164"/>
      <c r="N751" s="164"/>
      <c r="O751" s="164"/>
      <c r="P751" s="164"/>
    </row>
    <row r="752" ht="12.75" customHeight="1">
      <c r="C752" s="164"/>
      <c r="D752" s="164"/>
      <c r="E752" s="164"/>
      <c r="F752" s="164"/>
      <c r="G752" s="164"/>
      <c r="H752" s="164"/>
      <c r="I752" s="164"/>
      <c r="J752" s="164"/>
      <c r="K752" s="164"/>
      <c r="L752" s="164"/>
      <c r="M752" s="164"/>
      <c r="N752" s="164"/>
      <c r="O752" s="164"/>
      <c r="P752" s="164"/>
    </row>
    <row r="753" ht="12.75" customHeight="1">
      <c r="C753" s="164"/>
      <c r="D753" s="164"/>
      <c r="E753" s="164"/>
      <c r="F753" s="164"/>
      <c r="G753" s="164"/>
      <c r="H753" s="164"/>
      <c r="I753" s="164"/>
      <c r="J753" s="164"/>
      <c r="K753" s="164"/>
      <c r="L753" s="164"/>
      <c r="M753" s="164"/>
      <c r="N753" s="164"/>
      <c r="O753" s="164"/>
      <c r="P753" s="164"/>
    </row>
    <row r="754" ht="12.75" customHeight="1">
      <c r="C754" s="164"/>
      <c r="D754" s="164"/>
      <c r="E754" s="164"/>
      <c r="F754" s="164"/>
      <c r="G754" s="164"/>
      <c r="H754" s="164"/>
      <c r="I754" s="164"/>
      <c r="J754" s="164"/>
      <c r="K754" s="164"/>
      <c r="L754" s="164"/>
      <c r="M754" s="164"/>
      <c r="N754" s="164"/>
      <c r="O754" s="164"/>
      <c r="P754" s="164"/>
    </row>
    <row r="755" ht="12.75" customHeight="1">
      <c r="C755" s="164"/>
      <c r="D755" s="164"/>
      <c r="E755" s="164"/>
      <c r="F755" s="164"/>
      <c r="G755" s="164"/>
      <c r="H755" s="164"/>
      <c r="I755" s="164"/>
      <c r="J755" s="164"/>
      <c r="K755" s="164"/>
      <c r="L755" s="164"/>
      <c r="M755" s="164"/>
      <c r="N755" s="164"/>
      <c r="O755" s="164"/>
      <c r="P755" s="164"/>
    </row>
    <row r="756" ht="12.75" customHeight="1">
      <c r="C756" s="164"/>
      <c r="D756" s="164"/>
      <c r="E756" s="164"/>
      <c r="F756" s="164"/>
      <c r="G756" s="164"/>
      <c r="H756" s="164"/>
      <c r="I756" s="164"/>
      <c r="J756" s="164"/>
      <c r="K756" s="164"/>
      <c r="L756" s="164"/>
      <c r="M756" s="164"/>
      <c r="N756" s="164"/>
      <c r="O756" s="164"/>
      <c r="P756" s="164"/>
    </row>
    <row r="757" ht="12.75" customHeight="1">
      <c r="C757" s="164"/>
      <c r="D757" s="164"/>
      <c r="E757" s="164"/>
      <c r="F757" s="164"/>
      <c r="G757" s="164"/>
      <c r="H757" s="164"/>
      <c r="I757" s="164"/>
      <c r="J757" s="164"/>
      <c r="K757" s="164"/>
      <c r="L757" s="164"/>
      <c r="M757" s="164"/>
      <c r="N757" s="164"/>
      <c r="O757" s="164"/>
      <c r="P757" s="164"/>
    </row>
    <row r="758" ht="12.75" customHeight="1">
      <c r="C758" s="164"/>
      <c r="D758" s="164"/>
      <c r="E758" s="164"/>
      <c r="F758" s="164"/>
      <c r="G758" s="164"/>
      <c r="H758" s="164"/>
      <c r="I758" s="164"/>
      <c r="J758" s="164"/>
      <c r="K758" s="164"/>
      <c r="L758" s="164"/>
      <c r="M758" s="164"/>
      <c r="N758" s="164"/>
      <c r="O758" s="164"/>
      <c r="P758" s="164"/>
    </row>
    <row r="759" ht="12.75" customHeight="1">
      <c r="C759" s="164"/>
      <c r="D759" s="164"/>
      <c r="E759" s="164"/>
      <c r="F759" s="164"/>
      <c r="G759" s="164"/>
      <c r="H759" s="164"/>
      <c r="I759" s="164"/>
      <c r="J759" s="164"/>
      <c r="K759" s="164"/>
      <c r="L759" s="164"/>
      <c r="M759" s="164"/>
      <c r="N759" s="164"/>
      <c r="O759" s="164"/>
      <c r="P759" s="164"/>
    </row>
    <row r="760" ht="12.75" customHeight="1">
      <c r="C760" s="164"/>
      <c r="D760" s="164"/>
      <c r="E760" s="164"/>
      <c r="F760" s="164"/>
      <c r="G760" s="164"/>
      <c r="H760" s="164"/>
      <c r="I760" s="164"/>
      <c r="J760" s="164"/>
      <c r="K760" s="164"/>
      <c r="L760" s="164"/>
      <c r="M760" s="164"/>
      <c r="N760" s="164"/>
      <c r="O760" s="164"/>
      <c r="P760" s="164"/>
    </row>
    <row r="761" ht="12.75" customHeight="1">
      <c r="C761" s="164"/>
      <c r="D761" s="164"/>
      <c r="E761" s="164"/>
      <c r="F761" s="164"/>
      <c r="G761" s="164"/>
      <c r="H761" s="164"/>
      <c r="I761" s="164"/>
      <c r="J761" s="164"/>
      <c r="K761" s="164"/>
      <c r="L761" s="164"/>
      <c r="M761" s="164"/>
      <c r="N761" s="164"/>
      <c r="O761" s="164"/>
      <c r="P761" s="164"/>
    </row>
    <row r="762" ht="12.75" customHeight="1">
      <c r="C762" s="164"/>
      <c r="D762" s="164"/>
      <c r="E762" s="164"/>
      <c r="F762" s="164"/>
      <c r="G762" s="164"/>
      <c r="H762" s="164"/>
      <c r="I762" s="164"/>
      <c r="J762" s="164"/>
      <c r="K762" s="164"/>
      <c r="L762" s="164"/>
      <c r="M762" s="164"/>
      <c r="N762" s="164"/>
      <c r="O762" s="164"/>
      <c r="P762" s="164"/>
    </row>
    <row r="763" ht="12.75" customHeight="1">
      <c r="C763" s="164"/>
      <c r="D763" s="164"/>
      <c r="E763" s="164"/>
      <c r="F763" s="164"/>
      <c r="G763" s="164"/>
      <c r="H763" s="164"/>
      <c r="I763" s="164"/>
      <c r="J763" s="164"/>
      <c r="K763" s="164"/>
      <c r="L763" s="164"/>
      <c r="M763" s="164"/>
      <c r="N763" s="164"/>
      <c r="O763" s="164"/>
      <c r="P763" s="164"/>
    </row>
    <row r="764" ht="12.75" customHeight="1">
      <c r="C764" s="164"/>
      <c r="D764" s="164"/>
      <c r="E764" s="164"/>
      <c r="F764" s="164"/>
      <c r="G764" s="164"/>
      <c r="H764" s="164"/>
      <c r="I764" s="164"/>
      <c r="J764" s="164"/>
      <c r="K764" s="164"/>
      <c r="L764" s="164"/>
      <c r="M764" s="164"/>
      <c r="N764" s="164"/>
      <c r="O764" s="164"/>
      <c r="P764" s="164"/>
    </row>
    <row r="765" ht="12.75" customHeight="1">
      <c r="C765" s="164"/>
      <c r="D765" s="164"/>
      <c r="E765" s="164"/>
      <c r="F765" s="164"/>
      <c r="G765" s="164"/>
      <c r="H765" s="164"/>
      <c r="I765" s="164"/>
      <c r="J765" s="164"/>
      <c r="K765" s="164"/>
      <c r="L765" s="164"/>
      <c r="M765" s="164"/>
      <c r="N765" s="164"/>
      <c r="O765" s="164"/>
      <c r="P765" s="164"/>
    </row>
    <row r="766" ht="12.75" customHeight="1">
      <c r="C766" s="164"/>
      <c r="D766" s="164"/>
      <c r="E766" s="164"/>
      <c r="F766" s="164"/>
      <c r="G766" s="164"/>
      <c r="H766" s="164"/>
      <c r="I766" s="164"/>
      <c r="J766" s="164"/>
      <c r="K766" s="164"/>
      <c r="L766" s="164"/>
      <c r="M766" s="164"/>
      <c r="N766" s="164"/>
      <c r="O766" s="164"/>
      <c r="P766" s="164"/>
    </row>
    <row r="767" ht="12.75" customHeight="1">
      <c r="C767" s="164"/>
      <c r="D767" s="164"/>
      <c r="E767" s="164"/>
      <c r="F767" s="164"/>
      <c r="G767" s="164"/>
      <c r="H767" s="164"/>
      <c r="I767" s="164"/>
      <c r="J767" s="164"/>
      <c r="K767" s="164"/>
      <c r="L767" s="164"/>
      <c r="M767" s="164"/>
      <c r="N767" s="164"/>
      <c r="O767" s="164"/>
      <c r="P767" s="164"/>
    </row>
    <row r="768" ht="12.75" customHeight="1">
      <c r="C768" s="164"/>
      <c r="D768" s="164"/>
      <c r="E768" s="164"/>
      <c r="F768" s="164"/>
      <c r="G768" s="164"/>
      <c r="H768" s="164"/>
      <c r="I768" s="164"/>
      <c r="J768" s="164"/>
      <c r="K768" s="164"/>
      <c r="L768" s="164"/>
      <c r="M768" s="164"/>
      <c r="N768" s="164"/>
      <c r="O768" s="164"/>
      <c r="P768" s="164"/>
    </row>
    <row r="769" ht="12.75" customHeight="1">
      <c r="C769" s="164"/>
      <c r="D769" s="164"/>
      <c r="E769" s="164"/>
      <c r="F769" s="164"/>
      <c r="G769" s="164"/>
      <c r="H769" s="164"/>
      <c r="I769" s="164"/>
      <c r="J769" s="164"/>
      <c r="K769" s="164"/>
      <c r="L769" s="164"/>
      <c r="M769" s="164"/>
      <c r="N769" s="164"/>
      <c r="O769" s="164"/>
      <c r="P769" s="164"/>
    </row>
    <row r="770" ht="12.75" customHeight="1">
      <c r="C770" s="164"/>
      <c r="D770" s="164"/>
      <c r="E770" s="164"/>
      <c r="F770" s="164"/>
      <c r="G770" s="164"/>
      <c r="H770" s="164"/>
      <c r="I770" s="164"/>
      <c r="J770" s="164"/>
      <c r="K770" s="164"/>
      <c r="L770" s="164"/>
      <c r="M770" s="164"/>
      <c r="N770" s="164"/>
      <c r="O770" s="164"/>
      <c r="P770" s="164"/>
    </row>
    <row r="771" ht="12.75" customHeight="1">
      <c r="C771" s="164"/>
      <c r="D771" s="164"/>
      <c r="E771" s="164"/>
      <c r="F771" s="164"/>
      <c r="G771" s="164"/>
      <c r="H771" s="164"/>
      <c r="I771" s="164"/>
      <c r="J771" s="164"/>
      <c r="K771" s="164"/>
      <c r="L771" s="164"/>
      <c r="M771" s="164"/>
      <c r="N771" s="164"/>
      <c r="O771" s="164"/>
      <c r="P771" s="164"/>
    </row>
    <row r="772" ht="12.75" customHeight="1">
      <c r="C772" s="164"/>
      <c r="D772" s="164"/>
      <c r="E772" s="164"/>
      <c r="F772" s="164"/>
      <c r="G772" s="164"/>
      <c r="H772" s="164"/>
      <c r="I772" s="164"/>
      <c r="J772" s="164"/>
      <c r="K772" s="164"/>
      <c r="L772" s="164"/>
      <c r="M772" s="164"/>
      <c r="N772" s="164"/>
      <c r="O772" s="164"/>
      <c r="P772" s="164"/>
    </row>
    <row r="773" ht="12.75" customHeight="1">
      <c r="C773" s="164"/>
      <c r="D773" s="164"/>
      <c r="E773" s="164"/>
      <c r="F773" s="164"/>
      <c r="G773" s="164"/>
      <c r="H773" s="164"/>
      <c r="I773" s="164"/>
      <c r="J773" s="164"/>
      <c r="K773" s="164"/>
      <c r="L773" s="164"/>
      <c r="M773" s="164"/>
      <c r="N773" s="164"/>
      <c r="O773" s="164"/>
      <c r="P773" s="164"/>
    </row>
    <row r="774" ht="12.75" customHeight="1">
      <c r="C774" s="164"/>
      <c r="D774" s="164"/>
      <c r="E774" s="164"/>
      <c r="F774" s="164"/>
      <c r="G774" s="164"/>
      <c r="H774" s="164"/>
      <c r="I774" s="164"/>
      <c r="J774" s="164"/>
      <c r="K774" s="164"/>
      <c r="L774" s="164"/>
      <c r="M774" s="164"/>
      <c r="N774" s="164"/>
      <c r="O774" s="164"/>
      <c r="P774" s="164"/>
    </row>
    <row r="775" ht="12.75" customHeight="1">
      <c r="C775" s="164"/>
      <c r="D775" s="164"/>
      <c r="E775" s="164"/>
      <c r="F775" s="164"/>
      <c r="G775" s="164"/>
      <c r="H775" s="164"/>
      <c r="I775" s="164"/>
      <c r="J775" s="164"/>
      <c r="K775" s="164"/>
      <c r="L775" s="164"/>
      <c r="M775" s="164"/>
      <c r="N775" s="164"/>
      <c r="O775" s="164"/>
      <c r="P775" s="164"/>
    </row>
    <row r="776" ht="12.75" customHeight="1">
      <c r="C776" s="164"/>
      <c r="D776" s="164"/>
      <c r="E776" s="164"/>
      <c r="F776" s="164"/>
      <c r="G776" s="164"/>
      <c r="H776" s="164"/>
      <c r="I776" s="164"/>
      <c r="J776" s="164"/>
      <c r="K776" s="164"/>
      <c r="L776" s="164"/>
      <c r="M776" s="164"/>
      <c r="N776" s="164"/>
      <c r="O776" s="164"/>
      <c r="P776" s="164"/>
    </row>
    <row r="777" ht="12.75" customHeight="1">
      <c r="C777" s="164"/>
      <c r="D777" s="164"/>
      <c r="E777" s="164"/>
      <c r="F777" s="164"/>
      <c r="G777" s="164"/>
      <c r="H777" s="164"/>
      <c r="I777" s="164"/>
      <c r="J777" s="164"/>
      <c r="K777" s="164"/>
      <c r="L777" s="164"/>
      <c r="M777" s="164"/>
      <c r="N777" s="164"/>
      <c r="O777" s="164"/>
      <c r="P777" s="164"/>
    </row>
    <row r="778" ht="12.75" customHeight="1">
      <c r="C778" s="164"/>
      <c r="D778" s="164"/>
      <c r="E778" s="164"/>
      <c r="F778" s="164"/>
      <c r="G778" s="164"/>
      <c r="H778" s="164"/>
      <c r="I778" s="164"/>
      <c r="J778" s="164"/>
      <c r="K778" s="164"/>
      <c r="L778" s="164"/>
      <c r="M778" s="164"/>
      <c r="N778" s="164"/>
      <c r="O778" s="164"/>
      <c r="P778" s="164"/>
    </row>
    <row r="779" ht="12.75" customHeight="1">
      <c r="C779" s="164"/>
      <c r="D779" s="164"/>
      <c r="E779" s="164"/>
      <c r="F779" s="164"/>
      <c r="G779" s="164"/>
      <c r="H779" s="164"/>
      <c r="I779" s="164"/>
      <c r="J779" s="164"/>
      <c r="K779" s="164"/>
      <c r="L779" s="164"/>
      <c r="M779" s="164"/>
      <c r="N779" s="164"/>
      <c r="O779" s="164"/>
      <c r="P779" s="164"/>
    </row>
    <row r="780" ht="12.75" customHeight="1">
      <c r="C780" s="164"/>
      <c r="D780" s="164"/>
      <c r="E780" s="164"/>
      <c r="F780" s="164"/>
      <c r="G780" s="164"/>
      <c r="H780" s="164"/>
      <c r="I780" s="164"/>
      <c r="J780" s="164"/>
      <c r="K780" s="164"/>
      <c r="L780" s="164"/>
      <c r="M780" s="164"/>
      <c r="N780" s="164"/>
      <c r="O780" s="164"/>
      <c r="P780" s="164"/>
    </row>
    <row r="781" ht="12.75" customHeight="1">
      <c r="C781" s="164"/>
      <c r="D781" s="164"/>
      <c r="E781" s="164"/>
      <c r="F781" s="164"/>
      <c r="G781" s="164"/>
      <c r="H781" s="164"/>
      <c r="I781" s="164"/>
      <c r="J781" s="164"/>
      <c r="K781" s="164"/>
      <c r="L781" s="164"/>
      <c r="M781" s="164"/>
      <c r="N781" s="164"/>
      <c r="O781" s="164"/>
      <c r="P781" s="164"/>
    </row>
    <row r="782" ht="12.75" customHeight="1">
      <c r="C782" s="164"/>
      <c r="D782" s="164"/>
      <c r="E782" s="164"/>
      <c r="F782" s="164"/>
      <c r="G782" s="164"/>
      <c r="H782" s="164"/>
      <c r="I782" s="164"/>
      <c r="J782" s="164"/>
      <c r="K782" s="164"/>
      <c r="L782" s="164"/>
      <c r="M782" s="164"/>
      <c r="N782" s="164"/>
      <c r="O782" s="164"/>
      <c r="P782" s="164"/>
    </row>
    <row r="783" ht="12.75" customHeight="1">
      <c r="C783" s="164"/>
      <c r="D783" s="164"/>
      <c r="E783" s="164"/>
      <c r="F783" s="164"/>
      <c r="G783" s="164"/>
      <c r="H783" s="164"/>
      <c r="I783" s="164"/>
      <c r="J783" s="164"/>
      <c r="K783" s="164"/>
      <c r="L783" s="164"/>
      <c r="M783" s="164"/>
      <c r="N783" s="164"/>
      <c r="O783" s="164"/>
      <c r="P783" s="164"/>
    </row>
    <row r="784" ht="12.75" customHeight="1">
      <c r="C784" s="164"/>
      <c r="D784" s="164"/>
      <c r="E784" s="164"/>
      <c r="F784" s="164"/>
      <c r="G784" s="164"/>
      <c r="H784" s="164"/>
      <c r="I784" s="164"/>
      <c r="J784" s="164"/>
      <c r="K784" s="164"/>
      <c r="L784" s="164"/>
      <c r="M784" s="164"/>
      <c r="N784" s="164"/>
      <c r="O784" s="164"/>
      <c r="P784" s="164"/>
    </row>
    <row r="785" ht="12.75" customHeight="1">
      <c r="C785" s="164"/>
      <c r="D785" s="164"/>
      <c r="E785" s="164"/>
      <c r="F785" s="164"/>
      <c r="G785" s="164"/>
      <c r="H785" s="164"/>
      <c r="I785" s="164"/>
      <c r="J785" s="164"/>
      <c r="K785" s="164"/>
      <c r="L785" s="164"/>
      <c r="M785" s="164"/>
      <c r="N785" s="164"/>
      <c r="O785" s="164"/>
      <c r="P785" s="164"/>
    </row>
    <row r="786" ht="12.75" customHeight="1">
      <c r="C786" s="164"/>
      <c r="D786" s="164"/>
      <c r="E786" s="164"/>
      <c r="F786" s="164"/>
      <c r="G786" s="164"/>
      <c r="H786" s="164"/>
      <c r="I786" s="164"/>
      <c r="J786" s="164"/>
      <c r="K786" s="164"/>
      <c r="L786" s="164"/>
      <c r="M786" s="164"/>
      <c r="N786" s="164"/>
      <c r="O786" s="164"/>
      <c r="P786" s="164"/>
    </row>
    <row r="787" ht="12.75" customHeight="1">
      <c r="C787" s="164"/>
      <c r="D787" s="164"/>
      <c r="E787" s="164"/>
      <c r="F787" s="164"/>
      <c r="G787" s="164"/>
      <c r="H787" s="164"/>
      <c r="I787" s="164"/>
      <c r="J787" s="164"/>
      <c r="K787" s="164"/>
      <c r="L787" s="164"/>
      <c r="M787" s="164"/>
      <c r="N787" s="164"/>
      <c r="O787" s="164"/>
      <c r="P787" s="164"/>
    </row>
    <row r="788" ht="12.75" customHeight="1">
      <c r="C788" s="164"/>
      <c r="D788" s="164"/>
      <c r="E788" s="164"/>
      <c r="F788" s="164"/>
      <c r="G788" s="164"/>
      <c r="H788" s="164"/>
      <c r="I788" s="164"/>
      <c r="J788" s="164"/>
      <c r="K788" s="164"/>
      <c r="L788" s="164"/>
      <c r="M788" s="164"/>
      <c r="N788" s="164"/>
      <c r="O788" s="164"/>
      <c r="P788" s="164"/>
    </row>
    <row r="789" ht="12.75" customHeight="1">
      <c r="C789" s="164"/>
      <c r="D789" s="164"/>
      <c r="E789" s="164"/>
      <c r="F789" s="164"/>
      <c r="G789" s="164"/>
      <c r="H789" s="164"/>
      <c r="I789" s="164"/>
      <c r="J789" s="164"/>
      <c r="K789" s="164"/>
      <c r="L789" s="164"/>
      <c r="M789" s="164"/>
      <c r="N789" s="164"/>
      <c r="O789" s="164"/>
      <c r="P789" s="164"/>
    </row>
    <row r="790" ht="12.75" customHeight="1">
      <c r="C790" s="164"/>
      <c r="D790" s="164"/>
      <c r="E790" s="164"/>
      <c r="F790" s="164"/>
      <c r="G790" s="164"/>
      <c r="H790" s="164"/>
      <c r="I790" s="164"/>
      <c r="J790" s="164"/>
      <c r="K790" s="164"/>
      <c r="L790" s="164"/>
      <c r="M790" s="164"/>
      <c r="N790" s="164"/>
      <c r="O790" s="164"/>
      <c r="P790" s="164"/>
    </row>
    <row r="791" ht="12.75" customHeight="1">
      <c r="C791" s="164"/>
      <c r="D791" s="164"/>
      <c r="E791" s="164"/>
      <c r="F791" s="164"/>
      <c r="G791" s="164"/>
      <c r="H791" s="164"/>
      <c r="I791" s="164"/>
      <c r="J791" s="164"/>
      <c r="K791" s="164"/>
      <c r="L791" s="164"/>
      <c r="M791" s="164"/>
      <c r="N791" s="164"/>
      <c r="O791" s="164"/>
      <c r="P791" s="164"/>
    </row>
    <row r="792" ht="12.75" customHeight="1">
      <c r="C792" s="164"/>
      <c r="D792" s="164"/>
      <c r="E792" s="164"/>
      <c r="F792" s="164"/>
      <c r="G792" s="164"/>
      <c r="H792" s="164"/>
      <c r="I792" s="164"/>
      <c r="J792" s="164"/>
      <c r="K792" s="164"/>
      <c r="L792" s="164"/>
      <c r="M792" s="164"/>
      <c r="N792" s="164"/>
      <c r="O792" s="164"/>
      <c r="P792" s="164"/>
    </row>
    <row r="793" ht="12.75" customHeight="1">
      <c r="C793" s="164"/>
      <c r="D793" s="164"/>
      <c r="E793" s="164"/>
      <c r="F793" s="164"/>
      <c r="G793" s="164"/>
      <c r="H793" s="164"/>
      <c r="I793" s="164"/>
      <c r="J793" s="164"/>
      <c r="K793" s="164"/>
      <c r="L793" s="164"/>
      <c r="M793" s="164"/>
      <c r="N793" s="164"/>
      <c r="O793" s="164"/>
      <c r="P793" s="164"/>
    </row>
    <row r="794" ht="12.75" customHeight="1">
      <c r="C794" s="164"/>
      <c r="D794" s="164"/>
      <c r="E794" s="164"/>
      <c r="F794" s="164"/>
      <c r="G794" s="164"/>
      <c r="H794" s="164"/>
      <c r="I794" s="164"/>
      <c r="J794" s="164"/>
      <c r="K794" s="164"/>
      <c r="L794" s="164"/>
      <c r="M794" s="164"/>
      <c r="N794" s="164"/>
      <c r="O794" s="164"/>
      <c r="P794" s="164"/>
    </row>
    <row r="795" ht="12.75" customHeight="1">
      <c r="C795" s="164"/>
      <c r="D795" s="164"/>
      <c r="E795" s="164"/>
      <c r="F795" s="164"/>
      <c r="G795" s="164"/>
      <c r="H795" s="164"/>
      <c r="I795" s="164"/>
      <c r="J795" s="164"/>
      <c r="K795" s="164"/>
      <c r="L795" s="164"/>
      <c r="M795" s="164"/>
      <c r="N795" s="164"/>
      <c r="O795" s="164"/>
      <c r="P795" s="164"/>
    </row>
    <row r="796" ht="12.75" customHeight="1">
      <c r="C796" s="164"/>
      <c r="D796" s="164"/>
      <c r="E796" s="164"/>
      <c r="F796" s="164"/>
      <c r="G796" s="164"/>
      <c r="H796" s="164"/>
      <c r="I796" s="164"/>
      <c r="J796" s="164"/>
      <c r="K796" s="164"/>
      <c r="L796" s="164"/>
      <c r="M796" s="164"/>
      <c r="N796" s="164"/>
      <c r="O796" s="164"/>
      <c r="P796" s="164"/>
    </row>
    <row r="797" ht="12.75" customHeight="1">
      <c r="C797" s="164"/>
      <c r="D797" s="164"/>
      <c r="E797" s="164"/>
      <c r="F797" s="164"/>
      <c r="G797" s="164"/>
      <c r="H797" s="164"/>
      <c r="I797" s="164"/>
      <c r="J797" s="164"/>
      <c r="K797" s="164"/>
      <c r="L797" s="164"/>
      <c r="M797" s="164"/>
      <c r="N797" s="164"/>
      <c r="O797" s="164"/>
      <c r="P797" s="164"/>
    </row>
    <row r="798" ht="12.75" customHeight="1">
      <c r="C798" s="164"/>
      <c r="D798" s="164"/>
      <c r="E798" s="164"/>
      <c r="F798" s="164"/>
      <c r="G798" s="164"/>
      <c r="H798" s="164"/>
      <c r="I798" s="164"/>
      <c r="J798" s="164"/>
      <c r="K798" s="164"/>
      <c r="L798" s="164"/>
      <c r="M798" s="164"/>
      <c r="N798" s="164"/>
      <c r="O798" s="164"/>
      <c r="P798" s="164"/>
    </row>
    <row r="799" ht="12.75" customHeight="1">
      <c r="C799" s="164"/>
      <c r="D799" s="164"/>
      <c r="E799" s="164"/>
      <c r="F799" s="164"/>
      <c r="G799" s="164"/>
      <c r="H799" s="164"/>
      <c r="I799" s="164"/>
      <c r="J799" s="164"/>
      <c r="K799" s="164"/>
      <c r="L799" s="164"/>
      <c r="M799" s="164"/>
      <c r="N799" s="164"/>
      <c r="O799" s="164"/>
      <c r="P799" s="164"/>
    </row>
    <row r="800" ht="12.75" customHeight="1">
      <c r="C800" s="164"/>
      <c r="D800" s="164"/>
      <c r="E800" s="164"/>
      <c r="F800" s="164"/>
      <c r="G800" s="164"/>
      <c r="H800" s="164"/>
      <c r="I800" s="164"/>
      <c r="J800" s="164"/>
      <c r="K800" s="164"/>
      <c r="L800" s="164"/>
      <c r="M800" s="164"/>
      <c r="N800" s="164"/>
      <c r="O800" s="164"/>
      <c r="P800" s="164"/>
    </row>
    <row r="801" ht="12.75" customHeight="1">
      <c r="C801" s="164"/>
      <c r="D801" s="164"/>
      <c r="E801" s="164"/>
      <c r="F801" s="164"/>
      <c r="G801" s="164"/>
      <c r="H801" s="164"/>
      <c r="I801" s="164"/>
      <c r="J801" s="164"/>
      <c r="K801" s="164"/>
      <c r="L801" s="164"/>
      <c r="M801" s="164"/>
      <c r="N801" s="164"/>
      <c r="O801" s="164"/>
      <c r="P801" s="164"/>
    </row>
    <row r="802" ht="12.75" customHeight="1">
      <c r="C802" s="164"/>
      <c r="D802" s="164"/>
      <c r="E802" s="164"/>
      <c r="F802" s="164"/>
      <c r="G802" s="164"/>
      <c r="H802" s="164"/>
      <c r="I802" s="164"/>
      <c r="J802" s="164"/>
      <c r="K802" s="164"/>
      <c r="L802" s="164"/>
      <c r="M802" s="164"/>
      <c r="N802" s="164"/>
      <c r="O802" s="164"/>
      <c r="P802" s="164"/>
    </row>
    <row r="803" ht="12.75" customHeight="1">
      <c r="C803" s="164"/>
      <c r="D803" s="164"/>
      <c r="E803" s="164"/>
      <c r="F803" s="164"/>
      <c r="G803" s="164"/>
      <c r="H803" s="164"/>
      <c r="I803" s="164"/>
      <c r="J803" s="164"/>
      <c r="K803" s="164"/>
      <c r="L803" s="164"/>
      <c r="M803" s="164"/>
      <c r="N803" s="164"/>
      <c r="O803" s="164"/>
      <c r="P803" s="164"/>
    </row>
    <row r="804" ht="12.75" customHeight="1">
      <c r="C804" s="164"/>
      <c r="D804" s="164"/>
      <c r="E804" s="164"/>
      <c r="F804" s="164"/>
      <c r="G804" s="164"/>
      <c r="H804" s="164"/>
      <c r="I804" s="164"/>
      <c r="J804" s="164"/>
      <c r="K804" s="164"/>
      <c r="L804" s="164"/>
      <c r="M804" s="164"/>
      <c r="N804" s="164"/>
      <c r="O804" s="164"/>
      <c r="P804" s="164"/>
    </row>
    <row r="805" ht="12.75" customHeight="1">
      <c r="C805" s="164"/>
      <c r="D805" s="164"/>
      <c r="E805" s="164"/>
      <c r="F805" s="164"/>
      <c r="G805" s="164"/>
      <c r="H805" s="164"/>
      <c r="I805" s="164"/>
      <c r="J805" s="164"/>
      <c r="K805" s="164"/>
      <c r="L805" s="164"/>
      <c r="M805" s="164"/>
      <c r="N805" s="164"/>
      <c r="O805" s="164"/>
      <c r="P805" s="164"/>
    </row>
    <row r="806" ht="12.75" customHeight="1">
      <c r="C806" s="164"/>
      <c r="D806" s="164"/>
      <c r="E806" s="164"/>
      <c r="F806" s="164"/>
      <c r="G806" s="164"/>
      <c r="H806" s="164"/>
      <c r="I806" s="164"/>
      <c r="J806" s="164"/>
      <c r="K806" s="164"/>
      <c r="L806" s="164"/>
      <c r="M806" s="164"/>
      <c r="N806" s="164"/>
      <c r="O806" s="164"/>
      <c r="P806" s="164"/>
    </row>
    <row r="807" ht="12.75" customHeight="1">
      <c r="C807" s="164"/>
      <c r="D807" s="164"/>
      <c r="E807" s="164"/>
      <c r="F807" s="164"/>
      <c r="G807" s="164"/>
      <c r="H807" s="164"/>
      <c r="I807" s="164"/>
      <c r="J807" s="164"/>
      <c r="K807" s="164"/>
      <c r="L807" s="164"/>
      <c r="M807" s="164"/>
      <c r="N807" s="164"/>
      <c r="O807" s="164"/>
      <c r="P807" s="164"/>
    </row>
    <row r="808" ht="12.75" customHeight="1">
      <c r="C808" s="164"/>
      <c r="D808" s="164"/>
      <c r="E808" s="164"/>
      <c r="F808" s="164"/>
      <c r="G808" s="164"/>
      <c r="H808" s="164"/>
      <c r="I808" s="164"/>
      <c r="J808" s="164"/>
      <c r="K808" s="164"/>
      <c r="L808" s="164"/>
      <c r="M808" s="164"/>
      <c r="N808" s="164"/>
      <c r="O808" s="164"/>
      <c r="P808" s="164"/>
    </row>
    <row r="809" ht="12.75" customHeight="1">
      <c r="C809" s="164"/>
      <c r="D809" s="164"/>
      <c r="E809" s="164"/>
      <c r="F809" s="164"/>
      <c r="G809" s="164"/>
      <c r="H809" s="164"/>
      <c r="I809" s="164"/>
      <c r="J809" s="164"/>
      <c r="K809" s="164"/>
      <c r="L809" s="164"/>
      <c r="M809" s="164"/>
      <c r="N809" s="164"/>
      <c r="O809" s="164"/>
      <c r="P809" s="164"/>
    </row>
    <row r="810" ht="12.75" customHeight="1">
      <c r="C810" s="164"/>
      <c r="D810" s="164"/>
      <c r="E810" s="164"/>
      <c r="F810" s="164"/>
      <c r="G810" s="164"/>
      <c r="H810" s="164"/>
      <c r="I810" s="164"/>
      <c r="J810" s="164"/>
      <c r="K810" s="164"/>
      <c r="L810" s="164"/>
      <c r="M810" s="164"/>
      <c r="N810" s="164"/>
      <c r="O810" s="164"/>
      <c r="P810" s="164"/>
    </row>
    <row r="811" ht="12.75" customHeight="1">
      <c r="C811" s="164"/>
      <c r="D811" s="164"/>
      <c r="E811" s="164"/>
      <c r="F811" s="164"/>
      <c r="G811" s="164"/>
      <c r="H811" s="164"/>
      <c r="I811" s="164"/>
      <c r="J811" s="164"/>
      <c r="K811" s="164"/>
      <c r="L811" s="164"/>
      <c r="M811" s="164"/>
      <c r="N811" s="164"/>
      <c r="O811" s="164"/>
      <c r="P811" s="164"/>
    </row>
    <row r="812" ht="12.75" customHeight="1">
      <c r="C812" s="164"/>
      <c r="D812" s="164"/>
      <c r="E812" s="164"/>
      <c r="F812" s="164"/>
      <c r="G812" s="164"/>
      <c r="H812" s="164"/>
      <c r="I812" s="164"/>
      <c r="J812" s="164"/>
      <c r="K812" s="164"/>
      <c r="L812" s="164"/>
      <c r="M812" s="164"/>
      <c r="N812" s="164"/>
      <c r="O812" s="164"/>
      <c r="P812" s="164"/>
    </row>
    <row r="813" ht="12.75" customHeight="1">
      <c r="C813" s="164"/>
      <c r="D813" s="164"/>
      <c r="E813" s="164"/>
      <c r="F813" s="164"/>
      <c r="G813" s="164"/>
      <c r="H813" s="164"/>
      <c r="I813" s="164"/>
      <c r="J813" s="164"/>
      <c r="K813" s="164"/>
      <c r="L813" s="164"/>
      <c r="M813" s="164"/>
      <c r="N813" s="164"/>
      <c r="O813" s="164"/>
      <c r="P813" s="164"/>
    </row>
    <row r="814" ht="12.75" customHeight="1">
      <c r="C814" s="164"/>
      <c r="D814" s="164"/>
      <c r="E814" s="164"/>
      <c r="F814" s="164"/>
      <c r="G814" s="164"/>
      <c r="H814" s="164"/>
      <c r="I814" s="164"/>
      <c r="J814" s="164"/>
      <c r="K814" s="164"/>
      <c r="L814" s="164"/>
      <c r="M814" s="164"/>
      <c r="N814" s="164"/>
      <c r="O814" s="164"/>
      <c r="P814" s="164"/>
    </row>
    <row r="815" ht="12.75" customHeight="1">
      <c r="C815" s="164"/>
      <c r="D815" s="164"/>
      <c r="E815" s="164"/>
      <c r="F815" s="164"/>
      <c r="G815" s="164"/>
      <c r="H815" s="164"/>
      <c r="I815" s="164"/>
      <c r="J815" s="164"/>
      <c r="K815" s="164"/>
      <c r="L815" s="164"/>
      <c r="M815" s="164"/>
      <c r="N815" s="164"/>
      <c r="O815" s="164"/>
      <c r="P815" s="164"/>
    </row>
    <row r="816" ht="12.75" customHeight="1">
      <c r="C816" s="164"/>
      <c r="D816" s="164"/>
      <c r="E816" s="164"/>
      <c r="F816" s="164"/>
      <c r="G816" s="164"/>
      <c r="H816" s="164"/>
      <c r="I816" s="164"/>
      <c r="J816" s="164"/>
      <c r="K816" s="164"/>
      <c r="L816" s="164"/>
      <c r="M816" s="164"/>
      <c r="N816" s="164"/>
      <c r="O816" s="164"/>
      <c r="P816" s="164"/>
    </row>
    <row r="817" ht="12.75" customHeight="1">
      <c r="C817" s="164"/>
      <c r="D817" s="164"/>
      <c r="E817" s="164"/>
      <c r="F817" s="164"/>
      <c r="G817" s="164"/>
      <c r="H817" s="164"/>
      <c r="I817" s="164"/>
      <c r="J817" s="164"/>
      <c r="K817" s="164"/>
      <c r="L817" s="164"/>
      <c r="M817" s="164"/>
      <c r="N817" s="164"/>
      <c r="O817" s="164"/>
      <c r="P817" s="164"/>
    </row>
    <row r="818" ht="12.75" customHeight="1">
      <c r="C818" s="164"/>
      <c r="D818" s="164"/>
      <c r="E818" s="164"/>
      <c r="F818" s="164"/>
      <c r="G818" s="164"/>
      <c r="H818" s="164"/>
      <c r="I818" s="164"/>
      <c r="J818" s="164"/>
      <c r="K818" s="164"/>
      <c r="L818" s="164"/>
      <c r="M818" s="164"/>
      <c r="N818" s="164"/>
      <c r="O818" s="164"/>
      <c r="P818" s="164"/>
    </row>
    <row r="819" ht="12.75" customHeight="1">
      <c r="C819" s="164"/>
      <c r="D819" s="164"/>
      <c r="E819" s="164"/>
      <c r="F819" s="164"/>
      <c r="G819" s="164"/>
      <c r="H819" s="164"/>
      <c r="I819" s="164"/>
      <c r="J819" s="164"/>
      <c r="K819" s="164"/>
      <c r="L819" s="164"/>
      <c r="M819" s="164"/>
      <c r="N819" s="164"/>
      <c r="O819" s="164"/>
      <c r="P819" s="164"/>
    </row>
    <row r="820" ht="12.75" customHeight="1">
      <c r="C820" s="164"/>
      <c r="D820" s="164"/>
      <c r="E820" s="164"/>
      <c r="F820" s="164"/>
      <c r="G820" s="164"/>
      <c r="H820" s="164"/>
      <c r="I820" s="164"/>
      <c r="J820" s="164"/>
      <c r="K820" s="164"/>
      <c r="L820" s="164"/>
      <c r="M820" s="164"/>
      <c r="N820" s="164"/>
      <c r="O820" s="164"/>
      <c r="P820" s="164"/>
    </row>
    <row r="821" ht="12.75" customHeight="1">
      <c r="C821" s="164"/>
      <c r="D821" s="164"/>
      <c r="E821" s="164"/>
      <c r="F821" s="164"/>
      <c r="G821" s="164"/>
      <c r="H821" s="164"/>
      <c r="I821" s="164"/>
      <c r="J821" s="164"/>
      <c r="K821" s="164"/>
      <c r="L821" s="164"/>
      <c r="M821" s="164"/>
      <c r="N821" s="164"/>
      <c r="O821" s="164"/>
      <c r="P821" s="164"/>
    </row>
    <row r="822" ht="12.75" customHeight="1">
      <c r="C822" s="164"/>
      <c r="D822" s="164"/>
      <c r="E822" s="164"/>
      <c r="F822" s="164"/>
      <c r="G822" s="164"/>
      <c r="H822" s="164"/>
      <c r="I822" s="164"/>
      <c r="J822" s="164"/>
      <c r="K822" s="164"/>
      <c r="L822" s="164"/>
      <c r="M822" s="164"/>
      <c r="N822" s="164"/>
      <c r="O822" s="164"/>
      <c r="P822" s="164"/>
    </row>
    <row r="823" ht="12.75" customHeight="1">
      <c r="C823" s="164"/>
      <c r="D823" s="164"/>
      <c r="E823" s="164"/>
      <c r="F823" s="164"/>
      <c r="G823" s="164"/>
      <c r="H823" s="164"/>
      <c r="I823" s="164"/>
      <c r="J823" s="164"/>
      <c r="K823" s="164"/>
      <c r="L823" s="164"/>
      <c r="M823" s="164"/>
      <c r="N823" s="164"/>
      <c r="O823" s="164"/>
      <c r="P823" s="164"/>
    </row>
    <row r="824" ht="12.75" customHeight="1">
      <c r="C824" s="164"/>
      <c r="D824" s="164"/>
      <c r="E824" s="164"/>
      <c r="F824" s="164"/>
      <c r="G824" s="164"/>
      <c r="H824" s="164"/>
      <c r="I824" s="164"/>
      <c r="J824" s="164"/>
      <c r="K824" s="164"/>
      <c r="L824" s="164"/>
      <c r="M824" s="164"/>
      <c r="N824" s="164"/>
      <c r="O824" s="164"/>
      <c r="P824" s="164"/>
    </row>
    <row r="825" ht="12.75" customHeight="1">
      <c r="C825" s="164"/>
      <c r="D825" s="164"/>
      <c r="E825" s="164"/>
      <c r="F825" s="164"/>
      <c r="G825" s="164"/>
      <c r="H825" s="164"/>
      <c r="I825" s="164"/>
      <c r="J825" s="164"/>
      <c r="K825" s="164"/>
      <c r="L825" s="164"/>
      <c r="M825" s="164"/>
      <c r="N825" s="164"/>
      <c r="O825" s="164"/>
      <c r="P825" s="164"/>
    </row>
    <row r="826" ht="12.75" customHeight="1">
      <c r="C826" s="164"/>
      <c r="D826" s="164"/>
      <c r="E826" s="164"/>
      <c r="F826" s="164"/>
      <c r="G826" s="164"/>
      <c r="H826" s="164"/>
      <c r="I826" s="164"/>
      <c r="J826" s="164"/>
      <c r="K826" s="164"/>
      <c r="L826" s="164"/>
      <c r="M826" s="164"/>
      <c r="N826" s="164"/>
      <c r="O826" s="164"/>
      <c r="P826" s="164"/>
    </row>
    <row r="827" ht="12.75" customHeight="1">
      <c r="C827" s="164"/>
      <c r="D827" s="164"/>
      <c r="E827" s="164"/>
      <c r="F827" s="164"/>
      <c r="G827" s="164"/>
      <c r="H827" s="164"/>
      <c r="I827" s="164"/>
      <c r="J827" s="164"/>
      <c r="K827" s="164"/>
      <c r="L827" s="164"/>
      <c r="M827" s="164"/>
      <c r="N827" s="164"/>
      <c r="O827" s="164"/>
      <c r="P827" s="164"/>
    </row>
    <row r="828" ht="12.75" customHeight="1">
      <c r="C828" s="164"/>
      <c r="D828" s="164"/>
      <c r="E828" s="164"/>
      <c r="F828" s="164"/>
      <c r="G828" s="164"/>
      <c r="H828" s="164"/>
      <c r="I828" s="164"/>
      <c r="J828" s="164"/>
      <c r="K828" s="164"/>
      <c r="L828" s="164"/>
      <c r="M828" s="164"/>
      <c r="N828" s="164"/>
      <c r="O828" s="164"/>
      <c r="P828" s="164"/>
    </row>
    <row r="829" ht="12.75" customHeight="1">
      <c r="C829" s="164"/>
      <c r="D829" s="164"/>
      <c r="E829" s="164"/>
      <c r="F829" s="164"/>
      <c r="G829" s="164"/>
      <c r="H829" s="164"/>
      <c r="I829" s="164"/>
      <c r="J829" s="164"/>
      <c r="K829" s="164"/>
      <c r="L829" s="164"/>
      <c r="M829" s="164"/>
      <c r="N829" s="164"/>
      <c r="O829" s="164"/>
      <c r="P829" s="164"/>
    </row>
    <row r="830" ht="12.75" customHeight="1">
      <c r="C830" s="164"/>
      <c r="D830" s="164"/>
      <c r="E830" s="164"/>
      <c r="F830" s="164"/>
      <c r="G830" s="164"/>
      <c r="H830" s="164"/>
      <c r="I830" s="164"/>
      <c r="J830" s="164"/>
      <c r="K830" s="164"/>
      <c r="L830" s="164"/>
      <c r="M830" s="164"/>
      <c r="N830" s="164"/>
      <c r="O830" s="164"/>
      <c r="P830" s="164"/>
    </row>
    <row r="831" ht="12.75" customHeight="1">
      <c r="C831" s="164"/>
      <c r="D831" s="164"/>
      <c r="E831" s="164"/>
      <c r="F831" s="164"/>
      <c r="G831" s="164"/>
      <c r="H831" s="164"/>
      <c r="I831" s="164"/>
      <c r="J831" s="164"/>
      <c r="K831" s="164"/>
      <c r="L831" s="164"/>
      <c r="M831" s="164"/>
      <c r="N831" s="164"/>
      <c r="O831" s="164"/>
      <c r="P831" s="164"/>
    </row>
    <row r="832" ht="12.75" customHeight="1">
      <c r="C832" s="164"/>
      <c r="D832" s="164"/>
      <c r="E832" s="164"/>
      <c r="F832" s="164"/>
      <c r="G832" s="164"/>
      <c r="H832" s="164"/>
      <c r="I832" s="164"/>
      <c r="J832" s="164"/>
      <c r="K832" s="164"/>
      <c r="L832" s="164"/>
      <c r="M832" s="164"/>
      <c r="N832" s="164"/>
      <c r="O832" s="164"/>
      <c r="P832" s="164"/>
    </row>
    <row r="833" ht="12.75" customHeight="1">
      <c r="C833" s="164"/>
      <c r="D833" s="164"/>
      <c r="E833" s="164"/>
      <c r="F833" s="164"/>
      <c r="G833" s="164"/>
      <c r="H833" s="164"/>
      <c r="I833" s="164"/>
      <c r="J833" s="164"/>
      <c r="K833" s="164"/>
      <c r="L833" s="164"/>
      <c r="M833" s="164"/>
      <c r="N833" s="164"/>
      <c r="O833" s="164"/>
      <c r="P833" s="164"/>
    </row>
    <row r="834" ht="12.75" customHeight="1">
      <c r="C834" s="164"/>
      <c r="D834" s="164"/>
      <c r="E834" s="164"/>
      <c r="F834" s="164"/>
      <c r="G834" s="164"/>
      <c r="H834" s="164"/>
      <c r="I834" s="164"/>
      <c r="J834" s="164"/>
      <c r="K834" s="164"/>
      <c r="L834" s="164"/>
      <c r="M834" s="164"/>
      <c r="N834" s="164"/>
      <c r="O834" s="164"/>
      <c r="P834" s="164"/>
    </row>
    <row r="835" ht="12.75" customHeight="1">
      <c r="C835" s="164"/>
      <c r="D835" s="164"/>
      <c r="E835" s="164"/>
      <c r="F835" s="164"/>
      <c r="G835" s="164"/>
      <c r="H835" s="164"/>
      <c r="I835" s="164"/>
      <c r="J835" s="164"/>
      <c r="K835" s="164"/>
      <c r="L835" s="164"/>
      <c r="M835" s="164"/>
      <c r="N835" s="164"/>
      <c r="O835" s="164"/>
      <c r="P835" s="164"/>
    </row>
    <row r="836" ht="12.75" customHeight="1">
      <c r="C836" s="164"/>
      <c r="D836" s="164"/>
      <c r="E836" s="164"/>
      <c r="F836" s="164"/>
      <c r="G836" s="164"/>
      <c r="H836" s="164"/>
      <c r="I836" s="164"/>
      <c r="J836" s="164"/>
      <c r="K836" s="164"/>
      <c r="L836" s="164"/>
      <c r="M836" s="164"/>
      <c r="N836" s="164"/>
      <c r="O836" s="164"/>
      <c r="P836" s="164"/>
    </row>
    <row r="837" ht="12.75" customHeight="1">
      <c r="C837" s="164"/>
      <c r="D837" s="164"/>
      <c r="E837" s="164"/>
      <c r="F837" s="164"/>
      <c r="G837" s="164"/>
      <c r="H837" s="164"/>
      <c r="I837" s="164"/>
      <c r="J837" s="164"/>
      <c r="K837" s="164"/>
      <c r="L837" s="164"/>
      <c r="M837" s="164"/>
      <c r="N837" s="164"/>
      <c r="O837" s="164"/>
      <c r="P837" s="164"/>
    </row>
    <row r="838" ht="12.75" customHeight="1">
      <c r="C838" s="164"/>
      <c r="D838" s="164"/>
      <c r="E838" s="164"/>
      <c r="F838" s="164"/>
      <c r="G838" s="164"/>
      <c r="H838" s="164"/>
      <c r="I838" s="164"/>
      <c r="J838" s="164"/>
      <c r="K838" s="164"/>
      <c r="L838" s="164"/>
      <c r="M838" s="164"/>
      <c r="N838" s="164"/>
      <c r="O838" s="164"/>
      <c r="P838" s="164"/>
    </row>
    <row r="839" ht="12.75" customHeight="1">
      <c r="C839" s="164"/>
      <c r="D839" s="164"/>
      <c r="E839" s="164"/>
      <c r="F839" s="164"/>
      <c r="G839" s="164"/>
      <c r="H839" s="164"/>
      <c r="I839" s="164"/>
      <c r="J839" s="164"/>
      <c r="K839" s="164"/>
      <c r="L839" s="164"/>
      <c r="M839" s="164"/>
      <c r="N839" s="164"/>
      <c r="O839" s="164"/>
      <c r="P839" s="164"/>
    </row>
    <row r="840" ht="12.75" customHeight="1">
      <c r="C840" s="164"/>
      <c r="D840" s="164"/>
      <c r="E840" s="164"/>
      <c r="F840" s="164"/>
      <c r="G840" s="164"/>
      <c r="H840" s="164"/>
      <c r="I840" s="164"/>
      <c r="J840" s="164"/>
      <c r="K840" s="164"/>
      <c r="L840" s="164"/>
      <c r="M840" s="164"/>
      <c r="N840" s="164"/>
      <c r="O840" s="164"/>
      <c r="P840" s="164"/>
    </row>
    <row r="841" ht="12.75" customHeight="1">
      <c r="C841" s="164"/>
      <c r="D841" s="164"/>
      <c r="E841" s="164"/>
      <c r="F841" s="164"/>
      <c r="G841" s="164"/>
      <c r="H841" s="164"/>
      <c r="I841" s="164"/>
      <c r="J841" s="164"/>
      <c r="K841" s="164"/>
      <c r="L841" s="164"/>
      <c r="M841" s="164"/>
      <c r="N841" s="164"/>
      <c r="O841" s="164"/>
      <c r="P841" s="164"/>
    </row>
    <row r="842" ht="12.75" customHeight="1">
      <c r="C842" s="164"/>
      <c r="D842" s="164"/>
      <c r="E842" s="164"/>
      <c r="F842" s="164"/>
      <c r="G842" s="164"/>
      <c r="H842" s="164"/>
      <c r="I842" s="164"/>
      <c r="J842" s="164"/>
      <c r="K842" s="164"/>
      <c r="L842" s="164"/>
      <c r="M842" s="164"/>
      <c r="N842" s="164"/>
      <c r="O842" s="164"/>
      <c r="P842" s="164"/>
    </row>
    <row r="843" ht="12.75" customHeight="1">
      <c r="C843" s="164"/>
      <c r="D843" s="164"/>
      <c r="E843" s="164"/>
      <c r="F843" s="164"/>
      <c r="G843" s="164"/>
      <c r="H843" s="164"/>
      <c r="I843" s="164"/>
      <c r="J843" s="164"/>
      <c r="K843" s="164"/>
      <c r="L843" s="164"/>
      <c r="M843" s="164"/>
      <c r="N843" s="164"/>
      <c r="O843" s="164"/>
      <c r="P843" s="164"/>
    </row>
    <row r="844" ht="12.75" customHeight="1">
      <c r="C844" s="164"/>
      <c r="D844" s="164"/>
      <c r="E844" s="164"/>
      <c r="F844" s="164"/>
      <c r="G844" s="164"/>
      <c r="H844" s="164"/>
      <c r="I844" s="164"/>
      <c r="J844" s="164"/>
      <c r="K844" s="164"/>
      <c r="L844" s="164"/>
      <c r="M844" s="164"/>
      <c r="N844" s="164"/>
      <c r="O844" s="164"/>
      <c r="P844" s="164"/>
    </row>
    <row r="845" ht="12.75" customHeight="1">
      <c r="C845" s="164"/>
      <c r="D845" s="164"/>
      <c r="E845" s="164"/>
      <c r="F845" s="164"/>
      <c r="G845" s="164"/>
      <c r="H845" s="164"/>
      <c r="I845" s="164"/>
      <c r="J845" s="164"/>
      <c r="K845" s="164"/>
      <c r="L845" s="164"/>
      <c r="M845" s="164"/>
      <c r="N845" s="164"/>
      <c r="O845" s="164"/>
      <c r="P845" s="164"/>
    </row>
    <row r="846" ht="12.75" customHeight="1">
      <c r="C846" s="164"/>
      <c r="D846" s="164"/>
      <c r="E846" s="164"/>
      <c r="F846" s="164"/>
      <c r="G846" s="164"/>
      <c r="H846" s="164"/>
      <c r="I846" s="164"/>
      <c r="J846" s="164"/>
      <c r="K846" s="164"/>
      <c r="L846" s="164"/>
      <c r="M846" s="164"/>
      <c r="N846" s="164"/>
      <c r="O846" s="164"/>
      <c r="P846" s="164"/>
    </row>
    <row r="847" ht="12.75" customHeight="1">
      <c r="C847" s="164"/>
      <c r="D847" s="164"/>
      <c r="E847" s="164"/>
      <c r="F847" s="164"/>
      <c r="G847" s="164"/>
      <c r="H847" s="164"/>
      <c r="I847" s="164"/>
      <c r="J847" s="164"/>
      <c r="K847" s="164"/>
      <c r="L847" s="164"/>
      <c r="M847" s="164"/>
      <c r="N847" s="164"/>
      <c r="O847" s="164"/>
      <c r="P847" s="164"/>
    </row>
    <row r="848" ht="12.75" customHeight="1">
      <c r="C848" s="164"/>
      <c r="D848" s="164"/>
      <c r="E848" s="164"/>
      <c r="F848" s="164"/>
      <c r="G848" s="164"/>
      <c r="H848" s="164"/>
      <c r="I848" s="164"/>
      <c r="J848" s="164"/>
      <c r="K848" s="164"/>
      <c r="L848" s="164"/>
      <c r="M848" s="164"/>
      <c r="N848" s="164"/>
      <c r="O848" s="164"/>
      <c r="P848" s="164"/>
    </row>
    <row r="849" ht="12.75" customHeight="1">
      <c r="C849" s="164"/>
      <c r="D849" s="164"/>
      <c r="E849" s="164"/>
      <c r="F849" s="164"/>
      <c r="G849" s="164"/>
      <c r="H849" s="164"/>
      <c r="I849" s="164"/>
      <c r="J849" s="164"/>
      <c r="K849" s="164"/>
      <c r="L849" s="164"/>
      <c r="M849" s="164"/>
      <c r="N849" s="164"/>
      <c r="O849" s="164"/>
      <c r="P849" s="164"/>
    </row>
    <row r="850" ht="12.75" customHeight="1">
      <c r="C850" s="164"/>
      <c r="D850" s="164"/>
      <c r="E850" s="164"/>
      <c r="F850" s="164"/>
      <c r="G850" s="164"/>
      <c r="H850" s="164"/>
      <c r="I850" s="164"/>
      <c r="J850" s="164"/>
      <c r="K850" s="164"/>
      <c r="L850" s="164"/>
      <c r="M850" s="164"/>
      <c r="N850" s="164"/>
      <c r="O850" s="164"/>
      <c r="P850" s="164"/>
    </row>
    <row r="851" ht="12.75" customHeight="1">
      <c r="C851" s="164"/>
      <c r="D851" s="164"/>
      <c r="E851" s="164"/>
      <c r="F851" s="164"/>
      <c r="G851" s="164"/>
      <c r="H851" s="164"/>
      <c r="I851" s="164"/>
      <c r="J851" s="164"/>
      <c r="K851" s="164"/>
      <c r="L851" s="164"/>
      <c r="M851" s="164"/>
      <c r="N851" s="164"/>
      <c r="O851" s="164"/>
      <c r="P851" s="164"/>
    </row>
    <row r="852" ht="12.75" customHeight="1">
      <c r="C852" s="164"/>
      <c r="D852" s="164"/>
      <c r="E852" s="164"/>
      <c r="F852" s="164"/>
      <c r="G852" s="164"/>
      <c r="H852" s="164"/>
      <c r="I852" s="164"/>
      <c r="J852" s="164"/>
      <c r="K852" s="164"/>
      <c r="L852" s="164"/>
      <c r="M852" s="164"/>
      <c r="N852" s="164"/>
      <c r="O852" s="164"/>
      <c r="P852" s="164"/>
    </row>
    <row r="853" ht="12.75" customHeight="1">
      <c r="C853" s="164"/>
      <c r="D853" s="164"/>
      <c r="E853" s="164"/>
      <c r="F853" s="164"/>
      <c r="G853" s="164"/>
      <c r="H853" s="164"/>
      <c r="I853" s="164"/>
      <c r="J853" s="164"/>
      <c r="K853" s="164"/>
      <c r="L853" s="164"/>
      <c r="M853" s="164"/>
      <c r="N853" s="164"/>
      <c r="O853" s="164"/>
      <c r="P853" s="164"/>
    </row>
    <row r="854" ht="12.75" customHeight="1">
      <c r="C854" s="164"/>
      <c r="D854" s="164"/>
      <c r="E854" s="164"/>
      <c r="F854" s="164"/>
      <c r="G854" s="164"/>
      <c r="H854" s="164"/>
      <c r="I854" s="164"/>
      <c r="J854" s="164"/>
      <c r="K854" s="164"/>
      <c r="L854" s="164"/>
      <c r="M854" s="164"/>
      <c r="N854" s="164"/>
      <c r="O854" s="164"/>
      <c r="P854" s="164"/>
    </row>
    <row r="855" ht="12.75" customHeight="1">
      <c r="C855" s="164"/>
      <c r="D855" s="164"/>
      <c r="E855" s="164"/>
      <c r="F855" s="164"/>
      <c r="G855" s="164"/>
      <c r="H855" s="164"/>
      <c r="I855" s="164"/>
      <c r="J855" s="164"/>
      <c r="K855" s="164"/>
      <c r="L855" s="164"/>
      <c r="M855" s="164"/>
      <c r="N855" s="164"/>
      <c r="O855" s="164"/>
      <c r="P855" s="164"/>
    </row>
    <row r="856" ht="12.75" customHeight="1">
      <c r="C856" s="164"/>
      <c r="D856" s="164"/>
      <c r="E856" s="164"/>
      <c r="F856" s="164"/>
      <c r="G856" s="164"/>
      <c r="H856" s="164"/>
      <c r="I856" s="164"/>
      <c r="J856" s="164"/>
      <c r="K856" s="164"/>
      <c r="L856" s="164"/>
      <c r="M856" s="164"/>
      <c r="N856" s="164"/>
      <c r="O856" s="164"/>
      <c r="P856" s="164"/>
    </row>
    <row r="857" ht="12.75" customHeight="1">
      <c r="C857" s="164"/>
      <c r="D857" s="164"/>
      <c r="E857" s="164"/>
      <c r="F857" s="164"/>
      <c r="G857" s="164"/>
      <c r="H857" s="164"/>
      <c r="I857" s="164"/>
      <c r="J857" s="164"/>
      <c r="K857" s="164"/>
      <c r="L857" s="164"/>
      <c r="M857" s="164"/>
      <c r="N857" s="164"/>
      <c r="O857" s="164"/>
      <c r="P857" s="164"/>
    </row>
    <row r="858" ht="12.75" customHeight="1">
      <c r="C858" s="164"/>
      <c r="D858" s="164"/>
      <c r="E858" s="164"/>
      <c r="F858" s="164"/>
      <c r="G858" s="164"/>
      <c r="H858" s="164"/>
      <c r="I858" s="164"/>
      <c r="J858" s="164"/>
      <c r="K858" s="164"/>
      <c r="L858" s="164"/>
      <c r="M858" s="164"/>
      <c r="N858" s="164"/>
      <c r="O858" s="164"/>
      <c r="P858" s="164"/>
    </row>
    <row r="859" ht="12.75" customHeight="1">
      <c r="C859" s="164"/>
      <c r="D859" s="164"/>
      <c r="E859" s="164"/>
      <c r="F859" s="164"/>
      <c r="G859" s="164"/>
      <c r="H859" s="164"/>
      <c r="I859" s="164"/>
      <c r="J859" s="164"/>
      <c r="K859" s="164"/>
      <c r="L859" s="164"/>
      <c r="M859" s="164"/>
      <c r="N859" s="164"/>
      <c r="O859" s="164"/>
      <c r="P859" s="164"/>
    </row>
    <row r="860" ht="12.75" customHeight="1">
      <c r="C860" s="164"/>
      <c r="D860" s="164"/>
      <c r="E860" s="164"/>
      <c r="F860" s="164"/>
      <c r="G860" s="164"/>
      <c r="H860" s="164"/>
      <c r="I860" s="164"/>
      <c r="J860" s="164"/>
      <c r="K860" s="164"/>
      <c r="L860" s="164"/>
      <c r="M860" s="164"/>
      <c r="N860" s="164"/>
      <c r="O860" s="164"/>
      <c r="P860" s="164"/>
    </row>
    <row r="861" ht="12.75" customHeight="1">
      <c r="C861" s="164"/>
      <c r="D861" s="164"/>
      <c r="E861" s="164"/>
      <c r="F861" s="164"/>
      <c r="G861" s="164"/>
      <c r="H861" s="164"/>
      <c r="I861" s="164"/>
      <c r="J861" s="164"/>
      <c r="K861" s="164"/>
      <c r="L861" s="164"/>
      <c r="M861" s="164"/>
      <c r="N861" s="164"/>
      <c r="O861" s="164"/>
      <c r="P861" s="164"/>
    </row>
    <row r="862" ht="12.75" customHeight="1">
      <c r="C862" s="164"/>
      <c r="D862" s="164"/>
      <c r="E862" s="164"/>
      <c r="F862" s="164"/>
      <c r="G862" s="164"/>
      <c r="H862" s="164"/>
      <c r="I862" s="164"/>
      <c r="J862" s="164"/>
      <c r="K862" s="164"/>
      <c r="L862" s="164"/>
      <c r="M862" s="164"/>
      <c r="N862" s="164"/>
      <c r="O862" s="164"/>
      <c r="P862" s="164"/>
    </row>
    <row r="863" ht="12.75" customHeight="1">
      <c r="C863" s="164"/>
      <c r="D863" s="164"/>
      <c r="E863" s="164"/>
      <c r="F863" s="164"/>
      <c r="G863" s="164"/>
      <c r="H863" s="164"/>
      <c r="I863" s="164"/>
      <c r="J863" s="164"/>
      <c r="K863" s="164"/>
      <c r="L863" s="164"/>
      <c r="M863" s="164"/>
      <c r="N863" s="164"/>
      <c r="O863" s="164"/>
      <c r="P863" s="164"/>
    </row>
    <row r="864" ht="12.75" customHeight="1">
      <c r="C864" s="164"/>
      <c r="D864" s="164"/>
      <c r="E864" s="164"/>
      <c r="F864" s="164"/>
      <c r="G864" s="164"/>
      <c r="H864" s="164"/>
      <c r="I864" s="164"/>
      <c r="J864" s="164"/>
      <c r="K864" s="164"/>
      <c r="L864" s="164"/>
      <c r="M864" s="164"/>
      <c r="N864" s="164"/>
      <c r="O864" s="164"/>
      <c r="P864" s="164"/>
    </row>
    <row r="865" ht="12.75" customHeight="1">
      <c r="C865" s="164"/>
      <c r="D865" s="164"/>
      <c r="E865" s="164"/>
      <c r="F865" s="164"/>
      <c r="G865" s="164"/>
      <c r="H865" s="164"/>
      <c r="I865" s="164"/>
      <c r="J865" s="164"/>
      <c r="K865" s="164"/>
      <c r="L865" s="164"/>
      <c r="M865" s="164"/>
      <c r="N865" s="164"/>
      <c r="O865" s="164"/>
      <c r="P865" s="164"/>
    </row>
    <row r="866" ht="12.75" customHeight="1">
      <c r="C866" s="164"/>
      <c r="D866" s="164"/>
      <c r="E866" s="164"/>
      <c r="F866" s="164"/>
      <c r="G866" s="164"/>
      <c r="H866" s="164"/>
      <c r="I866" s="164"/>
      <c r="J866" s="164"/>
      <c r="K866" s="164"/>
      <c r="L866" s="164"/>
      <c r="M866" s="164"/>
      <c r="N866" s="164"/>
      <c r="O866" s="164"/>
      <c r="P866" s="164"/>
    </row>
    <row r="867" ht="12.75" customHeight="1">
      <c r="C867" s="164"/>
      <c r="D867" s="164"/>
      <c r="E867" s="164"/>
      <c r="F867" s="164"/>
      <c r="G867" s="164"/>
      <c r="H867" s="164"/>
      <c r="I867" s="164"/>
      <c r="J867" s="164"/>
      <c r="K867" s="164"/>
      <c r="L867" s="164"/>
      <c r="M867" s="164"/>
      <c r="N867" s="164"/>
      <c r="O867" s="164"/>
      <c r="P867" s="164"/>
    </row>
    <row r="868" ht="12.75" customHeight="1">
      <c r="C868" s="164"/>
      <c r="D868" s="164"/>
      <c r="E868" s="164"/>
      <c r="F868" s="164"/>
      <c r="G868" s="164"/>
      <c r="H868" s="164"/>
      <c r="I868" s="164"/>
      <c r="J868" s="164"/>
      <c r="K868" s="164"/>
      <c r="L868" s="164"/>
      <c r="M868" s="164"/>
      <c r="N868" s="164"/>
      <c r="O868" s="164"/>
      <c r="P868" s="164"/>
    </row>
    <row r="869" ht="12.75" customHeight="1">
      <c r="C869" s="164"/>
      <c r="D869" s="164"/>
      <c r="E869" s="164"/>
      <c r="F869" s="164"/>
      <c r="G869" s="164"/>
      <c r="H869" s="164"/>
      <c r="I869" s="164"/>
      <c r="J869" s="164"/>
      <c r="K869" s="164"/>
      <c r="L869" s="164"/>
      <c r="M869" s="164"/>
      <c r="N869" s="164"/>
      <c r="O869" s="164"/>
      <c r="P869" s="164"/>
    </row>
    <row r="870" ht="12.75" customHeight="1">
      <c r="C870" s="164"/>
      <c r="D870" s="164"/>
      <c r="E870" s="164"/>
      <c r="F870" s="164"/>
      <c r="G870" s="164"/>
      <c r="H870" s="164"/>
      <c r="I870" s="164"/>
      <c r="J870" s="164"/>
      <c r="K870" s="164"/>
      <c r="L870" s="164"/>
      <c r="M870" s="164"/>
      <c r="N870" s="164"/>
      <c r="O870" s="164"/>
      <c r="P870" s="164"/>
    </row>
    <row r="871" ht="12.75" customHeight="1">
      <c r="C871" s="164"/>
      <c r="D871" s="164"/>
      <c r="E871" s="164"/>
      <c r="F871" s="164"/>
      <c r="G871" s="164"/>
      <c r="H871" s="164"/>
      <c r="I871" s="164"/>
      <c r="J871" s="164"/>
      <c r="K871" s="164"/>
      <c r="L871" s="164"/>
      <c r="M871" s="164"/>
      <c r="N871" s="164"/>
      <c r="O871" s="164"/>
      <c r="P871" s="164"/>
    </row>
    <row r="872" ht="12.75" customHeight="1">
      <c r="C872" s="164"/>
      <c r="D872" s="164"/>
      <c r="E872" s="164"/>
      <c r="F872" s="164"/>
      <c r="G872" s="164"/>
      <c r="H872" s="164"/>
      <c r="I872" s="164"/>
      <c r="J872" s="164"/>
      <c r="K872" s="164"/>
      <c r="L872" s="164"/>
      <c r="M872" s="164"/>
      <c r="N872" s="164"/>
      <c r="O872" s="164"/>
      <c r="P872" s="164"/>
    </row>
    <row r="873" ht="12.75" customHeight="1">
      <c r="C873" s="164"/>
      <c r="D873" s="164"/>
      <c r="E873" s="164"/>
      <c r="F873" s="164"/>
      <c r="G873" s="164"/>
      <c r="H873" s="164"/>
      <c r="I873" s="164"/>
      <c r="J873" s="164"/>
      <c r="K873" s="164"/>
      <c r="L873" s="164"/>
      <c r="M873" s="164"/>
      <c r="N873" s="164"/>
      <c r="O873" s="164"/>
      <c r="P873" s="164"/>
    </row>
    <row r="874" ht="12.75" customHeight="1">
      <c r="C874" s="164"/>
      <c r="D874" s="164"/>
      <c r="E874" s="164"/>
      <c r="F874" s="164"/>
      <c r="G874" s="164"/>
      <c r="H874" s="164"/>
      <c r="I874" s="164"/>
      <c r="J874" s="164"/>
      <c r="K874" s="164"/>
      <c r="L874" s="164"/>
      <c r="M874" s="164"/>
      <c r="N874" s="164"/>
      <c r="O874" s="164"/>
      <c r="P874" s="164"/>
    </row>
    <row r="875" ht="12.75" customHeight="1">
      <c r="C875" s="164"/>
      <c r="D875" s="164"/>
      <c r="E875" s="164"/>
      <c r="F875" s="164"/>
      <c r="G875" s="164"/>
      <c r="H875" s="164"/>
      <c r="I875" s="164"/>
      <c r="J875" s="164"/>
      <c r="K875" s="164"/>
      <c r="L875" s="164"/>
      <c r="M875" s="164"/>
      <c r="N875" s="164"/>
      <c r="O875" s="164"/>
      <c r="P875" s="164"/>
    </row>
    <row r="876" ht="12.75" customHeight="1">
      <c r="C876" s="164"/>
      <c r="D876" s="164"/>
      <c r="E876" s="164"/>
      <c r="F876" s="164"/>
      <c r="G876" s="164"/>
      <c r="H876" s="164"/>
      <c r="I876" s="164"/>
      <c r="J876" s="164"/>
      <c r="K876" s="164"/>
      <c r="L876" s="164"/>
      <c r="M876" s="164"/>
      <c r="N876" s="164"/>
      <c r="O876" s="164"/>
      <c r="P876" s="164"/>
    </row>
    <row r="877" ht="12.75" customHeight="1">
      <c r="C877" s="164"/>
      <c r="D877" s="164"/>
      <c r="E877" s="164"/>
      <c r="F877" s="164"/>
      <c r="G877" s="164"/>
      <c r="H877" s="164"/>
      <c r="I877" s="164"/>
      <c r="J877" s="164"/>
      <c r="K877" s="164"/>
      <c r="L877" s="164"/>
      <c r="M877" s="164"/>
      <c r="N877" s="164"/>
      <c r="O877" s="164"/>
      <c r="P877" s="164"/>
    </row>
    <row r="878" ht="12.75" customHeight="1">
      <c r="C878" s="164"/>
      <c r="D878" s="164"/>
      <c r="E878" s="164"/>
      <c r="F878" s="164"/>
      <c r="G878" s="164"/>
      <c r="H878" s="164"/>
      <c r="I878" s="164"/>
      <c r="J878" s="164"/>
      <c r="K878" s="164"/>
      <c r="L878" s="164"/>
      <c r="M878" s="164"/>
      <c r="N878" s="164"/>
      <c r="O878" s="164"/>
      <c r="P878" s="164"/>
    </row>
    <row r="879" ht="12.75" customHeight="1">
      <c r="C879" s="164"/>
      <c r="D879" s="164"/>
      <c r="E879" s="164"/>
      <c r="F879" s="164"/>
      <c r="G879" s="164"/>
      <c r="H879" s="164"/>
      <c r="I879" s="164"/>
      <c r="J879" s="164"/>
      <c r="K879" s="164"/>
      <c r="L879" s="164"/>
      <c r="M879" s="164"/>
      <c r="N879" s="164"/>
      <c r="O879" s="164"/>
      <c r="P879" s="164"/>
    </row>
    <row r="880" ht="12.75" customHeight="1">
      <c r="C880" s="164"/>
      <c r="D880" s="164"/>
      <c r="E880" s="164"/>
      <c r="F880" s="164"/>
      <c r="G880" s="164"/>
      <c r="H880" s="164"/>
      <c r="I880" s="164"/>
      <c r="J880" s="164"/>
      <c r="K880" s="164"/>
      <c r="L880" s="164"/>
      <c r="M880" s="164"/>
      <c r="N880" s="164"/>
      <c r="O880" s="164"/>
      <c r="P880" s="164"/>
    </row>
    <row r="881" ht="12.75" customHeight="1">
      <c r="C881" s="164"/>
      <c r="D881" s="164"/>
      <c r="E881" s="164"/>
      <c r="F881" s="164"/>
      <c r="G881" s="164"/>
      <c r="H881" s="164"/>
      <c r="I881" s="164"/>
      <c r="J881" s="164"/>
      <c r="K881" s="164"/>
      <c r="L881" s="164"/>
      <c r="M881" s="164"/>
      <c r="N881" s="164"/>
      <c r="O881" s="164"/>
      <c r="P881" s="164"/>
    </row>
    <row r="882" ht="12.75" customHeight="1">
      <c r="C882" s="164"/>
      <c r="D882" s="164"/>
      <c r="E882" s="164"/>
      <c r="F882" s="164"/>
      <c r="G882" s="164"/>
      <c r="H882" s="164"/>
      <c r="I882" s="164"/>
      <c r="J882" s="164"/>
      <c r="K882" s="164"/>
      <c r="L882" s="164"/>
      <c r="M882" s="164"/>
      <c r="N882" s="164"/>
      <c r="O882" s="164"/>
      <c r="P882" s="164"/>
    </row>
    <row r="883" ht="12.75" customHeight="1">
      <c r="C883" s="164"/>
      <c r="D883" s="164"/>
      <c r="E883" s="164"/>
      <c r="F883" s="164"/>
      <c r="G883" s="164"/>
      <c r="H883" s="164"/>
      <c r="I883" s="164"/>
      <c r="J883" s="164"/>
      <c r="K883" s="164"/>
      <c r="L883" s="164"/>
      <c r="M883" s="164"/>
      <c r="N883" s="164"/>
      <c r="O883" s="164"/>
      <c r="P883" s="164"/>
    </row>
    <row r="884" ht="12.75" customHeight="1">
      <c r="C884" s="164"/>
      <c r="D884" s="164"/>
      <c r="E884" s="164"/>
      <c r="F884" s="164"/>
      <c r="G884" s="164"/>
      <c r="H884" s="164"/>
      <c r="I884" s="164"/>
      <c r="J884" s="164"/>
      <c r="K884" s="164"/>
      <c r="L884" s="164"/>
      <c r="M884" s="164"/>
      <c r="N884" s="164"/>
      <c r="O884" s="164"/>
      <c r="P884" s="164"/>
    </row>
    <row r="885" ht="12.75" customHeight="1">
      <c r="C885" s="164"/>
      <c r="D885" s="164"/>
      <c r="E885" s="164"/>
      <c r="F885" s="164"/>
      <c r="G885" s="164"/>
      <c r="H885" s="164"/>
      <c r="I885" s="164"/>
      <c r="J885" s="164"/>
      <c r="K885" s="164"/>
      <c r="L885" s="164"/>
      <c r="M885" s="164"/>
      <c r="N885" s="164"/>
      <c r="O885" s="164"/>
      <c r="P885" s="164"/>
    </row>
    <row r="886" ht="12.75" customHeight="1">
      <c r="C886" s="164"/>
      <c r="D886" s="164"/>
      <c r="E886" s="164"/>
      <c r="F886" s="164"/>
      <c r="G886" s="164"/>
      <c r="H886" s="164"/>
      <c r="I886" s="164"/>
      <c r="J886" s="164"/>
      <c r="K886" s="164"/>
      <c r="L886" s="164"/>
      <c r="M886" s="164"/>
      <c r="N886" s="164"/>
      <c r="O886" s="164"/>
      <c r="P886" s="164"/>
    </row>
    <row r="887" ht="12.75" customHeight="1">
      <c r="C887" s="164"/>
      <c r="D887" s="164"/>
      <c r="E887" s="164"/>
      <c r="F887" s="164"/>
      <c r="G887" s="164"/>
      <c r="H887" s="164"/>
      <c r="I887" s="164"/>
      <c r="J887" s="164"/>
      <c r="K887" s="164"/>
      <c r="L887" s="164"/>
      <c r="M887" s="164"/>
      <c r="N887" s="164"/>
      <c r="O887" s="164"/>
      <c r="P887" s="164"/>
    </row>
    <row r="888" ht="12.75" customHeight="1">
      <c r="C888" s="164"/>
      <c r="D888" s="164"/>
      <c r="E888" s="164"/>
      <c r="F888" s="164"/>
      <c r="G888" s="164"/>
      <c r="H888" s="164"/>
      <c r="I888" s="164"/>
      <c r="J888" s="164"/>
      <c r="K888" s="164"/>
      <c r="L888" s="164"/>
      <c r="M888" s="164"/>
      <c r="N888" s="164"/>
      <c r="O888" s="164"/>
      <c r="P888" s="164"/>
    </row>
    <row r="889" ht="12.75" customHeight="1">
      <c r="C889" s="164"/>
      <c r="D889" s="164"/>
      <c r="E889" s="164"/>
      <c r="F889" s="164"/>
      <c r="G889" s="164"/>
      <c r="H889" s="164"/>
      <c r="I889" s="164"/>
      <c r="J889" s="164"/>
      <c r="K889" s="164"/>
      <c r="L889" s="164"/>
      <c r="M889" s="164"/>
      <c r="N889" s="164"/>
      <c r="O889" s="164"/>
      <c r="P889" s="164"/>
    </row>
    <row r="890" ht="12.75" customHeight="1">
      <c r="C890" s="164"/>
      <c r="D890" s="164"/>
      <c r="E890" s="164"/>
      <c r="F890" s="164"/>
      <c r="G890" s="164"/>
      <c r="H890" s="164"/>
      <c r="I890" s="164"/>
      <c r="J890" s="164"/>
      <c r="K890" s="164"/>
      <c r="L890" s="164"/>
      <c r="M890" s="164"/>
      <c r="N890" s="164"/>
      <c r="O890" s="164"/>
      <c r="P890" s="164"/>
    </row>
    <row r="891" ht="12.75" customHeight="1">
      <c r="C891" s="164"/>
      <c r="D891" s="164"/>
      <c r="E891" s="164"/>
      <c r="F891" s="164"/>
      <c r="G891" s="164"/>
      <c r="H891" s="164"/>
      <c r="I891" s="164"/>
      <c r="J891" s="164"/>
      <c r="K891" s="164"/>
      <c r="L891" s="164"/>
      <c r="M891" s="164"/>
      <c r="N891" s="164"/>
      <c r="O891" s="164"/>
      <c r="P891" s="164"/>
    </row>
    <row r="892" ht="12.75" customHeight="1">
      <c r="C892" s="164"/>
      <c r="D892" s="164"/>
      <c r="E892" s="164"/>
      <c r="F892" s="164"/>
      <c r="G892" s="164"/>
      <c r="H892" s="164"/>
      <c r="I892" s="164"/>
      <c r="J892" s="164"/>
      <c r="K892" s="164"/>
      <c r="L892" s="164"/>
      <c r="M892" s="164"/>
      <c r="N892" s="164"/>
      <c r="O892" s="164"/>
      <c r="P892" s="164"/>
    </row>
    <row r="893" ht="12.75" customHeight="1">
      <c r="C893" s="164"/>
      <c r="D893" s="164"/>
      <c r="E893" s="164"/>
      <c r="F893" s="164"/>
      <c r="G893" s="164"/>
      <c r="H893" s="164"/>
      <c r="I893" s="164"/>
      <c r="J893" s="164"/>
      <c r="K893" s="164"/>
      <c r="L893" s="164"/>
      <c r="M893" s="164"/>
      <c r="N893" s="164"/>
      <c r="O893" s="164"/>
      <c r="P893" s="164"/>
    </row>
    <row r="894" ht="12.75" customHeight="1">
      <c r="C894" s="164"/>
      <c r="D894" s="164"/>
      <c r="E894" s="164"/>
      <c r="F894" s="164"/>
      <c r="G894" s="164"/>
      <c r="H894" s="164"/>
      <c r="I894" s="164"/>
      <c r="J894" s="164"/>
      <c r="K894" s="164"/>
      <c r="L894" s="164"/>
      <c r="M894" s="164"/>
      <c r="N894" s="164"/>
      <c r="O894" s="164"/>
      <c r="P894" s="164"/>
    </row>
    <row r="895" ht="12.75" customHeight="1">
      <c r="C895" s="164"/>
      <c r="D895" s="164"/>
      <c r="E895" s="164"/>
      <c r="F895" s="164"/>
      <c r="G895" s="164"/>
      <c r="H895" s="164"/>
      <c r="I895" s="164"/>
      <c r="J895" s="164"/>
      <c r="K895" s="164"/>
      <c r="L895" s="164"/>
      <c r="M895" s="164"/>
      <c r="N895" s="164"/>
      <c r="O895" s="164"/>
      <c r="P895" s="164"/>
    </row>
    <row r="896" ht="12.75" customHeight="1">
      <c r="C896" s="164"/>
      <c r="D896" s="164"/>
      <c r="E896" s="164"/>
      <c r="F896" s="164"/>
      <c r="G896" s="164"/>
      <c r="H896" s="164"/>
      <c r="I896" s="164"/>
      <c r="J896" s="164"/>
      <c r="K896" s="164"/>
      <c r="L896" s="164"/>
      <c r="M896" s="164"/>
      <c r="N896" s="164"/>
      <c r="O896" s="164"/>
      <c r="P896" s="164"/>
    </row>
    <row r="897" ht="12.75" customHeight="1">
      <c r="C897" s="164"/>
      <c r="D897" s="164"/>
      <c r="E897" s="164"/>
      <c r="F897" s="164"/>
      <c r="G897" s="164"/>
      <c r="H897" s="164"/>
      <c r="I897" s="164"/>
      <c r="J897" s="164"/>
      <c r="K897" s="164"/>
      <c r="L897" s="164"/>
      <c r="M897" s="164"/>
      <c r="N897" s="164"/>
      <c r="O897" s="164"/>
      <c r="P897" s="164"/>
    </row>
    <row r="898" ht="12.75" customHeight="1">
      <c r="C898" s="164"/>
      <c r="D898" s="164"/>
      <c r="E898" s="164"/>
      <c r="F898" s="164"/>
      <c r="G898" s="164"/>
      <c r="H898" s="164"/>
      <c r="I898" s="164"/>
      <c r="J898" s="164"/>
      <c r="K898" s="164"/>
      <c r="L898" s="164"/>
      <c r="M898" s="164"/>
      <c r="N898" s="164"/>
      <c r="O898" s="164"/>
      <c r="P898" s="164"/>
    </row>
    <row r="899" ht="12.75" customHeight="1">
      <c r="C899" s="164"/>
      <c r="D899" s="164"/>
      <c r="E899" s="164"/>
      <c r="F899" s="164"/>
      <c r="G899" s="164"/>
      <c r="H899" s="164"/>
      <c r="I899" s="164"/>
      <c r="J899" s="164"/>
      <c r="K899" s="164"/>
      <c r="L899" s="164"/>
      <c r="M899" s="164"/>
      <c r="N899" s="164"/>
      <c r="O899" s="164"/>
      <c r="P899" s="164"/>
    </row>
    <row r="900" ht="12.75" customHeight="1">
      <c r="C900" s="164"/>
      <c r="D900" s="164"/>
      <c r="E900" s="164"/>
      <c r="F900" s="164"/>
      <c r="G900" s="164"/>
      <c r="H900" s="164"/>
      <c r="I900" s="164"/>
      <c r="J900" s="164"/>
      <c r="K900" s="164"/>
      <c r="L900" s="164"/>
      <c r="M900" s="164"/>
      <c r="N900" s="164"/>
      <c r="O900" s="164"/>
      <c r="P900" s="164"/>
    </row>
    <row r="901" ht="12.75" customHeight="1">
      <c r="C901" s="164"/>
      <c r="D901" s="164"/>
      <c r="E901" s="164"/>
      <c r="F901" s="164"/>
      <c r="G901" s="164"/>
      <c r="H901" s="164"/>
      <c r="I901" s="164"/>
      <c r="J901" s="164"/>
      <c r="K901" s="164"/>
      <c r="L901" s="164"/>
      <c r="M901" s="164"/>
      <c r="N901" s="164"/>
      <c r="O901" s="164"/>
      <c r="P901" s="164"/>
    </row>
    <row r="902" ht="12.75" customHeight="1">
      <c r="C902" s="164"/>
      <c r="D902" s="164"/>
      <c r="E902" s="164"/>
      <c r="F902" s="164"/>
      <c r="G902" s="164"/>
      <c r="H902" s="164"/>
      <c r="I902" s="164"/>
      <c r="J902" s="164"/>
      <c r="K902" s="164"/>
      <c r="L902" s="164"/>
      <c r="M902" s="164"/>
      <c r="N902" s="164"/>
      <c r="O902" s="164"/>
      <c r="P902" s="164"/>
    </row>
    <row r="903" ht="12.75" customHeight="1">
      <c r="C903" s="164"/>
      <c r="D903" s="164"/>
      <c r="E903" s="164"/>
      <c r="F903" s="164"/>
      <c r="G903" s="164"/>
      <c r="H903" s="164"/>
      <c r="I903" s="164"/>
      <c r="J903" s="164"/>
      <c r="K903" s="164"/>
      <c r="L903" s="164"/>
      <c r="M903" s="164"/>
      <c r="N903" s="164"/>
      <c r="O903" s="164"/>
      <c r="P903" s="164"/>
    </row>
    <row r="904" ht="12.75" customHeight="1">
      <c r="C904" s="164"/>
      <c r="D904" s="164"/>
      <c r="E904" s="164"/>
      <c r="F904" s="164"/>
      <c r="G904" s="164"/>
      <c r="H904" s="164"/>
      <c r="I904" s="164"/>
      <c r="J904" s="164"/>
      <c r="K904" s="164"/>
      <c r="L904" s="164"/>
      <c r="M904" s="164"/>
      <c r="N904" s="164"/>
      <c r="O904" s="164"/>
      <c r="P904" s="164"/>
    </row>
    <row r="905" ht="12.75" customHeight="1">
      <c r="C905" s="164"/>
      <c r="D905" s="164"/>
      <c r="E905" s="164"/>
      <c r="F905" s="164"/>
      <c r="G905" s="164"/>
      <c r="H905" s="164"/>
      <c r="I905" s="164"/>
      <c r="J905" s="164"/>
      <c r="K905" s="164"/>
      <c r="L905" s="164"/>
      <c r="M905" s="164"/>
      <c r="N905" s="164"/>
      <c r="O905" s="164"/>
      <c r="P905" s="164"/>
    </row>
    <row r="906" ht="12.75" customHeight="1">
      <c r="C906" s="164"/>
      <c r="D906" s="164"/>
      <c r="E906" s="164"/>
      <c r="F906" s="164"/>
      <c r="G906" s="164"/>
      <c r="H906" s="164"/>
      <c r="I906" s="164"/>
      <c r="J906" s="164"/>
      <c r="K906" s="164"/>
      <c r="L906" s="164"/>
      <c r="M906" s="164"/>
      <c r="N906" s="164"/>
      <c r="O906" s="164"/>
      <c r="P906" s="164"/>
    </row>
    <row r="907" ht="12.75" customHeight="1">
      <c r="C907" s="164"/>
      <c r="D907" s="164"/>
      <c r="E907" s="164"/>
      <c r="F907" s="164"/>
      <c r="G907" s="164"/>
      <c r="H907" s="164"/>
      <c r="I907" s="164"/>
      <c r="J907" s="164"/>
      <c r="K907" s="164"/>
      <c r="L907" s="164"/>
      <c r="M907" s="164"/>
      <c r="N907" s="164"/>
      <c r="O907" s="164"/>
      <c r="P907" s="164"/>
    </row>
    <row r="908" ht="12.75" customHeight="1">
      <c r="C908" s="164"/>
      <c r="D908" s="164"/>
      <c r="E908" s="164"/>
      <c r="F908" s="164"/>
      <c r="G908" s="164"/>
      <c r="H908" s="164"/>
      <c r="I908" s="164"/>
      <c r="J908" s="164"/>
      <c r="K908" s="164"/>
      <c r="L908" s="164"/>
      <c r="M908" s="164"/>
      <c r="N908" s="164"/>
      <c r="O908" s="164"/>
      <c r="P908" s="164"/>
    </row>
    <row r="909" ht="12.75" customHeight="1">
      <c r="C909" s="164"/>
      <c r="D909" s="164"/>
      <c r="E909" s="164"/>
      <c r="F909" s="164"/>
      <c r="G909" s="164"/>
      <c r="H909" s="164"/>
      <c r="I909" s="164"/>
      <c r="J909" s="164"/>
      <c r="K909" s="164"/>
      <c r="L909" s="164"/>
      <c r="M909" s="164"/>
      <c r="N909" s="164"/>
      <c r="O909" s="164"/>
      <c r="P909" s="164"/>
    </row>
    <row r="910" ht="12.75" customHeight="1">
      <c r="C910" s="164"/>
      <c r="D910" s="164"/>
      <c r="E910" s="164"/>
      <c r="F910" s="164"/>
      <c r="G910" s="164"/>
      <c r="H910" s="164"/>
      <c r="I910" s="164"/>
      <c r="J910" s="164"/>
      <c r="K910" s="164"/>
      <c r="L910" s="164"/>
      <c r="M910" s="164"/>
      <c r="N910" s="164"/>
      <c r="O910" s="164"/>
      <c r="P910" s="164"/>
    </row>
    <row r="911" ht="12.75" customHeight="1">
      <c r="C911" s="164"/>
      <c r="D911" s="164"/>
      <c r="E911" s="164"/>
      <c r="F911" s="164"/>
      <c r="G911" s="164"/>
      <c r="H911" s="164"/>
      <c r="I911" s="164"/>
      <c r="J911" s="164"/>
      <c r="K911" s="164"/>
      <c r="L911" s="164"/>
      <c r="M911" s="164"/>
      <c r="N911" s="164"/>
      <c r="O911" s="164"/>
      <c r="P911" s="164"/>
    </row>
    <row r="912" ht="12.75" customHeight="1">
      <c r="C912" s="164"/>
      <c r="D912" s="164"/>
      <c r="E912" s="164"/>
      <c r="F912" s="164"/>
      <c r="G912" s="164"/>
      <c r="H912" s="164"/>
      <c r="I912" s="164"/>
      <c r="J912" s="164"/>
      <c r="K912" s="164"/>
      <c r="L912" s="164"/>
      <c r="M912" s="164"/>
      <c r="N912" s="164"/>
      <c r="O912" s="164"/>
      <c r="P912" s="164"/>
    </row>
    <row r="913" ht="12.75" customHeight="1">
      <c r="C913" s="164"/>
      <c r="D913" s="164"/>
      <c r="E913" s="164"/>
      <c r="F913" s="164"/>
      <c r="G913" s="164"/>
      <c r="H913" s="164"/>
      <c r="I913" s="164"/>
      <c r="J913" s="164"/>
      <c r="K913" s="164"/>
      <c r="L913" s="164"/>
      <c r="M913" s="164"/>
      <c r="N913" s="164"/>
      <c r="O913" s="164"/>
      <c r="P913" s="164"/>
    </row>
    <row r="914" ht="12.75" customHeight="1">
      <c r="C914" s="164"/>
      <c r="D914" s="164"/>
      <c r="E914" s="164"/>
      <c r="F914" s="164"/>
      <c r="G914" s="164"/>
      <c r="H914" s="164"/>
      <c r="I914" s="164"/>
      <c r="J914" s="164"/>
      <c r="K914" s="164"/>
      <c r="L914" s="164"/>
      <c r="M914" s="164"/>
      <c r="N914" s="164"/>
      <c r="O914" s="164"/>
      <c r="P914" s="164"/>
    </row>
    <row r="915" ht="12.75" customHeight="1">
      <c r="C915" s="164"/>
      <c r="D915" s="164"/>
      <c r="E915" s="164"/>
      <c r="F915" s="164"/>
      <c r="G915" s="164"/>
      <c r="H915" s="164"/>
      <c r="I915" s="164"/>
      <c r="J915" s="164"/>
      <c r="K915" s="164"/>
      <c r="L915" s="164"/>
      <c r="M915" s="164"/>
      <c r="N915" s="164"/>
      <c r="O915" s="164"/>
      <c r="P915" s="164"/>
    </row>
    <row r="916" ht="12.75" customHeight="1">
      <c r="C916" s="164"/>
      <c r="D916" s="164"/>
      <c r="E916" s="164"/>
      <c r="F916" s="164"/>
      <c r="G916" s="164"/>
      <c r="H916" s="164"/>
      <c r="I916" s="164"/>
      <c r="J916" s="164"/>
      <c r="K916" s="164"/>
      <c r="L916" s="164"/>
      <c r="M916" s="164"/>
      <c r="N916" s="164"/>
      <c r="O916" s="164"/>
      <c r="P916" s="164"/>
    </row>
    <row r="917" ht="12.75" customHeight="1">
      <c r="C917" s="164"/>
      <c r="D917" s="164"/>
      <c r="E917" s="164"/>
      <c r="F917" s="164"/>
      <c r="G917" s="164"/>
      <c r="H917" s="164"/>
      <c r="I917" s="164"/>
      <c r="J917" s="164"/>
      <c r="K917" s="164"/>
      <c r="L917" s="164"/>
      <c r="M917" s="164"/>
      <c r="N917" s="164"/>
      <c r="O917" s="164"/>
      <c r="P917" s="164"/>
    </row>
    <row r="918" ht="12.75" customHeight="1">
      <c r="C918" s="164"/>
      <c r="D918" s="164"/>
      <c r="E918" s="164"/>
      <c r="F918" s="164"/>
      <c r="G918" s="164"/>
      <c r="H918" s="164"/>
      <c r="I918" s="164"/>
      <c r="J918" s="164"/>
      <c r="K918" s="164"/>
      <c r="L918" s="164"/>
      <c r="M918" s="164"/>
      <c r="N918" s="164"/>
      <c r="O918" s="164"/>
      <c r="P918" s="164"/>
    </row>
    <row r="919" ht="12.75" customHeight="1">
      <c r="C919" s="164"/>
      <c r="D919" s="164"/>
      <c r="E919" s="164"/>
      <c r="F919" s="164"/>
      <c r="G919" s="164"/>
      <c r="H919" s="164"/>
      <c r="I919" s="164"/>
      <c r="J919" s="164"/>
      <c r="K919" s="164"/>
      <c r="L919" s="164"/>
      <c r="M919" s="164"/>
      <c r="N919" s="164"/>
      <c r="O919" s="164"/>
      <c r="P919" s="164"/>
    </row>
    <row r="920" ht="12.75" customHeight="1">
      <c r="C920" s="164"/>
      <c r="D920" s="164"/>
      <c r="E920" s="164"/>
      <c r="F920" s="164"/>
      <c r="G920" s="164"/>
      <c r="H920" s="164"/>
      <c r="I920" s="164"/>
      <c r="J920" s="164"/>
      <c r="K920" s="164"/>
      <c r="L920" s="164"/>
      <c r="M920" s="164"/>
      <c r="N920" s="164"/>
      <c r="O920" s="164"/>
      <c r="P920" s="164"/>
    </row>
    <row r="921" ht="12.75" customHeight="1">
      <c r="C921" s="164"/>
      <c r="D921" s="164"/>
      <c r="E921" s="164"/>
      <c r="F921" s="164"/>
      <c r="G921" s="164"/>
      <c r="H921" s="164"/>
      <c r="I921" s="164"/>
      <c r="J921" s="164"/>
      <c r="K921" s="164"/>
      <c r="L921" s="164"/>
      <c r="M921" s="164"/>
      <c r="N921" s="164"/>
      <c r="O921" s="164"/>
      <c r="P921" s="164"/>
    </row>
    <row r="922" ht="12.75" customHeight="1">
      <c r="C922" s="164"/>
      <c r="D922" s="164"/>
      <c r="E922" s="164"/>
      <c r="F922" s="164"/>
      <c r="G922" s="164"/>
      <c r="H922" s="164"/>
      <c r="I922" s="164"/>
      <c r="J922" s="164"/>
      <c r="K922" s="164"/>
      <c r="L922" s="164"/>
      <c r="M922" s="164"/>
      <c r="N922" s="164"/>
      <c r="O922" s="164"/>
      <c r="P922" s="164"/>
    </row>
    <row r="923" ht="12.75" customHeight="1">
      <c r="C923" s="164"/>
      <c r="D923" s="164"/>
      <c r="E923" s="164"/>
      <c r="F923" s="164"/>
      <c r="G923" s="164"/>
      <c r="H923" s="164"/>
      <c r="I923" s="164"/>
      <c r="J923" s="164"/>
      <c r="K923" s="164"/>
      <c r="L923" s="164"/>
      <c r="M923" s="164"/>
      <c r="N923" s="164"/>
      <c r="O923" s="164"/>
      <c r="P923" s="164"/>
    </row>
    <row r="924" ht="12.75" customHeight="1">
      <c r="C924" s="164"/>
      <c r="D924" s="164"/>
      <c r="E924" s="164"/>
      <c r="F924" s="164"/>
      <c r="G924" s="164"/>
      <c r="H924" s="164"/>
      <c r="I924" s="164"/>
      <c r="J924" s="164"/>
      <c r="K924" s="164"/>
      <c r="L924" s="164"/>
      <c r="M924" s="164"/>
      <c r="N924" s="164"/>
      <c r="O924" s="164"/>
      <c r="P924" s="164"/>
    </row>
    <row r="925" ht="12.75" customHeight="1">
      <c r="C925" s="164"/>
      <c r="D925" s="164"/>
      <c r="E925" s="164"/>
      <c r="F925" s="164"/>
      <c r="G925" s="164"/>
      <c r="H925" s="164"/>
      <c r="I925" s="164"/>
      <c r="J925" s="164"/>
      <c r="K925" s="164"/>
      <c r="L925" s="164"/>
      <c r="M925" s="164"/>
      <c r="N925" s="164"/>
      <c r="O925" s="164"/>
      <c r="P925" s="164"/>
    </row>
    <row r="926" ht="12.75" customHeight="1">
      <c r="C926" s="164"/>
      <c r="D926" s="164"/>
      <c r="E926" s="164"/>
      <c r="F926" s="164"/>
      <c r="G926" s="164"/>
      <c r="H926" s="164"/>
      <c r="I926" s="164"/>
      <c r="J926" s="164"/>
      <c r="K926" s="164"/>
      <c r="L926" s="164"/>
      <c r="M926" s="164"/>
      <c r="N926" s="164"/>
      <c r="O926" s="164"/>
      <c r="P926" s="164"/>
    </row>
    <row r="927" ht="12.75" customHeight="1">
      <c r="C927" s="164"/>
      <c r="D927" s="164"/>
      <c r="E927" s="164"/>
      <c r="F927" s="164"/>
      <c r="G927" s="164"/>
      <c r="H927" s="164"/>
      <c r="I927" s="164"/>
      <c r="J927" s="164"/>
      <c r="K927" s="164"/>
      <c r="L927" s="164"/>
      <c r="M927" s="164"/>
      <c r="N927" s="164"/>
      <c r="O927" s="164"/>
      <c r="P927" s="164"/>
    </row>
    <row r="928" ht="12.75" customHeight="1">
      <c r="C928" s="164"/>
      <c r="D928" s="164"/>
      <c r="E928" s="164"/>
      <c r="F928" s="164"/>
      <c r="G928" s="164"/>
      <c r="H928" s="164"/>
      <c r="I928" s="164"/>
      <c r="J928" s="164"/>
      <c r="K928" s="164"/>
      <c r="L928" s="164"/>
      <c r="M928" s="164"/>
      <c r="N928" s="164"/>
      <c r="O928" s="164"/>
      <c r="P928" s="164"/>
    </row>
    <row r="929" ht="12.75" customHeight="1">
      <c r="C929" s="164"/>
      <c r="D929" s="164"/>
      <c r="E929" s="164"/>
      <c r="F929" s="164"/>
      <c r="G929" s="164"/>
      <c r="H929" s="164"/>
      <c r="I929" s="164"/>
      <c r="J929" s="164"/>
      <c r="K929" s="164"/>
      <c r="L929" s="164"/>
      <c r="M929" s="164"/>
      <c r="N929" s="164"/>
      <c r="O929" s="164"/>
      <c r="P929" s="164"/>
    </row>
    <row r="930" ht="12.75" customHeight="1">
      <c r="C930" s="164"/>
      <c r="D930" s="164"/>
      <c r="E930" s="164"/>
      <c r="F930" s="164"/>
      <c r="G930" s="164"/>
      <c r="H930" s="164"/>
      <c r="I930" s="164"/>
      <c r="J930" s="164"/>
      <c r="K930" s="164"/>
      <c r="L930" s="164"/>
      <c r="M930" s="164"/>
      <c r="N930" s="164"/>
      <c r="O930" s="164"/>
      <c r="P930" s="164"/>
    </row>
    <row r="931" ht="12.75" customHeight="1">
      <c r="C931" s="164"/>
      <c r="D931" s="164"/>
      <c r="E931" s="164"/>
      <c r="F931" s="164"/>
      <c r="G931" s="164"/>
      <c r="H931" s="164"/>
      <c r="I931" s="164"/>
      <c r="J931" s="164"/>
      <c r="K931" s="164"/>
      <c r="L931" s="164"/>
      <c r="M931" s="164"/>
      <c r="N931" s="164"/>
      <c r="O931" s="164"/>
      <c r="P931" s="164"/>
    </row>
    <row r="932" ht="12.75" customHeight="1">
      <c r="C932" s="164"/>
      <c r="D932" s="164"/>
      <c r="E932" s="164"/>
      <c r="F932" s="164"/>
      <c r="G932" s="164"/>
      <c r="H932" s="164"/>
      <c r="I932" s="164"/>
      <c r="J932" s="164"/>
      <c r="K932" s="164"/>
      <c r="L932" s="164"/>
      <c r="M932" s="164"/>
      <c r="N932" s="164"/>
      <c r="O932" s="164"/>
      <c r="P932" s="164"/>
    </row>
    <row r="933" ht="12.75" customHeight="1">
      <c r="C933" s="164"/>
      <c r="D933" s="164"/>
      <c r="E933" s="164"/>
      <c r="F933" s="164"/>
      <c r="G933" s="164"/>
      <c r="H933" s="164"/>
      <c r="I933" s="164"/>
      <c r="J933" s="164"/>
      <c r="K933" s="164"/>
      <c r="L933" s="164"/>
      <c r="M933" s="164"/>
      <c r="N933" s="164"/>
      <c r="O933" s="164"/>
      <c r="P933" s="164"/>
    </row>
    <row r="934" ht="12.75" customHeight="1">
      <c r="C934" s="164"/>
      <c r="D934" s="164"/>
      <c r="E934" s="164"/>
      <c r="F934" s="164"/>
      <c r="G934" s="164"/>
      <c r="H934" s="164"/>
      <c r="I934" s="164"/>
      <c r="J934" s="164"/>
      <c r="K934" s="164"/>
      <c r="L934" s="164"/>
      <c r="M934" s="164"/>
      <c r="N934" s="164"/>
      <c r="O934" s="164"/>
      <c r="P934" s="164"/>
    </row>
    <row r="935" ht="12.75" customHeight="1">
      <c r="C935" s="164"/>
      <c r="D935" s="164"/>
      <c r="E935" s="164"/>
      <c r="F935" s="164"/>
      <c r="G935" s="164"/>
      <c r="H935" s="164"/>
      <c r="I935" s="164"/>
      <c r="J935" s="164"/>
      <c r="K935" s="164"/>
      <c r="L935" s="164"/>
      <c r="M935" s="164"/>
      <c r="N935" s="164"/>
      <c r="O935" s="164"/>
      <c r="P935" s="164"/>
    </row>
    <row r="936" ht="12.75" customHeight="1">
      <c r="C936" s="164"/>
      <c r="D936" s="164"/>
      <c r="E936" s="164"/>
      <c r="F936" s="164"/>
      <c r="G936" s="164"/>
      <c r="H936" s="164"/>
      <c r="I936" s="164"/>
      <c r="J936" s="164"/>
      <c r="K936" s="164"/>
      <c r="L936" s="164"/>
      <c r="M936" s="164"/>
      <c r="N936" s="164"/>
      <c r="O936" s="164"/>
      <c r="P936" s="164"/>
    </row>
    <row r="937" ht="12.75" customHeight="1">
      <c r="C937" s="164"/>
      <c r="D937" s="164"/>
      <c r="E937" s="164"/>
      <c r="F937" s="164"/>
      <c r="G937" s="164"/>
      <c r="H937" s="164"/>
      <c r="I937" s="164"/>
      <c r="J937" s="164"/>
      <c r="K937" s="164"/>
      <c r="L937" s="164"/>
      <c r="M937" s="164"/>
      <c r="N937" s="164"/>
      <c r="O937" s="164"/>
      <c r="P937" s="164"/>
    </row>
    <row r="938" ht="12.75" customHeight="1">
      <c r="C938" s="164"/>
      <c r="D938" s="164"/>
      <c r="E938" s="164"/>
      <c r="F938" s="164"/>
      <c r="G938" s="164"/>
      <c r="H938" s="164"/>
      <c r="I938" s="164"/>
      <c r="J938" s="164"/>
      <c r="K938" s="164"/>
      <c r="L938" s="164"/>
      <c r="M938" s="164"/>
      <c r="N938" s="164"/>
      <c r="O938" s="164"/>
      <c r="P938" s="164"/>
    </row>
    <row r="939" ht="12.75" customHeight="1">
      <c r="C939" s="164"/>
      <c r="D939" s="164"/>
      <c r="E939" s="164"/>
      <c r="F939" s="164"/>
      <c r="G939" s="164"/>
      <c r="H939" s="164"/>
      <c r="I939" s="164"/>
      <c r="J939" s="164"/>
      <c r="K939" s="164"/>
      <c r="L939" s="164"/>
      <c r="M939" s="164"/>
      <c r="N939" s="164"/>
      <c r="O939" s="164"/>
      <c r="P939" s="164"/>
    </row>
    <row r="940" ht="12.75" customHeight="1">
      <c r="C940" s="164"/>
      <c r="D940" s="164"/>
      <c r="E940" s="164"/>
      <c r="F940" s="164"/>
      <c r="G940" s="164"/>
      <c r="H940" s="164"/>
      <c r="I940" s="164"/>
      <c r="J940" s="164"/>
      <c r="K940" s="164"/>
      <c r="L940" s="164"/>
      <c r="M940" s="164"/>
      <c r="N940" s="164"/>
      <c r="O940" s="164"/>
      <c r="P940" s="164"/>
    </row>
    <row r="941" ht="12.75" customHeight="1">
      <c r="C941" s="164"/>
      <c r="D941" s="164"/>
      <c r="E941" s="164"/>
      <c r="F941" s="164"/>
      <c r="G941" s="164"/>
      <c r="H941" s="164"/>
      <c r="I941" s="164"/>
      <c r="J941" s="164"/>
      <c r="K941" s="164"/>
      <c r="L941" s="164"/>
      <c r="M941" s="164"/>
      <c r="N941" s="164"/>
      <c r="O941" s="164"/>
      <c r="P941" s="164"/>
    </row>
    <row r="942" ht="12.75" customHeight="1">
      <c r="C942" s="164"/>
      <c r="D942" s="164"/>
      <c r="E942" s="164"/>
      <c r="F942" s="164"/>
      <c r="G942" s="164"/>
      <c r="H942" s="164"/>
      <c r="I942" s="164"/>
      <c r="J942" s="164"/>
      <c r="K942" s="164"/>
      <c r="L942" s="164"/>
      <c r="M942" s="164"/>
      <c r="N942" s="164"/>
      <c r="O942" s="164"/>
      <c r="P942" s="164"/>
    </row>
    <row r="943" ht="12.75" customHeight="1">
      <c r="C943" s="164"/>
      <c r="D943" s="164"/>
      <c r="E943" s="164"/>
      <c r="F943" s="164"/>
      <c r="G943" s="164"/>
      <c r="H943" s="164"/>
      <c r="I943" s="164"/>
      <c r="J943" s="164"/>
      <c r="K943" s="164"/>
      <c r="L943" s="164"/>
      <c r="M943" s="164"/>
      <c r="N943" s="164"/>
      <c r="O943" s="164"/>
      <c r="P943" s="164"/>
    </row>
    <row r="944" ht="12.75" customHeight="1">
      <c r="C944" s="164"/>
      <c r="D944" s="164"/>
      <c r="E944" s="164"/>
      <c r="F944" s="164"/>
      <c r="G944" s="164"/>
      <c r="H944" s="164"/>
      <c r="I944" s="164"/>
      <c r="J944" s="164"/>
      <c r="K944" s="164"/>
      <c r="L944" s="164"/>
      <c r="M944" s="164"/>
      <c r="N944" s="164"/>
      <c r="O944" s="164"/>
      <c r="P944" s="164"/>
    </row>
    <row r="945" ht="12.75" customHeight="1">
      <c r="C945" s="164"/>
      <c r="D945" s="164"/>
      <c r="E945" s="164"/>
      <c r="F945" s="164"/>
      <c r="G945" s="164"/>
      <c r="H945" s="164"/>
      <c r="I945" s="164"/>
      <c r="J945" s="164"/>
      <c r="K945" s="164"/>
      <c r="L945" s="164"/>
      <c r="M945" s="164"/>
      <c r="N945" s="164"/>
      <c r="O945" s="164"/>
      <c r="P945" s="164"/>
    </row>
    <row r="946" ht="12.75" customHeight="1">
      <c r="C946" s="164"/>
      <c r="D946" s="164"/>
      <c r="E946" s="164"/>
      <c r="F946" s="164"/>
      <c r="G946" s="164"/>
      <c r="H946" s="164"/>
      <c r="I946" s="164"/>
      <c r="J946" s="164"/>
      <c r="K946" s="164"/>
      <c r="L946" s="164"/>
      <c r="M946" s="164"/>
      <c r="N946" s="164"/>
      <c r="O946" s="164"/>
      <c r="P946" s="164"/>
    </row>
    <row r="947" ht="12.75" customHeight="1">
      <c r="C947" s="164"/>
      <c r="D947" s="164"/>
      <c r="E947" s="164"/>
      <c r="F947" s="164"/>
      <c r="G947" s="164"/>
      <c r="H947" s="164"/>
      <c r="I947" s="164"/>
      <c r="J947" s="164"/>
      <c r="K947" s="164"/>
      <c r="L947" s="164"/>
      <c r="M947" s="164"/>
      <c r="N947" s="164"/>
      <c r="O947" s="164"/>
      <c r="P947" s="164"/>
    </row>
    <row r="948" ht="12.75" customHeight="1">
      <c r="C948" s="164"/>
      <c r="D948" s="164"/>
      <c r="E948" s="164"/>
      <c r="F948" s="164"/>
      <c r="G948" s="164"/>
      <c r="H948" s="164"/>
      <c r="I948" s="164"/>
      <c r="J948" s="164"/>
      <c r="K948" s="164"/>
      <c r="L948" s="164"/>
      <c r="M948" s="164"/>
      <c r="N948" s="164"/>
      <c r="O948" s="164"/>
      <c r="P948" s="164"/>
    </row>
    <row r="949" ht="12.75" customHeight="1">
      <c r="C949" s="164"/>
      <c r="D949" s="164"/>
      <c r="E949" s="164"/>
      <c r="F949" s="164"/>
      <c r="G949" s="164"/>
      <c r="H949" s="164"/>
      <c r="I949" s="164"/>
      <c r="J949" s="164"/>
      <c r="K949" s="164"/>
      <c r="L949" s="164"/>
      <c r="M949" s="164"/>
      <c r="N949" s="164"/>
      <c r="O949" s="164"/>
      <c r="P949" s="164"/>
    </row>
    <row r="950" ht="12.75" customHeight="1">
      <c r="C950" s="164"/>
      <c r="D950" s="164"/>
      <c r="E950" s="164"/>
      <c r="F950" s="164"/>
      <c r="G950" s="164"/>
      <c r="H950" s="164"/>
      <c r="I950" s="164"/>
      <c r="J950" s="164"/>
      <c r="K950" s="164"/>
      <c r="L950" s="164"/>
      <c r="M950" s="164"/>
      <c r="N950" s="164"/>
      <c r="O950" s="164"/>
      <c r="P950" s="164"/>
    </row>
    <row r="951" ht="12.75" customHeight="1">
      <c r="C951" s="164"/>
      <c r="D951" s="164"/>
      <c r="E951" s="164"/>
      <c r="F951" s="164"/>
      <c r="G951" s="164"/>
      <c r="H951" s="164"/>
      <c r="I951" s="164"/>
      <c r="J951" s="164"/>
      <c r="K951" s="164"/>
      <c r="L951" s="164"/>
      <c r="M951" s="164"/>
      <c r="N951" s="164"/>
      <c r="O951" s="164"/>
      <c r="P951" s="164"/>
    </row>
    <row r="952" ht="12.75" customHeight="1">
      <c r="C952" s="164"/>
      <c r="D952" s="164"/>
      <c r="E952" s="164"/>
      <c r="F952" s="164"/>
      <c r="G952" s="164"/>
      <c r="H952" s="164"/>
      <c r="I952" s="164"/>
      <c r="J952" s="164"/>
      <c r="K952" s="164"/>
      <c r="L952" s="164"/>
      <c r="M952" s="164"/>
      <c r="N952" s="164"/>
      <c r="O952" s="164"/>
      <c r="P952" s="164"/>
    </row>
    <row r="953" ht="12.75" customHeight="1">
      <c r="C953" s="164"/>
      <c r="D953" s="164"/>
      <c r="E953" s="164"/>
      <c r="F953" s="164"/>
      <c r="G953" s="164"/>
      <c r="H953" s="164"/>
      <c r="I953" s="164"/>
      <c r="J953" s="164"/>
      <c r="K953" s="164"/>
      <c r="L953" s="164"/>
      <c r="M953" s="164"/>
      <c r="N953" s="164"/>
      <c r="O953" s="164"/>
      <c r="P953" s="164"/>
    </row>
    <row r="954" ht="12.75" customHeight="1">
      <c r="C954" s="164"/>
      <c r="D954" s="164"/>
      <c r="E954" s="164"/>
      <c r="F954" s="164"/>
      <c r="G954" s="164"/>
      <c r="H954" s="164"/>
      <c r="I954" s="164"/>
      <c r="J954" s="164"/>
      <c r="K954" s="164"/>
      <c r="L954" s="164"/>
      <c r="M954" s="164"/>
      <c r="N954" s="164"/>
      <c r="O954" s="164"/>
      <c r="P954" s="164"/>
    </row>
    <row r="955" ht="12.75" customHeight="1">
      <c r="C955" s="164"/>
      <c r="D955" s="164"/>
      <c r="E955" s="164"/>
      <c r="F955" s="164"/>
      <c r="G955" s="164"/>
      <c r="H955" s="164"/>
      <c r="I955" s="164"/>
      <c r="J955" s="164"/>
      <c r="K955" s="164"/>
      <c r="L955" s="164"/>
      <c r="M955" s="164"/>
      <c r="N955" s="164"/>
      <c r="O955" s="164"/>
      <c r="P955" s="164"/>
    </row>
    <row r="956" ht="12.75" customHeight="1">
      <c r="C956" s="164"/>
      <c r="D956" s="164"/>
      <c r="E956" s="164"/>
      <c r="F956" s="164"/>
      <c r="G956" s="164"/>
      <c r="H956" s="164"/>
      <c r="I956" s="164"/>
      <c r="J956" s="164"/>
      <c r="K956" s="164"/>
      <c r="L956" s="164"/>
      <c r="M956" s="164"/>
      <c r="N956" s="164"/>
      <c r="O956" s="164"/>
      <c r="P956" s="164"/>
    </row>
    <row r="957" ht="12.75" customHeight="1">
      <c r="C957" s="164"/>
      <c r="D957" s="164"/>
      <c r="E957" s="164"/>
      <c r="F957" s="164"/>
      <c r="G957" s="164"/>
      <c r="H957" s="164"/>
      <c r="I957" s="164"/>
      <c r="J957" s="164"/>
      <c r="K957" s="164"/>
      <c r="L957" s="164"/>
      <c r="M957" s="164"/>
      <c r="N957" s="164"/>
      <c r="O957" s="164"/>
      <c r="P957" s="164"/>
    </row>
    <row r="958" ht="12.75" customHeight="1">
      <c r="C958" s="164"/>
      <c r="D958" s="164"/>
      <c r="E958" s="164"/>
      <c r="F958" s="164"/>
      <c r="G958" s="164"/>
      <c r="H958" s="164"/>
      <c r="I958" s="164"/>
      <c r="J958" s="164"/>
      <c r="K958" s="164"/>
      <c r="L958" s="164"/>
      <c r="M958" s="164"/>
      <c r="N958" s="164"/>
      <c r="O958" s="164"/>
      <c r="P958" s="164"/>
    </row>
    <row r="959" ht="12.75" customHeight="1">
      <c r="C959" s="164"/>
      <c r="D959" s="164"/>
      <c r="E959" s="164"/>
      <c r="F959" s="164"/>
      <c r="G959" s="164"/>
      <c r="H959" s="164"/>
      <c r="I959" s="164"/>
      <c r="J959" s="164"/>
      <c r="K959" s="164"/>
      <c r="L959" s="164"/>
      <c r="M959" s="164"/>
      <c r="N959" s="164"/>
      <c r="O959" s="164"/>
      <c r="P959" s="164"/>
    </row>
    <row r="960" ht="12.75" customHeight="1">
      <c r="C960" s="164"/>
      <c r="D960" s="164"/>
      <c r="E960" s="164"/>
      <c r="F960" s="164"/>
      <c r="G960" s="164"/>
      <c r="H960" s="164"/>
      <c r="I960" s="164"/>
      <c r="J960" s="164"/>
      <c r="K960" s="164"/>
      <c r="L960" s="164"/>
      <c r="M960" s="164"/>
      <c r="N960" s="164"/>
      <c r="O960" s="164"/>
      <c r="P960" s="164"/>
    </row>
    <row r="961" ht="12.75" customHeight="1">
      <c r="C961" s="164"/>
      <c r="D961" s="164"/>
      <c r="E961" s="164"/>
      <c r="F961" s="164"/>
      <c r="G961" s="164"/>
      <c r="H961" s="164"/>
      <c r="I961" s="164"/>
      <c r="J961" s="164"/>
      <c r="K961" s="164"/>
      <c r="L961" s="164"/>
      <c r="M961" s="164"/>
      <c r="N961" s="164"/>
      <c r="O961" s="164"/>
      <c r="P961" s="164"/>
    </row>
    <row r="962" ht="12.75" customHeight="1">
      <c r="C962" s="164"/>
      <c r="D962" s="164"/>
      <c r="E962" s="164"/>
      <c r="F962" s="164"/>
      <c r="G962" s="164"/>
      <c r="H962" s="164"/>
      <c r="I962" s="164"/>
      <c r="J962" s="164"/>
      <c r="K962" s="164"/>
      <c r="L962" s="164"/>
      <c r="M962" s="164"/>
      <c r="N962" s="164"/>
      <c r="O962" s="164"/>
      <c r="P962" s="164"/>
    </row>
    <row r="963" ht="12.75" customHeight="1">
      <c r="C963" s="164"/>
      <c r="D963" s="164"/>
      <c r="E963" s="164"/>
      <c r="F963" s="164"/>
      <c r="G963" s="164"/>
      <c r="H963" s="164"/>
      <c r="I963" s="164"/>
      <c r="J963" s="164"/>
      <c r="K963" s="164"/>
      <c r="L963" s="164"/>
      <c r="M963" s="164"/>
      <c r="N963" s="164"/>
      <c r="O963" s="164"/>
      <c r="P963" s="164"/>
    </row>
    <row r="964" ht="12.75" customHeight="1">
      <c r="C964" s="164"/>
      <c r="D964" s="164"/>
      <c r="E964" s="164"/>
      <c r="F964" s="164"/>
      <c r="G964" s="164"/>
      <c r="H964" s="164"/>
      <c r="I964" s="164"/>
      <c r="J964" s="164"/>
      <c r="K964" s="164"/>
      <c r="L964" s="164"/>
      <c r="M964" s="164"/>
      <c r="N964" s="164"/>
      <c r="O964" s="164"/>
      <c r="P964" s="164"/>
    </row>
    <row r="965" ht="12.75" customHeight="1">
      <c r="C965" s="164"/>
      <c r="D965" s="164"/>
      <c r="E965" s="164"/>
      <c r="F965" s="164"/>
      <c r="G965" s="164"/>
      <c r="H965" s="164"/>
      <c r="I965" s="164"/>
      <c r="J965" s="164"/>
      <c r="K965" s="164"/>
      <c r="L965" s="164"/>
      <c r="M965" s="164"/>
      <c r="N965" s="164"/>
      <c r="O965" s="164"/>
      <c r="P965" s="164"/>
    </row>
    <row r="966" ht="12.75" customHeight="1">
      <c r="C966" s="164"/>
      <c r="D966" s="164"/>
      <c r="E966" s="164"/>
      <c r="F966" s="164"/>
      <c r="G966" s="164"/>
      <c r="H966" s="164"/>
      <c r="I966" s="164"/>
      <c r="J966" s="164"/>
      <c r="K966" s="164"/>
      <c r="L966" s="164"/>
      <c r="M966" s="164"/>
      <c r="N966" s="164"/>
      <c r="O966" s="164"/>
      <c r="P966" s="164"/>
    </row>
    <row r="967" ht="12.75" customHeight="1">
      <c r="C967" s="164"/>
      <c r="D967" s="164"/>
      <c r="E967" s="164"/>
      <c r="F967" s="164"/>
      <c r="G967" s="164"/>
      <c r="H967" s="164"/>
      <c r="I967" s="164"/>
      <c r="J967" s="164"/>
      <c r="K967" s="164"/>
      <c r="L967" s="164"/>
      <c r="M967" s="164"/>
      <c r="N967" s="164"/>
      <c r="O967" s="164"/>
      <c r="P967" s="164"/>
    </row>
    <row r="968" ht="12.75" customHeight="1">
      <c r="C968" s="164"/>
      <c r="D968" s="164"/>
      <c r="E968" s="164"/>
      <c r="F968" s="164"/>
      <c r="G968" s="164"/>
      <c r="H968" s="164"/>
      <c r="I968" s="164"/>
      <c r="J968" s="164"/>
      <c r="K968" s="164"/>
      <c r="L968" s="164"/>
      <c r="M968" s="164"/>
      <c r="N968" s="164"/>
      <c r="O968" s="164"/>
      <c r="P968" s="164"/>
    </row>
    <row r="969" ht="12.75" customHeight="1">
      <c r="C969" s="164"/>
      <c r="D969" s="164"/>
      <c r="E969" s="164"/>
      <c r="F969" s="164"/>
      <c r="G969" s="164"/>
      <c r="H969" s="164"/>
      <c r="I969" s="164"/>
      <c r="J969" s="164"/>
      <c r="K969" s="164"/>
      <c r="L969" s="164"/>
      <c r="M969" s="164"/>
      <c r="N969" s="164"/>
      <c r="O969" s="164"/>
      <c r="P969" s="164"/>
    </row>
    <row r="970" ht="12.75" customHeight="1">
      <c r="C970" s="164"/>
      <c r="D970" s="164"/>
      <c r="E970" s="164"/>
      <c r="F970" s="164"/>
      <c r="G970" s="164"/>
      <c r="H970" s="164"/>
      <c r="I970" s="164"/>
      <c r="J970" s="164"/>
      <c r="K970" s="164"/>
      <c r="L970" s="164"/>
      <c r="M970" s="164"/>
      <c r="N970" s="164"/>
      <c r="O970" s="164"/>
      <c r="P970" s="164"/>
    </row>
    <row r="971" ht="12.75" customHeight="1">
      <c r="C971" s="164"/>
      <c r="D971" s="164"/>
      <c r="E971" s="164"/>
      <c r="F971" s="164"/>
      <c r="G971" s="164"/>
      <c r="H971" s="164"/>
      <c r="I971" s="164"/>
      <c r="J971" s="164"/>
      <c r="K971" s="164"/>
      <c r="L971" s="164"/>
      <c r="M971" s="164"/>
      <c r="N971" s="164"/>
      <c r="O971" s="164"/>
      <c r="P971" s="164"/>
    </row>
    <row r="972" ht="12.75" customHeight="1">
      <c r="C972" s="164"/>
      <c r="D972" s="164"/>
      <c r="E972" s="164"/>
      <c r="F972" s="164"/>
      <c r="G972" s="164"/>
      <c r="H972" s="164"/>
      <c r="I972" s="164"/>
      <c r="J972" s="164"/>
      <c r="K972" s="164"/>
      <c r="L972" s="164"/>
      <c r="M972" s="164"/>
      <c r="N972" s="164"/>
      <c r="O972" s="164"/>
      <c r="P972" s="164"/>
    </row>
    <row r="973" ht="12.75" customHeight="1">
      <c r="C973" s="164"/>
      <c r="D973" s="164"/>
      <c r="E973" s="164"/>
      <c r="F973" s="164"/>
      <c r="G973" s="164"/>
      <c r="H973" s="164"/>
      <c r="I973" s="164"/>
      <c r="J973" s="164"/>
      <c r="K973" s="164"/>
      <c r="L973" s="164"/>
      <c r="M973" s="164"/>
      <c r="N973" s="164"/>
      <c r="O973" s="164"/>
      <c r="P973" s="164"/>
    </row>
    <row r="974" ht="12.75" customHeight="1">
      <c r="C974" s="164"/>
      <c r="D974" s="164"/>
      <c r="E974" s="164"/>
      <c r="F974" s="164"/>
      <c r="G974" s="164"/>
      <c r="H974" s="164"/>
      <c r="I974" s="164"/>
      <c r="J974" s="164"/>
      <c r="K974" s="164"/>
      <c r="L974" s="164"/>
      <c r="M974" s="164"/>
      <c r="N974" s="164"/>
      <c r="O974" s="164"/>
      <c r="P974" s="164"/>
    </row>
    <row r="975" ht="12.75" customHeight="1">
      <c r="C975" s="164"/>
      <c r="D975" s="164"/>
      <c r="E975" s="164"/>
      <c r="F975" s="164"/>
      <c r="G975" s="164"/>
      <c r="H975" s="164"/>
      <c r="I975" s="164"/>
      <c r="J975" s="164"/>
      <c r="K975" s="164"/>
      <c r="L975" s="164"/>
      <c r="M975" s="164"/>
      <c r="N975" s="164"/>
      <c r="O975" s="164"/>
      <c r="P975" s="164"/>
    </row>
    <row r="976" ht="12.75" customHeight="1">
      <c r="C976" s="164"/>
      <c r="D976" s="164"/>
      <c r="E976" s="164"/>
      <c r="F976" s="164"/>
      <c r="G976" s="164"/>
      <c r="H976" s="164"/>
      <c r="I976" s="164"/>
      <c r="J976" s="164"/>
      <c r="K976" s="164"/>
      <c r="L976" s="164"/>
      <c r="M976" s="164"/>
      <c r="N976" s="164"/>
      <c r="O976" s="164"/>
      <c r="P976" s="164"/>
    </row>
    <row r="977" ht="12.75" customHeight="1">
      <c r="C977" s="164"/>
      <c r="D977" s="164"/>
      <c r="E977" s="164"/>
      <c r="F977" s="164"/>
      <c r="G977" s="164"/>
      <c r="H977" s="164"/>
      <c r="I977" s="164"/>
      <c r="J977" s="164"/>
      <c r="K977" s="164"/>
      <c r="L977" s="164"/>
      <c r="M977" s="164"/>
      <c r="N977" s="164"/>
      <c r="O977" s="164"/>
      <c r="P977" s="164"/>
    </row>
    <row r="978" ht="12.75" customHeight="1">
      <c r="C978" s="164"/>
      <c r="D978" s="164"/>
      <c r="E978" s="164"/>
      <c r="F978" s="164"/>
      <c r="G978" s="164"/>
      <c r="H978" s="164"/>
      <c r="I978" s="164"/>
      <c r="J978" s="164"/>
      <c r="K978" s="164"/>
      <c r="L978" s="164"/>
      <c r="M978" s="164"/>
      <c r="N978" s="164"/>
      <c r="O978" s="164"/>
      <c r="P978" s="164"/>
    </row>
    <row r="979" ht="12.75" customHeight="1">
      <c r="C979" s="164"/>
      <c r="D979" s="164"/>
      <c r="E979" s="164"/>
      <c r="F979" s="164"/>
      <c r="G979" s="164"/>
      <c r="H979" s="164"/>
      <c r="I979" s="164"/>
      <c r="J979" s="164"/>
      <c r="K979" s="164"/>
      <c r="L979" s="164"/>
      <c r="M979" s="164"/>
      <c r="N979" s="164"/>
      <c r="O979" s="164"/>
      <c r="P979" s="164"/>
    </row>
    <row r="980" ht="12.75" customHeight="1">
      <c r="C980" s="164"/>
      <c r="D980" s="164"/>
      <c r="E980" s="164"/>
      <c r="F980" s="164"/>
      <c r="G980" s="164"/>
      <c r="H980" s="164"/>
      <c r="I980" s="164"/>
      <c r="J980" s="164"/>
      <c r="K980" s="164"/>
      <c r="L980" s="164"/>
      <c r="M980" s="164"/>
      <c r="N980" s="164"/>
      <c r="O980" s="164"/>
      <c r="P980" s="164"/>
    </row>
    <row r="981" ht="12.75" customHeight="1">
      <c r="C981" s="164"/>
      <c r="D981" s="164"/>
      <c r="E981" s="164"/>
      <c r="F981" s="164"/>
      <c r="G981" s="164"/>
      <c r="H981" s="164"/>
      <c r="I981" s="164"/>
      <c r="J981" s="164"/>
      <c r="K981" s="164"/>
      <c r="L981" s="164"/>
      <c r="M981" s="164"/>
      <c r="N981" s="164"/>
      <c r="O981" s="164"/>
      <c r="P981" s="164"/>
    </row>
    <row r="982" ht="12.75" customHeight="1">
      <c r="C982" s="164"/>
      <c r="D982" s="164"/>
      <c r="E982" s="164"/>
      <c r="F982" s="164"/>
      <c r="G982" s="164"/>
      <c r="H982" s="164"/>
      <c r="I982" s="164"/>
      <c r="J982" s="164"/>
      <c r="K982" s="164"/>
      <c r="L982" s="164"/>
      <c r="M982" s="164"/>
      <c r="N982" s="164"/>
      <c r="O982" s="164"/>
      <c r="P982" s="164"/>
    </row>
    <row r="983" ht="12.75" customHeight="1">
      <c r="C983" s="164"/>
      <c r="D983" s="164"/>
      <c r="E983" s="164"/>
      <c r="F983" s="164"/>
      <c r="G983" s="164"/>
      <c r="H983" s="164"/>
      <c r="I983" s="164"/>
      <c r="J983" s="164"/>
      <c r="K983" s="164"/>
      <c r="L983" s="164"/>
      <c r="M983" s="164"/>
      <c r="N983" s="164"/>
      <c r="O983" s="164"/>
      <c r="P983" s="164"/>
    </row>
    <row r="984" ht="12.75" customHeight="1">
      <c r="C984" s="164"/>
      <c r="D984" s="164"/>
      <c r="E984" s="164"/>
      <c r="F984" s="164"/>
      <c r="G984" s="164"/>
      <c r="H984" s="164"/>
      <c r="I984" s="164"/>
      <c r="J984" s="164"/>
      <c r="K984" s="164"/>
      <c r="L984" s="164"/>
      <c r="M984" s="164"/>
      <c r="N984" s="164"/>
      <c r="O984" s="164"/>
      <c r="P984" s="164"/>
    </row>
    <row r="985" ht="12.75" customHeight="1">
      <c r="C985" s="164"/>
      <c r="D985" s="164"/>
      <c r="E985" s="164"/>
      <c r="F985" s="164"/>
      <c r="G985" s="164"/>
      <c r="H985" s="164"/>
      <c r="I985" s="164"/>
      <c r="J985" s="164"/>
      <c r="K985" s="164"/>
      <c r="L985" s="164"/>
      <c r="M985" s="164"/>
      <c r="N985" s="164"/>
      <c r="O985" s="164"/>
      <c r="P985" s="164"/>
    </row>
    <row r="986" ht="12.75" customHeight="1">
      <c r="C986" s="164"/>
      <c r="D986" s="164"/>
      <c r="E986" s="164"/>
      <c r="F986" s="164"/>
      <c r="G986" s="164"/>
      <c r="H986" s="164"/>
      <c r="I986" s="164"/>
      <c r="J986" s="164"/>
      <c r="K986" s="164"/>
      <c r="L986" s="164"/>
      <c r="M986" s="164"/>
      <c r="N986" s="164"/>
      <c r="O986" s="164"/>
      <c r="P986" s="164"/>
    </row>
    <row r="987" ht="12.75" customHeight="1">
      <c r="C987" s="164"/>
      <c r="D987" s="164"/>
      <c r="E987" s="164"/>
      <c r="F987" s="164"/>
      <c r="G987" s="164"/>
      <c r="H987" s="164"/>
      <c r="I987" s="164"/>
      <c r="J987" s="164"/>
      <c r="K987" s="164"/>
      <c r="L987" s="164"/>
      <c r="M987" s="164"/>
      <c r="N987" s="164"/>
      <c r="O987" s="164"/>
      <c r="P987" s="164"/>
    </row>
    <row r="988" ht="12.75" customHeight="1">
      <c r="C988" s="164"/>
      <c r="D988" s="164"/>
      <c r="E988" s="164"/>
      <c r="F988" s="164"/>
      <c r="G988" s="164"/>
      <c r="H988" s="164"/>
      <c r="I988" s="164"/>
      <c r="J988" s="164"/>
      <c r="K988" s="164"/>
      <c r="L988" s="164"/>
      <c r="M988" s="164"/>
      <c r="N988" s="164"/>
      <c r="O988" s="164"/>
      <c r="P988" s="164"/>
    </row>
    <row r="989" ht="12.75" customHeight="1">
      <c r="C989" s="164"/>
      <c r="D989" s="164"/>
      <c r="E989" s="164"/>
      <c r="F989" s="164"/>
      <c r="G989" s="164"/>
      <c r="H989" s="164"/>
      <c r="I989" s="164"/>
      <c r="J989" s="164"/>
      <c r="K989" s="164"/>
      <c r="L989" s="164"/>
      <c r="M989" s="164"/>
      <c r="N989" s="164"/>
      <c r="O989" s="164"/>
      <c r="P989" s="164"/>
    </row>
    <row r="990" ht="12.75" customHeight="1">
      <c r="C990" s="164"/>
      <c r="D990" s="164"/>
      <c r="E990" s="164"/>
      <c r="F990" s="164"/>
      <c r="G990" s="164"/>
      <c r="H990" s="164"/>
      <c r="I990" s="164"/>
      <c r="J990" s="164"/>
      <c r="K990" s="164"/>
      <c r="L990" s="164"/>
      <c r="M990" s="164"/>
      <c r="N990" s="164"/>
      <c r="O990" s="164"/>
      <c r="P990" s="164"/>
    </row>
    <row r="991" ht="12.75" customHeight="1">
      <c r="C991" s="164"/>
      <c r="D991" s="164"/>
      <c r="E991" s="164"/>
      <c r="F991" s="164"/>
      <c r="G991" s="164"/>
      <c r="H991" s="164"/>
      <c r="I991" s="164"/>
      <c r="J991" s="164"/>
      <c r="K991" s="164"/>
      <c r="L991" s="164"/>
      <c r="M991" s="164"/>
      <c r="N991" s="164"/>
      <c r="O991" s="164"/>
      <c r="P991" s="164"/>
    </row>
    <row r="992" ht="12.75" customHeight="1">
      <c r="C992" s="164"/>
      <c r="D992" s="164"/>
      <c r="E992" s="164"/>
      <c r="F992" s="164"/>
      <c r="G992" s="164"/>
      <c r="H992" s="164"/>
      <c r="I992" s="164"/>
      <c r="J992" s="164"/>
      <c r="K992" s="164"/>
      <c r="L992" s="164"/>
      <c r="M992" s="164"/>
      <c r="N992" s="164"/>
      <c r="O992" s="164"/>
      <c r="P992" s="164"/>
    </row>
    <row r="993" ht="12.75" customHeight="1">
      <c r="C993" s="164"/>
      <c r="D993" s="164"/>
      <c r="E993" s="164"/>
      <c r="F993" s="164"/>
      <c r="G993" s="164"/>
      <c r="H993" s="164"/>
      <c r="I993" s="164"/>
      <c r="J993" s="164"/>
      <c r="K993" s="164"/>
      <c r="L993" s="164"/>
      <c r="M993" s="164"/>
      <c r="N993" s="164"/>
      <c r="O993" s="164"/>
      <c r="P993" s="164"/>
    </row>
    <row r="994" ht="12.75" customHeight="1">
      <c r="C994" s="164"/>
      <c r="D994" s="164"/>
      <c r="E994" s="164"/>
      <c r="F994" s="164"/>
      <c r="G994" s="164"/>
      <c r="H994" s="164"/>
      <c r="I994" s="164"/>
      <c r="J994" s="164"/>
      <c r="K994" s="164"/>
      <c r="L994" s="164"/>
      <c r="M994" s="164"/>
      <c r="N994" s="164"/>
      <c r="O994" s="164"/>
      <c r="P994" s="164"/>
    </row>
    <row r="995" ht="12.75" customHeight="1">
      <c r="C995" s="164"/>
      <c r="D995" s="164"/>
      <c r="E995" s="164"/>
      <c r="F995" s="164"/>
      <c r="G995" s="164"/>
      <c r="H995" s="164"/>
      <c r="I995" s="164"/>
      <c r="J995" s="164"/>
      <c r="K995" s="164"/>
      <c r="L995" s="164"/>
      <c r="M995" s="164"/>
      <c r="N995" s="164"/>
      <c r="O995" s="164"/>
      <c r="P995" s="164"/>
    </row>
    <row r="996" ht="12.75" customHeight="1">
      <c r="C996" s="164"/>
      <c r="D996" s="164"/>
      <c r="E996" s="164"/>
      <c r="F996" s="164"/>
      <c r="G996" s="164"/>
      <c r="H996" s="164"/>
      <c r="I996" s="164"/>
      <c r="J996" s="164"/>
      <c r="K996" s="164"/>
      <c r="L996" s="164"/>
      <c r="M996" s="164"/>
      <c r="N996" s="164"/>
      <c r="O996" s="164"/>
      <c r="P996" s="164"/>
    </row>
    <row r="997" ht="12.75" customHeight="1">
      <c r="C997" s="164"/>
      <c r="D997" s="164"/>
      <c r="E997" s="164"/>
      <c r="F997" s="164"/>
      <c r="G997" s="164"/>
      <c r="H997" s="164"/>
      <c r="I997" s="164"/>
      <c r="J997" s="164"/>
      <c r="K997" s="164"/>
      <c r="L997" s="164"/>
      <c r="M997" s="164"/>
      <c r="N997" s="164"/>
      <c r="O997" s="164"/>
      <c r="P997" s="164"/>
    </row>
    <row r="998" ht="12.75" customHeight="1">
      <c r="C998" s="164"/>
      <c r="D998" s="164"/>
      <c r="E998" s="164"/>
      <c r="F998" s="164"/>
      <c r="G998" s="164"/>
      <c r="H998" s="164"/>
      <c r="I998" s="164"/>
      <c r="J998" s="164"/>
      <c r="K998" s="164"/>
      <c r="L998" s="164"/>
      <c r="M998" s="164"/>
      <c r="N998" s="164"/>
      <c r="O998" s="164"/>
      <c r="P998" s="164"/>
    </row>
    <row r="999" ht="12.75" customHeight="1">
      <c r="C999" s="164"/>
      <c r="D999" s="164"/>
      <c r="E999" s="164"/>
      <c r="F999" s="164"/>
      <c r="G999" s="164"/>
      <c r="H999" s="164"/>
      <c r="I999" s="164"/>
      <c r="J999" s="164"/>
      <c r="K999" s="164"/>
      <c r="L999" s="164"/>
      <c r="M999" s="164"/>
      <c r="N999" s="164"/>
      <c r="O999" s="164"/>
      <c r="P999" s="164"/>
    </row>
    <row r="1000" ht="12.75" customHeight="1">
      <c r="C1000" s="164"/>
      <c r="D1000" s="164"/>
      <c r="E1000" s="164"/>
      <c r="F1000" s="164"/>
      <c r="G1000" s="164"/>
      <c r="H1000" s="164"/>
      <c r="I1000" s="164"/>
      <c r="J1000" s="164"/>
      <c r="K1000" s="164"/>
      <c r="L1000" s="164"/>
      <c r="M1000" s="164"/>
      <c r="N1000" s="164"/>
      <c r="O1000" s="164"/>
      <c r="P1000" s="164"/>
    </row>
  </sheetData>
  <hyperlinks>
    <hyperlink r:id="rId1" ref="Q19"/>
    <hyperlink r:id="rId2" ref="Q21"/>
    <hyperlink r:id="rId3" ref="Q24"/>
    <hyperlink r:id="rId4" ref="Q43"/>
    <hyperlink r:id="rId5" ref="Q52"/>
    <hyperlink r:id="rId6" ref="Q53"/>
    <hyperlink r:id="rId7" ref="Q56"/>
  </hyperlinks>
  <printOptions/>
  <pageMargins bottom="0.75" footer="0.0" header="0.0" left="0.7" right="0.7" top="0.75"/>
  <pageSetup orientation="landscape"/>
  <drawing r:id="rId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2006-12-28T19:12:34Z</dcterms:created>
  <dc:creator>Student</dc:creator>
</cp:coreProperties>
</file>

<file path=docProps/custom.xml><?xml version="1.0" encoding="utf-8"?>
<Properties xmlns="http://schemas.openxmlformats.org/officeDocument/2006/custom-properties" xmlns:vt="http://schemas.openxmlformats.org/officeDocument/2006/docPropsVTypes"/>
</file>