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5.xml" ContentType="application/vnd.openxmlformats-officedocument.spreadsheetml.comments+xml"/>
  <Override PartName="/xl/threadedComments/threadedComment5.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omments6.xml" ContentType="application/vnd.openxmlformats-officedocument.spreadsheetml.comments+xml"/>
  <Override PartName="/xl/threadedComments/threadedComment6.xml" ContentType="application/vnd.ms-excel.threadedcomments+xml"/>
  <Override PartName="/xl/drawings/drawing6.xml" ContentType="application/vnd.openxmlformats-officedocument.drawing+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comments7.xml" ContentType="application/vnd.openxmlformats-officedocument.spreadsheetml.comments+xml"/>
  <Override PartName="/xl/threadedComments/threadedComment7.xml" ContentType="application/vnd.ms-excel.threaded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comments8.xml" ContentType="application/vnd.openxmlformats-officedocument.spreadsheetml.comments+xml"/>
  <Override PartName="/xl/threadedComments/threadedComment8.xml" ContentType="application/vnd.ms-excel.threaded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comments9.xml" ContentType="application/vnd.openxmlformats-officedocument.spreadsheetml.comments+xml"/>
  <Override PartName="/xl/threadedComments/threadedComment9.xml" ContentType="application/vnd.ms-excel.threadedcomment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comments10.xml" ContentType="application/vnd.openxmlformats-officedocument.spreadsheetml.comments+xml"/>
  <Override PartName="/xl/threadedComments/threadedComment10.xml" ContentType="application/vnd.ms-excel.threadedcomments+xml"/>
  <Override PartName="/xl/drawings/drawing9.xml" ContentType="application/vnd.openxmlformats-officedocument.drawing+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comments11.xml" ContentType="application/vnd.openxmlformats-officedocument.spreadsheetml.comments+xml"/>
  <Override PartName="/xl/threadedComments/threadedComment11.xml" ContentType="application/vnd.ms-excel.threadedcomment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comments12.xml" ContentType="application/vnd.openxmlformats-officedocument.spreadsheetml.comments+xml"/>
  <Override PartName="/xl/threadedComments/threadedComment12.xml" ContentType="application/vnd.ms-excel.threadedcomment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omments13.xml" ContentType="application/vnd.openxmlformats-officedocument.spreadsheetml.comments+xml"/>
  <Override PartName="/xl/threadedComments/threadedComment13.xml" ContentType="application/vnd.ms-excel.threadedcomments+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comments14.xml" ContentType="application/vnd.openxmlformats-officedocument.spreadsheetml.comments+xml"/>
  <Override PartName="/xl/threadedComments/threadedComment14.xml" ContentType="application/vnd.ms-excel.threadedcomments+xml"/>
  <Override PartName="/xl/drawings/drawing11.xml" ContentType="application/vnd.openxmlformats-officedocument.drawing+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comments15.xml" ContentType="application/vnd.openxmlformats-officedocument.spreadsheetml.comments+xml"/>
  <Override PartName="/xl/threadedComments/threadedComment15.xml" ContentType="application/vnd.ms-excel.threadedcomment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comments17.xml" ContentType="application/vnd.openxmlformats-officedocument.spreadsheetml.comments+xml"/>
  <Override PartName="/xl/threadedComments/threadedComment17.xml" ContentType="application/vnd.ms-excel.threadedcomment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comments18.xml" ContentType="application/vnd.openxmlformats-officedocument.spreadsheetml.comments+xml"/>
  <Override PartName="/xl/threadedComments/threadedComment18.xml" ContentType="application/vnd.ms-excel.threadedcomment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comments19.xml" ContentType="application/vnd.openxmlformats-officedocument.spreadsheetml.comments+xml"/>
  <Override PartName="/xl/threadedComments/threadedComment19.xml" ContentType="application/vnd.ms-excel.threadedcomments+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comments20.xml" ContentType="application/vnd.openxmlformats-officedocument.spreadsheetml.comments+xml"/>
  <Override PartName="/xl/threadedComments/threadedComment20.xml" ContentType="application/vnd.ms-excel.threadedcomments+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comments21.xml" ContentType="application/vnd.openxmlformats-officedocument.spreadsheetml.comments+xml"/>
  <Override PartName="/xl/threadedComments/threadedComment21.xml" ContentType="application/vnd.ms-excel.threadedcomments+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comments22.xml" ContentType="application/vnd.openxmlformats-officedocument.spreadsheetml.comments+xml"/>
  <Override PartName="/xl/threadedComments/threadedComment22.xml" ContentType="application/vnd.ms-excel.threadedcomments+xml"/>
  <Override PartName="/xl/drawings/drawing16.xml" ContentType="application/vnd.openxmlformats-officedocument.drawing+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comments23.xml" ContentType="application/vnd.openxmlformats-officedocument.spreadsheetml.comments+xml"/>
  <Override PartName="/xl/threadedComments/threadedComment23.xml" ContentType="application/vnd.ms-excel.threaded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Karstens\Documents\Financien\"/>
    </mc:Choice>
  </mc:AlternateContent>
  <xr:revisionPtr revIDLastSave="0" documentId="13_ncr:1_{C16E557C-A21F-44F3-9AFC-3D074989B235}" xr6:coauthVersionLast="47" xr6:coauthVersionMax="47" xr10:uidLastSave="{00000000-0000-0000-0000-000000000000}"/>
  <bookViews>
    <workbookView xWindow="-120" yWindow="-120" windowWidth="29040" windowHeight="15840" tabRatio="840" activeTab="3" xr2:uid="{00000000-000D-0000-FFFF-FFFF00000000}"/>
  </bookViews>
  <sheets>
    <sheet name="Summary" sheetId="4" r:id="rId1"/>
    <sheet name="Template" sheetId="1" r:id="rId2"/>
    <sheet name="ADBE" sheetId="13" r:id="rId3"/>
    <sheet name="AMD" sheetId="23" r:id="rId4"/>
    <sheet name="AMZN" sheetId="20" r:id="rId5"/>
    <sheet name="ASML" sheetId="16" r:id="rId6"/>
    <sheet name="ADYEN" sheetId="6" r:id="rId7"/>
    <sheet name="BLK" sheetId="17" r:id="rId8"/>
    <sheet name="BWXT" sheetId="11" r:id="rId9"/>
    <sheet name="CMCSA" sheetId="19" r:id="rId10"/>
    <sheet name="CRM" sheetId="2" r:id="rId11"/>
    <sheet name="CWEN" sheetId="21" r:id="rId12"/>
    <sheet name="EFX" sheetId="18" r:id="rId13"/>
    <sheet name="FMG" sheetId="10" r:id="rId14"/>
    <sheet name="MKTX" sheetId="7" r:id="rId15"/>
    <sheet name="MSFT" sheetId="12" r:id="rId16"/>
    <sheet name="NVDA" sheetId="22" r:id="rId17"/>
    <sheet name="NFLX" sheetId="14" r:id="rId18"/>
    <sheet name="PYPL" sheetId="24" r:id="rId19"/>
    <sheet name="TSM" sheetId="9" r:id="rId20"/>
    <sheet name="THO" sheetId="3" r:id="rId21"/>
    <sheet name="TRI" sheetId="5" r:id="rId22"/>
    <sheet name="VEEV" sheetId="8" r:id="rId23"/>
    <sheet name="VEEV2" sheetId="15"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4" l="1"/>
  <c r="B17" i="24" s="1"/>
  <c r="AM29" i="24"/>
  <c r="AM28" i="24"/>
  <c r="AM27" i="24"/>
  <c r="AM26" i="24"/>
  <c r="AM24" i="24"/>
  <c r="AN32" i="24" s="1"/>
  <c r="E22" i="24"/>
  <c r="Z20" i="24"/>
  <c r="AA20" i="24" s="1"/>
  <c r="Z19" i="24"/>
  <c r="AA19" i="24" s="1"/>
  <c r="AB19" i="24" s="1"/>
  <c r="AC19" i="24" s="1"/>
  <c r="AD19" i="24" s="1"/>
  <c r="AE19" i="24" s="1"/>
  <c r="AF19" i="24" s="1"/>
  <c r="AG19" i="24" s="1"/>
  <c r="AH19" i="24" s="1"/>
  <c r="AI19" i="24" s="1"/>
  <c r="AJ19" i="24" s="1"/>
  <c r="AM18" i="24"/>
  <c r="Z18" i="24"/>
  <c r="AA18" i="24" s="1"/>
  <c r="AB18" i="24" s="1"/>
  <c r="AC18" i="24" s="1"/>
  <c r="AD18" i="24" s="1"/>
  <c r="AE18" i="24" s="1"/>
  <c r="AF18" i="24" s="1"/>
  <c r="AG18" i="24" s="1"/>
  <c r="AH18" i="24" s="1"/>
  <c r="AI18" i="24" s="1"/>
  <c r="AJ18" i="24" s="1"/>
  <c r="AM17" i="24"/>
  <c r="AM16" i="24"/>
  <c r="AM15" i="24"/>
  <c r="AM13" i="24"/>
  <c r="AN21" i="24" s="1"/>
  <c r="Z13" i="24"/>
  <c r="AA13" i="24" s="1"/>
  <c r="Z12" i="24"/>
  <c r="AA12" i="24" s="1"/>
  <c r="AB12" i="24" s="1"/>
  <c r="AC12" i="24" s="1"/>
  <c r="AD12" i="24" s="1"/>
  <c r="AE12" i="24" s="1"/>
  <c r="AF12" i="24" s="1"/>
  <c r="AG12" i="24" s="1"/>
  <c r="AH12" i="24" s="1"/>
  <c r="AI12" i="24" s="1"/>
  <c r="AJ12" i="24" s="1"/>
  <c r="AA11" i="24"/>
  <c r="AB11" i="24" s="1"/>
  <c r="AC11" i="24" s="1"/>
  <c r="AD11" i="24" s="1"/>
  <c r="AE11" i="24" s="1"/>
  <c r="AF11" i="24" s="1"/>
  <c r="AG11" i="24" s="1"/>
  <c r="AH11" i="24" s="1"/>
  <c r="AI11" i="24" s="1"/>
  <c r="AJ11" i="24" s="1"/>
  <c r="Z11" i="24"/>
  <c r="AN10" i="24"/>
  <c r="K7" i="24"/>
  <c r="D21" i="24" s="1"/>
  <c r="J7" i="24"/>
  <c r="C21" i="24" s="1"/>
  <c r="I7" i="24"/>
  <c r="B21" i="24" s="1"/>
  <c r="K6" i="24"/>
  <c r="D20" i="24" s="1"/>
  <c r="J6" i="24"/>
  <c r="C20" i="24" s="1"/>
  <c r="I6" i="24"/>
  <c r="B20" i="24" s="1"/>
  <c r="AA5" i="24"/>
  <c r="K5" i="24"/>
  <c r="D19" i="24" s="1"/>
  <c r="J5" i="24"/>
  <c r="C19" i="24" s="1"/>
  <c r="I5" i="24"/>
  <c r="B19" i="24" s="1"/>
  <c r="AA4" i="24"/>
  <c r="AB4" i="24" s="1"/>
  <c r="AC4" i="24" s="1"/>
  <c r="AD4" i="24" s="1"/>
  <c r="AE4" i="24" s="1"/>
  <c r="AF4" i="24" s="1"/>
  <c r="AG4" i="24" s="1"/>
  <c r="AH4" i="24" s="1"/>
  <c r="AI4" i="24" s="1"/>
  <c r="AJ4" i="24" s="1"/>
  <c r="K4" i="24"/>
  <c r="D18" i="24" s="1"/>
  <c r="J4" i="24"/>
  <c r="C18" i="24" s="1"/>
  <c r="I4" i="24"/>
  <c r="B18" i="24" s="1"/>
  <c r="A26" i="24" s="1"/>
  <c r="AC3" i="24"/>
  <c r="AD3" i="24" s="1"/>
  <c r="AE3" i="24" s="1"/>
  <c r="AF3" i="24" s="1"/>
  <c r="AG3" i="24" s="1"/>
  <c r="AH3" i="24" s="1"/>
  <c r="AI3" i="24" s="1"/>
  <c r="AJ3" i="24" s="1"/>
  <c r="AB3" i="24"/>
  <c r="AA3" i="24"/>
  <c r="K3" i="24"/>
  <c r="D17" i="24" s="1"/>
  <c r="J3" i="24"/>
  <c r="C17" i="24" s="1"/>
  <c r="W1" i="24"/>
  <c r="V1" i="24" s="1"/>
  <c r="U1" i="24" s="1"/>
  <c r="T1" i="24" s="1"/>
  <c r="S1" i="24" s="1"/>
  <c r="R1" i="24" s="1"/>
  <c r="Q1" i="24" s="1"/>
  <c r="P1" i="24" s="1"/>
  <c r="O1" i="24" s="1"/>
  <c r="N1" i="24" s="1"/>
  <c r="M1" i="24" s="1"/>
  <c r="I3" i="23"/>
  <c r="B17" i="23" s="1"/>
  <c r="AM29" i="23"/>
  <c r="AM28" i="23"/>
  <c r="AM27" i="23"/>
  <c r="AM26" i="23"/>
  <c r="AM24" i="23"/>
  <c r="AN32" i="23" s="1"/>
  <c r="E22" i="23"/>
  <c r="Z20" i="23"/>
  <c r="AA20" i="23" s="1"/>
  <c r="Z19" i="23"/>
  <c r="AA19" i="23" s="1"/>
  <c r="AB19" i="23" s="1"/>
  <c r="AC19" i="23" s="1"/>
  <c r="AD19" i="23" s="1"/>
  <c r="AE19" i="23" s="1"/>
  <c r="AF19" i="23" s="1"/>
  <c r="AG19" i="23" s="1"/>
  <c r="AH19" i="23" s="1"/>
  <c r="AI19" i="23" s="1"/>
  <c r="AJ19" i="23" s="1"/>
  <c r="AM18" i="23"/>
  <c r="Z18" i="23"/>
  <c r="AA18" i="23" s="1"/>
  <c r="AB18" i="23" s="1"/>
  <c r="AC18" i="23" s="1"/>
  <c r="AD18" i="23" s="1"/>
  <c r="AE18" i="23" s="1"/>
  <c r="AF18" i="23" s="1"/>
  <c r="AG18" i="23" s="1"/>
  <c r="AH18" i="23" s="1"/>
  <c r="AI18" i="23" s="1"/>
  <c r="AJ18" i="23" s="1"/>
  <c r="AM17" i="23"/>
  <c r="AM16" i="23"/>
  <c r="AM15" i="23"/>
  <c r="AM13" i="23"/>
  <c r="AN21" i="23" s="1"/>
  <c r="Z13" i="23"/>
  <c r="AA13" i="23" s="1"/>
  <c r="Z12" i="23"/>
  <c r="AA12" i="23" s="1"/>
  <c r="AB12" i="23" s="1"/>
  <c r="AC12" i="23" s="1"/>
  <c r="AD12" i="23" s="1"/>
  <c r="AE12" i="23" s="1"/>
  <c r="AF12" i="23" s="1"/>
  <c r="AG12" i="23" s="1"/>
  <c r="AH12" i="23" s="1"/>
  <c r="AI12" i="23" s="1"/>
  <c r="AJ12" i="23" s="1"/>
  <c r="AA11" i="23"/>
  <c r="AB11" i="23" s="1"/>
  <c r="AC11" i="23" s="1"/>
  <c r="AD11" i="23" s="1"/>
  <c r="AE11" i="23" s="1"/>
  <c r="AF11" i="23" s="1"/>
  <c r="AG11" i="23" s="1"/>
  <c r="AH11" i="23" s="1"/>
  <c r="AI11" i="23" s="1"/>
  <c r="AJ11" i="23" s="1"/>
  <c r="Z11" i="23"/>
  <c r="AN10" i="23"/>
  <c r="K7" i="23"/>
  <c r="D21" i="23" s="1"/>
  <c r="J7" i="23"/>
  <c r="C21" i="23" s="1"/>
  <c r="I7" i="23"/>
  <c r="B21" i="23" s="1"/>
  <c r="K6" i="23"/>
  <c r="D20" i="23" s="1"/>
  <c r="J6" i="23"/>
  <c r="C20" i="23" s="1"/>
  <c r="I6" i="23"/>
  <c r="B20" i="23" s="1"/>
  <c r="AA5" i="23"/>
  <c r="K5" i="23"/>
  <c r="D19" i="23" s="1"/>
  <c r="J5" i="23"/>
  <c r="C19" i="23" s="1"/>
  <c r="I5" i="23"/>
  <c r="B19" i="23" s="1"/>
  <c r="AB4" i="23"/>
  <c r="AC4" i="23" s="1"/>
  <c r="AD4" i="23" s="1"/>
  <c r="AE4" i="23" s="1"/>
  <c r="AF4" i="23" s="1"/>
  <c r="AG4" i="23" s="1"/>
  <c r="AH4" i="23" s="1"/>
  <c r="AI4" i="23" s="1"/>
  <c r="AJ4" i="23" s="1"/>
  <c r="AA4" i="23"/>
  <c r="K4" i="23"/>
  <c r="D18" i="23" s="1"/>
  <c r="J4" i="23"/>
  <c r="C18" i="23" s="1"/>
  <c r="I4" i="23"/>
  <c r="B18" i="23" s="1"/>
  <c r="A26" i="23" s="1"/>
  <c r="AA3" i="23"/>
  <c r="AB3" i="23" s="1"/>
  <c r="AC3" i="23" s="1"/>
  <c r="AD3" i="23" s="1"/>
  <c r="AE3" i="23" s="1"/>
  <c r="AF3" i="23" s="1"/>
  <c r="AG3" i="23" s="1"/>
  <c r="AH3" i="23" s="1"/>
  <c r="AI3" i="23" s="1"/>
  <c r="AJ3" i="23" s="1"/>
  <c r="K3" i="23"/>
  <c r="D17" i="23" s="1"/>
  <c r="J3" i="23"/>
  <c r="C17" i="23" s="1"/>
  <c r="W1" i="23"/>
  <c r="V1" i="23" s="1"/>
  <c r="U1" i="23" s="1"/>
  <c r="T1" i="23" s="1"/>
  <c r="S1" i="23" s="1"/>
  <c r="R1" i="23" s="1"/>
  <c r="Q1" i="23" s="1"/>
  <c r="P1" i="23" s="1"/>
  <c r="O1" i="23" s="1"/>
  <c r="N1" i="23" s="1"/>
  <c r="M1" i="23" s="1"/>
  <c r="J3" i="22"/>
  <c r="AM29" i="22"/>
  <c r="AM28" i="22"/>
  <c r="AM27" i="22"/>
  <c r="AM26" i="22"/>
  <c r="AM24" i="22"/>
  <c r="AN32" i="22" s="1"/>
  <c r="E22" i="22"/>
  <c r="Z20" i="22"/>
  <c r="AA20" i="22" s="1"/>
  <c r="Z19" i="22"/>
  <c r="AA19" i="22" s="1"/>
  <c r="AB19" i="22" s="1"/>
  <c r="AC19" i="22" s="1"/>
  <c r="AD19" i="22" s="1"/>
  <c r="AE19" i="22" s="1"/>
  <c r="AF19" i="22" s="1"/>
  <c r="AG19" i="22" s="1"/>
  <c r="AH19" i="22" s="1"/>
  <c r="AI19" i="22" s="1"/>
  <c r="AJ19" i="22" s="1"/>
  <c r="AM18" i="22"/>
  <c r="Z18" i="22"/>
  <c r="AA18" i="22" s="1"/>
  <c r="AB18" i="22" s="1"/>
  <c r="AC18" i="22" s="1"/>
  <c r="AD18" i="22" s="1"/>
  <c r="AE18" i="22" s="1"/>
  <c r="AF18" i="22" s="1"/>
  <c r="AG18" i="22" s="1"/>
  <c r="AH18" i="22" s="1"/>
  <c r="AI18" i="22" s="1"/>
  <c r="AJ18" i="22" s="1"/>
  <c r="AM17" i="22"/>
  <c r="AM16" i="22"/>
  <c r="AM15" i="22"/>
  <c r="AM13" i="22"/>
  <c r="AN21" i="22" s="1"/>
  <c r="Z13" i="22"/>
  <c r="AA13" i="22" s="1"/>
  <c r="Z12" i="22"/>
  <c r="AA12" i="22" s="1"/>
  <c r="AB12" i="22" s="1"/>
  <c r="AC12" i="22" s="1"/>
  <c r="AD12" i="22" s="1"/>
  <c r="AE12" i="22" s="1"/>
  <c r="AF12" i="22" s="1"/>
  <c r="AG12" i="22" s="1"/>
  <c r="AH12" i="22" s="1"/>
  <c r="AI12" i="22" s="1"/>
  <c r="AJ12" i="22" s="1"/>
  <c r="Z11" i="22"/>
  <c r="AA11" i="22" s="1"/>
  <c r="AB11" i="22" s="1"/>
  <c r="AC11" i="22" s="1"/>
  <c r="AD11" i="22" s="1"/>
  <c r="AE11" i="22" s="1"/>
  <c r="AF11" i="22" s="1"/>
  <c r="AG11" i="22" s="1"/>
  <c r="AH11" i="22" s="1"/>
  <c r="AI11" i="22" s="1"/>
  <c r="AJ11" i="22" s="1"/>
  <c r="AN10" i="22"/>
  <c r="AN11" i="22" s="1"/>
  <c r="K7" i="22"/>
  <c r="D21" i="22" s="1"/>
  <c r="J7" i="22"/>
  <c r="C21" i="22" s="1"/>
  <c r="I7" i="22"/>
  <c r="B21" i="22" s="1"/>
  <c r="K6" i="22"/>
  <c r="D20" i="22" s="1"/>
  <c r="J6" i="22"/>
  <c r="C20" i="22" s="1"/>
  <c r="I6" i="22"/>
  <c r="B20" i="22" s="1"/>
  <c r="AA5" i="22"/>
  <c r="K5" i="22"/>
  <c r="D19" i="22" s="1"/>
  <c r="J5" i="22"/>
  <c r="C19" i="22" s="1"/>
  <c r="I5" i="22"/>
  <c r="B19" i="22" s="1"/>
  <c r="AA4" i="22"/>
  <c r="AB4" i="22" s="1"/>
  <c r="AC4" i="22" s="1"/>
  <c r="AD4" i="22" s="1"/>
  <c r="AE4" i="22" s="1"/>
  <c r="AF4" i="22" s="1"/>
  <c r="AG4" i="22" s="1"/>
  <c r="AH4" i="22" s="1"/>
  <c r="AI4" i="22" s="1"/>
  <c r="AJ4" i="22" s="1"/>
  <c r="K4" i="22"/>
  <c r="D18" i="22" s="1"/>
  <c r="J4" i="22"/>
  <c r="C18" i="22" s="1"/>
  <c r="I4" i="22"/>
  <c r="B18" i="22" s="1"/>
  <c r="A26" i="22" s="1"/>
  <c r="AA3" i="22"/>
  <c r="AB3" i="22" s="1"/>
  <c r="AC3" i="22" s="1"/>
  <c r="AD3" i="22" s="1"/>
  <c r="AE3" i="22" s="1"/>
  <c r="AF3" i="22" s="1"/>
  <c r="AG3" i="22" s="1"/>
  <c r="AH3" i="22" s="1"/>
  <c r="AI3" i="22" s="1"/>
  <c r="AJ3" i="22" s="1"/>
  <c r="K3" i="22"/>
  <c r="D17" i="22" s="1"/>
  <c r="C17" i="22"/>
  <c r="I3" i="22"/>
  <c r="B17" i="22" s="1"/>
  <c r="W1" i="22"/>
  <c r="V1" i="22" s="1"/>
  <c r="U1" i="22" s="1"/>
  <c r="T1" i="22" s="1"/>
  <c r="S1" i="22" s="1"/>
  <c r="R1" i="22" s="1"/>
  <c r="Q1" i="22" s="1"/>
  <c r="P1" i="22" s="1"/>
  <c r="O1" i="22" s="1"/>
  <c r="N1" i="22" s="1"/>
  <c r="M1" i="22" s="1"/>
  <c r="I3" i="21"/>
  <c r="B17" i="21" s="1"/>
  <c r="AM29" i="21"/>
  <c r="AM28" i="21"/>
  <c r="AM27" i="21"/>
  <c r="AM26" i="21"/>
  <c r="AM24" i="21"/>
  <c r="AN32" i="21" s="1"/>
  <c r="E22" i="21"/>
  <c r="Z20" i="21"/>
  <c r="AA20" i="21" s="1"/>
  <c r="Z19" i="21"/>
  <c r="AA19" i="21" s="1"/>
  <c r="AB19" i="21" s="1"/>
  <c r="AC19" i="21" s="1"/>
  <c r="AD19" i="21" s="1"/>
  <c r="AE19" i="21" s="1"/>
  <c r="AF19" i="21" s="1"/>
  <c r="AG19" i="21" s="1"/>
  <c r="AH19" i="21" s="1"/>
  <c r="AI19" i="21" s="1"/>
  <c r="AJ19" i="21" s="1"/>
  <c r="AM18" i="21"/>
  <c r="Z18" i="21"/>
  <c r="AA18" i="21" s="1"/>
  <c r="AB18" i="21" s="1"/>
  <c r="AC18" i="21" s="1"/>
  <c r="AD18" i="21" s="1"/>
  <c r="AE18" i="21" s="1"/>
  <c r="AF18" i="21" s="1"/>
  <c r="AG18" i="21" s="1"/>
  <c r="AH18" i="21" s="1"/>
  <c r="AI18" i="21" s="1"/>
  <c r="AJ18" i="21" s="1"/>
  <c r="AM17" i="21"/>
  <c r="AM16" i="21"/>
  <c r="AM15" i="21"/>
  <c r="AM13" i="21"/>
  <c r="AN21" i="21" s="1"/>
  <c r="Z13" i="21"/>
  <c r="AA13" i="21" s="1"/>
  <c r="Z12" i="21"/>
  <c r="AA12" i="21" s="1"/>
  <c r="AB12" i="21" s="1"/>
  <c r="AC12" i="21" s="1"/>
  <c r="AD12" i="21" s="1"/>
  <c r="AE12" i="21" s="1"/>
  <c r="AF12" i="21" s="1"/>
  <c r="AG12" i="21" s="1"/>
  <c r="AH12" i="21" s="1"/>
  <c r="AI12" i="21" s="1"/>
  <c r="AJ12" i="21" s="1"/>
  <c r="Z11" i="21"/>
  <c r="AA11" i="21" s="1"/>
  <c r="AB11" i="21" s="1"/>
  <c r="AC11" i="21" s="1"/>
  <c r="AD11" i="21" s="1"/>
  <c r="AE11" i="21" s="1"/>
  <c r="AF11" i="21" s="1"/>
  <c r="AG11" i="21" s="1"/>
  <c r="AH11" i="21" s="1"/>
  <c r="AI11" i="21" s="1"/>
  <c r="AJ11" i="21" s="1"/>
  <c r="AN10" i="21"/>
  <c r="AN11" i="21" s="1"/>
  <c r="K7" i="21"/>
  <c r="D21" i="21" s="1"/>
  <c r="J7" i="21"/>
  <c r="C21" i="21" s="1"/>
  <c r="I7" i="21"/>
  <c r="B21" i="21" s="1"/>
  <c r="K6" i="21"/>
  <c r="D20" i="21" s="1"/>
  <c r="J6" i="21"/>
  <c r="C20" i="21" s="1"/>
  <c r="I6" i="21"/>
  <c r="B20" i="21" s="1"/>
  <c r="AA5" i="21"/>
  <c r="K5" i="21"/>
  <c r="D19" i="21" s="1"/>
  <c r="J5" i="21"/>
  <c r="C19" i="21" s="1"/>
  <c r="I5" i="21"/>
  <c r="B19" i="21" s="1"/>
  <c r="AA4" i="21"/>
  <c r="AB4" i="21" s="1"/>
  <c r="AC4" i="21" s="1"/>
  <c r="AD4" i="21" s="1"/>
  <c r="AE4" i="21" s="1"/>
  <c r="AF4" i="21" s="1"/>
  <c r="AG4" i="21" s="1"/>
  <c r="AH4" i="21" s="1"/>
  <c r="AI4" i="21" s="1"/>
  <c r="AJ4" i="21" s="1"/>
  <c r="K4" i="21"/>
  <c r="D18" i="21" s="1"/>
  <c r="J4" i="21"/>
  <c r="C18" i="21" s="1"/>
  <c r="I4" i="21"/>
  <c r="B18" i="21" s="1"/>
  <c r="A26" i="21" s="1"/>
  <c r="B26" i="21" s="1"/>
  <c r="AA3" i="21"/>
  <c r="AB3" i="21" s="1"/>
  <c r="AC3" i="21" s="1"/>
  <c r="AD3" i="21" s="1"/>
  <c r="AE3" i="21" s="1"/>
  <c r="AF3" i="21" s="1"/>
  <c r="AG3" i="21" s="1"/>
  <c r="AH3" i="21" s="1"/>
  <c r="AI3" i="21" s="1"/>
  <c r="AJ3" i="21" s="1"/>
  <c r="K3" i="21"/>
  <c r="D17" i="21" s="1"/>
  <c r="J3" i="21"/>
  <c r="C17" i="21" s="1"/>
  <c r="W1" i="21"/>
  <c r="V1" i="21" s="1"/>
  <c r="U1" i="21" s="1"/>
  <c r="T1" i="21" s="1"/>
  <c r="S1" i="21" s="1"/>
  <c r="R1" i="21" s="1"/>
  <c r="Q1" i="21" s="1"/>
  <c r="P1" i="21" s="1"/>
  <c r="O1" i="21" s="1"/>
  <c r="N1" i="21" s="1"/>
  <c r="M1" i="21" s="1"/>
  <c r="L8" i="20"/>
  <c r="I3" i="20"/>
  <c r="B17" i="20" s="1"/>
  <c r="AM29" i="20"/>
  <c r="AM28" i="20"/>
  <c r="AM27" i="20"/>
  <c r="AM26" i="20"/>
  <c r="AM24" i="20"/>
  <c r="AN32" i="20" s="1"/>
  <c r="E22" i="20"/>
  <c r="Z20" i="20"/>
  <c r="AA20" i="20" s="1"/>
  <c r="Z19" i="20"/>
  <c r="AA19" i="20" s="1"/>
  <c r="AB19" i="20" s="1"/>
  <c r="AC19" i="20" s="1"/>
  <c r="AD19" i="20" s="1"/>
  <c r="AE19" i="20" s="1"/>
  <c r="AF19" i="20" s="1"/>
  <c r="AG19" i="20" s="1"/>
  <c r="AH19" i="20" s="1"/>
  <c r="AI19" i="20" s="1"/>
  <c r="AJ19" i="20" s="1"/>
  <c r="AM18" i="20"/>
  <c r="Z18" i="20"/>
  <c r="AA18" i="20" s="1"/>
  <c r="AB18" i="20" s="1"/>
  <c r="AC18" i="20" s="1"/>
  <c r="AD18" i="20" s="1"/>
  <c r="AE18" i="20" s="1"/>
  <c r="AF18" i="20" s="1"/>
  <c r="AG18" i="20" s="1"/>
  <c r="AH18" i="20" s="1"/>
  <c r="AI18" i="20" s="1"/>
  <c r="AJ18" i="20" s="1"/>
  <c r="AM17" i="20"/>
  <c r="AM16" i="20"/>
  <c r="AM15" i="20"/>
  <c r="AM13" i="20"/>
  <c r="AN21" i="20" s="1"/>
  <c r="Z13" i="20"/>
  <c r="AA13" i="20" s="1"/>
  <c r="Z12" i="20"/>
  <c r="AA12" i="20" s="1"/>
  <c r="AB12" i="20" s="1"/>
  <c r="AC12" i="20" s="1"/>
  <c r="AD12" i="20" s="1"/>
  <c r="AE12" i="20" s="1"/>
  <c r="AF12" i="20" s="1"/>
  <c r="AG12" i="20" s="1"/>
  <c r="AH12" i="20" s="1"/>
  <c r="AI12" i="20" s="1"/>
  <c r="AJ12" i="20" s="1"/>
  <c r="Z11" i="20"/>
  <c r="AA11" i="20" s="1"/>
  <c r="AB11" i="20" s="1"/>
  <c r="AC11" i="20" s="1"/>
  <c r="AD11" i="20" s="1"/>
  <c r="AE11" i="20" s="1"/>
  <c r="AF11" i="20" s="1"/>
  <c r="AG11" i="20" s="1"/>
  <c r="AH11" i="20" s="1"/>
  <c r="AI11" i="20" s="1"/>
  <c r="AJ11" i="20" s="1"/>
  <c r="AN10" i="20"/>
  <c r="AN11" i="20" s="1"/>
  <c r="K7" i="20"/>
  <c r="D21" i="20" s="1"/>
  <c r="J7" i="20"/>
  <c r="C21" i="20" s="1"/>
  <c r="I7" i="20"/>
  <c r="B21" i="20" s="1"/>
  <c r="K6" i="20"/>
  <c r="D20" i="20" s="1"/>
  <c r="J6" i="20"/>
  <c r="C20" i="20" s="1"/>
  <c r="I6" i="20"/>
  <c r="B20" i="20" s="1"/>
  <c r="AA5" i="20"/>
  <c r="K5" i="20"/>
  <c r="D19" i="20" s="1"/>
  <c r="J5" i="20"/>
  <c r="C19" i="20" s="1"/>
  <c r="I5" i="20"/>
  <c r="B19" i="20" s="1"/>
  <c r="AA4" i="20"/>
  <c r="AB4" i="20" s="1"/>
  <c r="AC4" i="20" s="1"/>
  <c r="AD4" i="20" s="1"/>
  <c r="AE4" i="20" s="1"/>
  <c r="AF4" i="20" s="1"/>
  <c r="AG4" i="20" s="1"/>
  <c r="AH4" i="20" s="1"/>
  <c r="AI4" i="20" s="1"/>
  <c r="AJ4" i="20" s="1"/>
  <c r="K4" i="20"/>
  <c r="D18" i="20" s="1"/>
  <c r="J4" i="20"/>
  <c r="C18" i="20" s="1"/>
  <c r="I4" i="20"/>
  <c r="B18" i="20" s="1"/>
  <c r="A26" i="20" s="1"/>
  <c r="AA3" i="20"/>
  <c r="AB3" i="20" s="1"/>
  <c r="AC3" i="20" s="1"/>
  <c r="AD3" i="20" s="1"/>
  <c r="AE3" i="20" s="1"/>
  <c r="AF3" i="20" s="1"/>
  <c r="AG3" i="20" s="1"/>
  <c r="AH3" i="20" s="1"/>
  <c r="AI3" i="20" s="1"/>
  <c r="AJ3" i="20" s="1"/>
  <c r="K3" i="20"/>
  <c r="D17" i="20" s="1"/>
  <c r="J3" i="20"/>
  <c r="C17" i="20" s="1"/>
  <c r="W1" i="20"/>
  <c r="V1" i="20" s="1"/>
  <c r="U1" i="20" s="1"/>
  <c r="T1" i="20" s="1"/>
  <c r="S1" i="20" s="1"/>
  <c r="R1" i="20" s="1"/>
  <c r="Q1" i="20" s="1"/>
  <c r="P1" i="20" s="1"/>
  <c r="O1" i="20" s="1"/>
  <c r="N1" i="20" s="1"/>
  <c r="M1" i="20" s="1"/>
  <c r="J9" i="4" a="1"/>
  <c r="J9" i="4" s="1"/>
  <c r="K9" i="4" s="1"/>
  <c r="AM29" i="19"/>
  <c r="AM28" i="19"/>
  <c r="AM27" i="19"/>
  <c r="AM26" i="19"/>
  <c r="AM24" i="19"/>
  <c r="AN32" i="19" s="1"/>
  <c r="E22" i="19"/>
  <c r="Z20" i="19"/>
  <c r="AA20" i="19" s="1"/>
  <c r="Z19" i="19"/>
  <c r="AA19" i="19" s="1"/>
  <c r="AB19" i="19" s="1"/>
  <c r="AC19" i="19" s="1"/>
  <c r="AD19" i="19" s="1"/>
  <c r="AE19" i="19" s="1"/>
  <c r="AF19" i="19" s="1"/>
  <c r="AG19" i="19" s="1"/>
  <c r="AH19" i="19" s="1"/>
  <c r="AI19" i="19" s="1"/>
  <c r="AJ19" i="19" s="1"/>
  <c r="AM18" i="19"/>
  <c r="Z18" i="19"/>
  <c r="AA18" i="19" s="1"/>
  <c r="AB18" i="19" s="1"/>
  <c r="AC18" i="19" s="1"/>
  <c r="AD18" i="19" s="1"/>
  <c r="AE18" i="19" s="1"/>
  <c r="AF18" i="19" s="1"/>
  <c r="AG18" i="19" s="1"/>
  <c r="AH18" i="19" s="1"/>
  <c r="AI18" i="19" s="1"/>
  <c r="AJ18" i="19" s="1"/>
  <c r="AM17" i="19"/>
  <c r="AM16" i="19"/>
  <c r="AM15" i="19"/>
  <c r="AM13" i="19"/>
  <c r="AN21" i="19" s="1"/>
  <c r="Z13" i="19"/>
  <c r="AA13" i="19" s="1"/>
  <c r="Z12" i="19"/>
  <c r="AA12" i="19" s="1"/>
  <c r="AB12" i="19" s="1"/>
  <c r="AC12" i="19" s="1"/>
  <c r="AD12" i="19" s="1"/>
  <c r="AE12" i="19" s="1"/>
  <c r="AF12" i="19" s="1"/>
  <c r="AG12" i="19" s="1"/>
  <c r="AH12" i="19" s="1"/>
  <c r="AI12" i="19" s="1"/>
  <c r="AJ12" i="19" s="1"/>
  <c r="Z11" i="19"/>
  <c r="AA11" i="19" s="1"/>
  <c r="AB11" i="19" s="1"/>
  <c r="AC11" i="19" s="1"/>
  <c r="AD11" i="19" s="1"/>
  <c r="AE11" i="19" s="1"/>
  <c r="AF11" i="19" s="1"/>
  <c r="AG11" i="19" s="1"/>
  <c r="AH11" i="19" s="1"/>
  <c r="AI11" i="19" s="1"/>
  <c r="AJ11" i="19" s="1"/>
  <c r="AN10" i="19"/>
  <c r="K7" i="19"/>
  <c r="D21" i="19" s="1"/>
  <c r="J7" i="19"/>
  <c r="C21" i="19" s="1"/>
  <c r="I7" i="19"/>
  <c r="B21" i="19" s="1"/>
  <c r="K6" i="19"/>
  <c r="D20" i="19" s="1"/>
  <c r="J6" i="19"/>
  <c r="C20" i="19" s="1"/>
  <c r="I6" i="19"/>
  <c r="B20" i="19" s="1"/>
  <c r="AA5" i="19"/>
  <c r="K5" i="19"/>
  <c r="D19" i="19" s="1"/>
  <c r="J5" i="19"/>
  <c r="C19" i="19" s="1"/>
  <c r="I5" i="19"/>
  <c r="B19" i="19" s="1"/>
  <c r="AA4" i="19"/>
  <c r="AB4" i="19" s="1"/>
  <c r="AC4" i="19" s="1"/>
  <c r="AD4" i="19" s="1"/>
  <c r="AE4" i="19" s="1"/>
  <c r="AF4" i="19" s="1"/>
  <c r="AG4" i="19" s="1"/>
  <c r="AH4" i="19" s="1"/>
  <c r="AI4" i="19" s="1"/>
  <c r="AJ4" i="19" s="1"/>
  <c r="K4" i="19"/>
  <c r="D18" i="19" s="1"/>
  <c r="J4" i="19"/>
  <c r="C18" i="19" s="1"/>
  <c r="I4" i="19"/>
  <c r="B18" i="19" s="1"/>
  <c r="A26" i="19" s="1"/>
  <c r="AA3" i="19"/>
  <c r="AB3" i="19" s="1"/>
  <c r="AC3" i="19" s="1"/>
  <c r="AD3" i="19" s="1"/>
  <c r="AE3" i="19" s="1"/>
  <c r="AF3" i="19" s="1"/>
  <c r="AG3" i="19" s="1"/>
  <c r="AH3" i="19" s="1"/>
  <c r="AI3" i="19" s="1"/>
  <c r="AJ3" i="19" s="1"/>
  <c r="K3" i="19"/>
  <c r="D17" i="19" s="1"/>
  <c r="J3" i="19"/>
  <c r="C17" i="19" s="1"/>
  <c r="I3" i="19"/>
  <c r="B17" i="19" s="1"/>
  <c r="W1" i="19"/>
  <c r="V1" i="19" s="1"/>
  <c r="U1" i="19" s="1"/>
  <c r="T1" i="19" s="1"/>
  <c r="S1" i="19" s="1"/>
  <c r="R1" i="19" s="1"/>
  <c r="Q1" i="19" s="1"/>
  <c r="P1" i="19" s="1"/>
  <c r="O1" i="19" s="1"/>
  <c r="N1" i="19" s="1"/>
  <c r="M1" i="19" s="1"/>
  <c r="J11" i="4" a="1"/>
  <c r="J11" i="4" s="1"/>
  <c r="K11" i="4" s="1"/>
  <c r="L8" i="18"/>
  <c r="E22" i="18" s="1"/>
  <c r="I3" i="18"/>
  <c r="B17" i="18" s="1"/>
  <c r="AM29" i="18"/>
  <c r="AM28" i="18"/>
  <c r="AM27" i="18"/>
  <c r="AM26" i="18"/>
  <c r="AM24" i="18"/>
  <c r="AN32" i="18" s="1"/>
  <c r="Z20" i="18"/>
  <c r="AA20" i="18" s="1"/>
  <c r="Z19" i="18"/>
  <c r="AA19" i="18" s="1"/>
  <c r="AB19" i="18" s="1"/>
  <c r="AC19" i="18" s="1"/>
  <c r="AD19" i="18" s="1"/>
  <c r="AE19" i="18" s="1"/>
  <c r="AF19" i="18" s="1"/>
  <c r="AG19" i="18" s="1"/>
  <c r="AH19" i="18" s="1"/>
  <c r="AI19" i="18" s="1"/>
  <c r="AJ19" i="18" s="1"/>
  <c r="AM18" i="18"/>
  <c r="Z18" i="18"/>
  <c r="AA18" i="18" s="1"/>
  <c r="AB18" i="18" s="1"/>
  <c r="AC18" i="18" s="1"/>
  <c r="AD18" i="18" s="1"/>
  <c r="AE18" i="18" s="1"/>
  <c r="AF18" i="18" s="1"/>
  <c r="AG18" i="18" s="1"/>
  <c r="AH18" i="18" s="1"/>
  <c r="AI18" i="18" s="1"/>
  <c r="AJ18" i="18" s="1"/>
  <c r="AM17" i="18"/>
  <c r="AM16" i="18"/>
  <c r="AM15" i="18"/>
  <c r="AM13" i="18"/>
  <c r="AN21" i="18" s="1"/>
  <c r="Z13" i="18"/>
  <c r="AA13" i="18" s="1"/>
  <c r="Z12" i="18"/>
  <c r="AA12" i="18" s="1"/>
  <c r="AB12" i="18" s="1"/>
  <c r="AC12" i="18" s="1"/>
  <c r="AD12" i="18" s="1"/>
  <c r="AE12" i="18" s="1"/>
  <c r="AF12" i="18" s="1"/>
  <c r="AG12" i="18" s="1"/>
  <c r="AH12" i="18" s="1"/>
  <c r="AI12" i="18" s="1"/>
  <c r="AJ12" i="18" s="1"/>
  <c r="Z11" i="18"/>
  <c r="AA11" i="18" s="1"/>
  <c r="AB11" i="18" s="1"/>
  <c r="AC11" i="18" s="1"/>
  <c r="AD11" i="18" s="1"/>
  <c r="AE11" i="18" s="1"/>
  <c r="AF11" i="18" s="1"/>
  <c r="AG11" i="18" s="1"/>
  <c r="AH11" i="18" s="1"/>
  <c r="AI11" i="18" s="1"/>
  <c r="AJ11" i="18" s="1"/>
  <c r="AN10" i="18"/>
  <c r="K7" i="18"/>
  <c r="D21" i="18" s="1"/>
  <c r="J7" i="18"/>
  <c r="C21" i="18" s="1"/>
  <c r="I7" i="18"/>
  <c r="B21" i="18" s="1"/>
  <c r="K6" i="18"/>
  <c r="D20" i="18" s="1"/>
  <c r="J6" i="18"/>
  <c r="C20" i="18" s="1"/>
  <c r="I6" i="18"/>
  <c r="B20" i="18" s="1"/>
  <c r="AA5" i="18"/>
  <c r="K5" i="18"/>
  <c r="D19" i="18" s="1"/>
  <c r="J5" i="18"/>
  <c r="C19" i="18" s="1"/>
  <c r="I5" i="18"/>
  <c r="B19" i="18" s="1"/>
  <c r="AA4" i="18"/>
  <c r="AB4" i="18" s="1"/>
  <c r="AC4" i="18" s="1"/>
  <c r="AD4" i="18" s="1"/>
  <c r="AE4" i="18" s="1"/>
  <c r="AF4" i="18" s="1"/>
  <c r="AG4" i="18" s="1"/>
  <c r="AH4" i="18" s="1"/>
  <c r="AI4" i="18" s="1"/>
  <c r="AJ4" i="18" s="1"/>
  <c r="K4" i="18"/>
  <c r="D18" i="18" s="1"/>
  <c r="J4" i="18"/>
  <c r="C18" i="18" s="1"/>
  <c r="I4" i="18"/>
  <c r="B18" i="18" s="1"/>
  <c r="A26" i="18" s="1"/>
  <c r="AA3" i="18"/>
  <c r="AB3" i="18" s="1"/>
  <c r="AC3" i="18" s="1"/>
  <c r="AD3" i="18" s="1"/>
  <c r="AE3" i="18" s="1"/>
  <c r="AF3" i="18" s="1"/>
  <c r="AG3" i="18" s="1"/>
  <c r="AH3" i="18" s="1"/>
  <c r="AI3" i="18" s="1"/>
  <c r="AJ3" i="18" s="1"/>
  <c r="K3" i="18"/>
  <c r="D17" i="18" s="1"/>
  <c r="J3" i="18"/>
  <c r="C17" i="18" s="1"/>
  <c r="W1" i="18"/>
  <c r="V1" i="18" s="1"/>
  <c r="U1" i="18" s="1"/>
  <c r="T1" i="18" s="1"/>
  <c r="S1" i="18" s="1"/>
  <c r="R1" i="18" s="1"/>
  <c r="Q1" i="18" s="1"/>
  <c r="P1" i="18" s="1"/>
  <c r="O1" i="18" s="1"/>
  <c r="N1" i="18" s="1"/>
  <c r="M1" i="18" s="1"/>
  <c r="J5" i="4" a="1"/>
  <c r="J5" i="4" s="1"/>
  <c r="K5" i="4" s="1"/>
  <c r="AM29" i="17"/>
  <c r="AM28" i="17"/>
  <c r="AM27" i="17"/>
  <c r="AM26" i="17"/>
  <c r="AM24" i="17"/>
  <c r="AN32" i="17" s="1"/>
  <c r="E22" i="17"/>
  <c r="Z20" i="17"/>
  <c r="AA20" i="17" s="1"/>
  <c r="Z19" i="17"/>
  <c r="AA19" i="17" s="1"/>
  <c r="AB19" i="17" s="1"/>
  <c r="AC19" i="17" s="1"/>
  <c r="AD19" i="17" s="1"/>
  <c r="AE19" i="17" s="1"/>
  <c r="AF19" i="17" s="1"/>
  <c r="AG19" i="17" s="1"/>
  <c r="AH19" i="17" s="1"/>
  <c r="AI19" i="17" s="1"/>
  <c r="AJ19" i="17" s="1"/>
  <c r="AM18" i="17"/>
  <c r="Z18" i="17"/>
  <c r="AA18" i="17" s="1"/>
  <c r="AB18" i="17" s="1"/>
  <c r="AC18" i="17" s="1"/>
  <c r="AD18" i="17" s="1"/>
  <c r="AE18" i="17" s="1"/>
  <c r="AF18" i="17" s="1"/>
  <c r="AG18" i="17" s="1"/>
  <c r="AH18" i="17" s="1"/>
  <c r="AI18" i="17" s="1"/>
  <c r="AJ18" i="17" s="1"/>
  <c r="AM17" i="17"/>
  <c r="AM16" i="17"/>
  <c r="AM15" i="17"/>
  <c r="AM13" i="17"/>
  <c r="AN21" i="17" s="1"/>
  <c r="Z13" i="17"/>
  <c r="AA13" i="17" s="1"/>
  <c r="Z12" i="17"/>
  <c r="AA12" i="17" s="1"/>
  <c r="AB12" i="17" s="1"/>
  <c r="AC12" i="17" s="1"/>
  <c r="AD12" i="17" s="1"/>
  <c r="AE12" i="17" s="1"/>
  <c r="AF12" i="17" s="1"/>
  <c r="AG12" i="17" s="1"/>
  <c r="AH12" i="17" s="1"/>
  <c r="AI12" i="17" s="1"/>
  <c r="AJ12" i="17" s="1"/>
  <c r="Z11" i="17"/>
  <c r="AA11" i="17" s="1"/>
  <c r="AB11" i="17" s="1"/>
  <c r="AC11" i="17" s="1"/>
  <c r="AD11" i="17" s="1"/>
  <c r="AE11" i="17" s="1"/>
  <c r="AF11" i="17" s="1"/>
  <c r="AG11" i="17" s="1"/>
  <c r="AH11" i="17" s="1"/>
  <c r="AI11" i="17" s="1"/>
  <c r="AJ11" i="17" s="1"/>
  <c r="AN10" i="17"/>
  <c r="AN11" i="17" s="1"/>
  <c r="K7" i="17"/>
  <c r="D21" i="17" s="1"/>
  <c r="J7" i="17"/>
  <c r="C21" i="17" s="1"/>
  <c r="I7" i="17"/>
  <c r="B21" i="17" s="1"/>
  <c r="K6" i="17"/>
  <c r="D20" i="17" s="1"/>
  <c r="J6" i="17"/>
  <c r="C20" i="17" s="1"/>
  <c r="I6" i="17"/>
  <c r="B20" i="17" s="1"/>
  <c r="AA5" i="17"/>
  <c r="K5" i="17"/>
  <c r="D19" i="17" s="1"/>
  <c r="J5" i="17"/>
  <c r="C19" i="17" s="1"/>
  <c r="I5" i="17"/>
  <c r="B19" i="17" s="1"/>
  <c r="AA4" i="17"/>
  <c r="AB4" i="17" s="1"/>
  <c r="AC4" i="17" s="1"/>
  <c r="AD4" i="17" s="1"/>
  <c r="AE4" i="17" s="1"/>
  <c r="AF4" i="17" s="1"/>
  <c r="AG4" i="17" s="1"/>
  <c r="AH4" i="17" s="1"/>
  <c r="AI4" i="17" s="1"/>
  <c r="AJ4" i="17" s="1"/>
  <c r="K4" i="17"/>
  <c r="D18" i="17" s="1"/>
  <c r="J4" i="17"/>
  <c r="C18" i="17" s="1"/>
  <c r="I4" i="17"/>
  <c r="B18" i="17" s="1"/>
  <c r="A26" i="17" s="1"/>
  <c r="AA3" i="17"/>
  <c r="AB3" i="17" s="1"/>
  <c r="AC3" i="17" s="1"/>
  <c r="AD3" i="17" s="1"/>
  <c r="AE3" i="17" s="1"/>
  <c r="AF3" i="17" s="1"/>
  <c r="AG3" i="17" s="1"/>
  <c r="AH3" i="17" s="1"/>
  <c r="AI3" i="17" s="1"/>
  <c r="AJ3" i="17" s="1"/>
  <c r="K3" i="17"/>
  <c r="D17" i="17" s="1"/>
  <c r="J3" i="17"/>
  <c r="C17" i="17" s="1"/>
  <c r="I3" i="17"/>
  <c r="B17" i="17" s="1"/>
  <c r="W1" i="17"/>
  <c r="V1" i="17" s="1"/>
  <c r="U1" i="17" s="1"/>
  <c r="T1" i="17" s="1"/>
  <c r="S1" i="17" s="1"/>
  <c r="R1" i="17" s="1"/>
  <c r="Q1" i="17" s="1"/>
  <c r="P1" i="17" s="1"/>
  <c r="O1" i="17" s="1"/>
  <c r="N1" i="17" s="1"/>
  <c r="M1" i="17" s="1"/>
  <c r="L8" i="16"/>
  <c r="E22" i="16" s="1"/>
  <c r="AM29" i="16"/>
  <c r="AM28" i="16"/>
  <c r="AM27" i="16"/>
  <c r="AM26" i="16"/>
  <c r="AM24" i="16"/>
  <c r="AN32" i="16" s="1"/>
  <c r="Z20" i="16"/>
  <c r="AA20" i="16" s="1"/>
  <c r="Z19" i="16"/>
  <c r="AA19" i="16" s="1"/>
  <c r="AB19" i="16" s="1"/>
  <c r="AC19" i="16" s="1"/>
  <c r="AD19" i="16" s="1"/>
  <c r="AE19" i="16" s="1"/>
  <c r="AF19" i="16" s="1"/>
  <c r="AG19" i="16" s="1"/>
  <c r="AH19" i="16" s="1"/>
  <c r="AI19" i="16" s="1"/>
  <c r="AJ19" i="16" s="1"/>
  <c r="AM18" i="16"/>
  <c r="Z18" i="16"/>
  <c r="AA18" i="16" s="1"/>
  <c r="AB18" i="16" s="1"/>
  <c r="AC18" i="16" s="1"/>
  <c r="AD18" i="16" s="1"/>
  <c r="AE18" i="16" s="1"/>
  <c r="AF18" i="16" s="1"/>
  <c r="AG18" i="16" s="1"/>
  <c r="AH18" i="16" s="1"/>
  <c r="AI18" i="16" s="1"/>
  <c r="AJ18" i="16" s="1"/>
  <c r="AM17" i="16"/>
  <c r="AM16" i="16"/>
  <c r="AM15" i="16"/>
  <c r="AM13" i="16"/>
  <c r="AN21" i="16" s="1"/>
  <c r="Z13" i="16"/>
  <c r="AA13" i="16" s="1"/>
  <c r="Z12" i="16"/>
  <c r="AA12" i="16" s="1"/>
  <c r="AB12" i="16" s="1"/>
  <c r="AC12" i="16" s="1"/>
  <c r="AD12" i="16" s="1"/>
  <c r="AE12" i="16" s="1"/>
  <c r="AF12" i="16" s="1"/>
  <c r="AG12" i="16" s="1"/>
  <c r="AH12" i="16" s="1"/>
  <c r="AI12" i="16" s="1"/>
  <c r="AJ12" i="16" s="1"/>
  <c r="Z11" i="16"/>
  <c r="AA11" i="16" s="1"/>
  <c r="AB11" i="16" s="1"/>
  <c r="AC11" i="16" s="1"/>
  <c r="AD11" i="16" s="1"/>
  <c r="AE11" i="16" s="1"/>
  <c r="AF11" i="16" s="1"/>
  <c r="AG11" i="16" s="1"/>
  <c r="AH11" i="16" s="1"/>
  <c r="AI11" i="16" s="1"/>
  <c r="AJ11" i="16" s="1"/>
  <c r="AN10" i="16"/>
  <c r="AN11" i="16" s="1"/>
  <c r="K7" i="16"/>
  <c r="D21" i="16" s="1"/>
  <c r="J7" i="16"/>
  <c r="C21" i="16" s="1"/>
  <c r="I7" i="16"/>
  <c r="B21" i="16" s="1"/>
  <c r="K6" i="16"/>
  <c r="D20" i="16" s="1"/>
  <c r="J6" i="16"/>
  <c r="C20" i="16" s="1"/>
  <c r="I6" i="16"/>
  <c r="B20" i="16" s="1"/>
  <c r="AA5" i="16"/>
  <c r="K5" i="16"/>
  <c r="D19" i="16" s="1"/>
  <c r="J5" i="16"/>
  <c r="C19" i="16" s="1"/>
  <c r="I5" i="16"/>
  <c r="B19" i="16" s="1"/>
  <c r="AA4" i="16"/>
  <c r="AB4" i="16" s="1"/>
  <c r="AC4" i="16" s="1"/>
  <c r="AD4" i="16" s="1"/>
  <c r="AE4" i="16" s="1"/>
  <c r="AF4" i="16" s="1"/>
  <c r="AG4" i="16" s="1"/>
  <c r="AH4" i="16" s="1"/>
  <c r="AI4" i="16" s="1"/>
  <c r="AJ4" i="16" s="1"/>
  <c r="K4" i="16"/>
  <c r="D18" i="16" s="1"/>
  <c r="J4" i="16"/>
  <c r="C18" i="16" s="1"/>
  <c r="I4" i="16"/>
  <c r="B18" i="16" s="1"/>
  <c r="A26" i="16" s="1"/>
  <c r="AA3" i="16"/>
  <c r="AB3" i="16" s="1"/>
  <c r="AC3" i="16" s="1"/>
  <c r="AD3" i="16" s="1"/>
  <c r="AE3" i="16" s="1"/>
  <c r="AF3" i="16" s="1"/>
  <c r="AG3" i="16" s="1"/>
  <c r="AH3" i="16" s="1"/>
  <c r="AI3" i="16" s="1"/>
  <c r="AJ3" i="16" s="1"/>
  <c r="K3" i="16"/>
  <c r="D17" i="16" s="1"/>
  <c r="J3" i="16"/>
  <c r="C17" i="16" s="1"/>
  <c r="I3" i="16"/>
  <c r="B17" i="16" s="1"/>
  <c r="W1" i="16"/>
  <c r="V1" i="16" s="1"/>
  <c r="U1" i="16" s="1"/>
  <c r="T1" i="16" s="1"/>
  <c r="S1" i="16" s="1"/>
  <c r="R1" i="16" s="1"/>
  <c r="Q1" i="16" s="1"/>
  <c r="P1" i="16" s="1"/>
  <c r="O1" i="16" s="1"/>
  <c r="N1" i="16" s="1"/>
  <c r="M1" i="16" s="1"/>
  <c r="A30" i="24" l="1"/>
  <c r="Z17" i="24"/>
  <c r="AB20" i="24" s="1"/>
  <c r="AC20" i="24" s="1"/>
  <c r="AD20" i="24" s="1"/>
  <c r="AE20" i="24" s="1"/>
  <c r="AF20" i="24" s="1"/>
  <c r="AG20" i="24" s="1"/>
  <c r="AH20" i="24" s="1"/>
  <c r="AI20" i="24" s="1"/>
  <c r="AJ20" i="24" s="1"/>
  <c r="AJ21" i="24" s="1"/>
  <c r="AI21" i="24" s="1"/>
  <c r="AH21" i="24" s="1"/>
  <c r="AG21" i="24" s="1"/>
  <c r="AF21" i="24" s="1"/>
  <c r="AE21" i="24" s="1"/>
  <c r="AD21" i="24" s="1"/>
  <c r="AC21" i="24" s="1"/>
  <c r="AB21" i="24" s="1"/>
  <c r="AA21" i="24" s="1"/>
  <c r="Z21" i="24" s="1"/>
  <c r="B31" i="24" s="1"/>
  <c r="C31" i="24" s="1"/>
  <c r="Z10" i="24"/>
  <c r="AB13" i="24" s="1"/>
  <c r="AC13" i="24" s="1"/>
  <c r="AD13" i="24" s="1"/>
  <c r="AE13" i="24" s="1"/>
  <c r="AF13" i="24" s="1"/>
  <c r="AG13" i="24" s="1"/>
  <c r="AH13" i="24" s="1"/>
  <c r="AI13" i="24" s="1"/>
  <c r="AJ13" i="24" s="1"/>
  <c r="AJ14" i="24" s="1"/>
  <c r="AI14" i="24" s="1"/>
  <c r="AH14" i="24" s="1"/>
  <c r="AG14" i="24" s="1"/>
  <c r="AF14" i="24" s="1"/>
  <c r="AE14" i="24" s="1"/>
  <c r="AD14" i="24" s="1"/>
  <c r="AC14" i="24" s="1"/>
  <c r="AB14" i="24" s="1"/>
  <c r="AA14" i="24" s="1"/>
  <c r="Z14" i="24" s="1"/>
  <c r="B30" i="24" s="1"/>
  <c r="C30" i="24" s="1"/>
  <c r="A31" i="24"/>
  <c r="A29" i="24"/>
  <c r="Z2" i="24"/>
  <c r="AB5" i="24" s="1"/>
  <c r="AC5" i="24" s="1"/>
  <c r="AD5" i="24" s="1"/>
  <c r="AE5" i="24" s="1"/>
  <c r="AF5" i="24" s="1"/>
  <c r="AG5" i="24" s="1"/>
  <c r="AH5" i="24" s="1"/>
  <c r="AI5" i="24" s="1"/>
  <c r="AJ5" i="24" s="1"/>
  <c r="AJ6" i="24" s="1"/>
  <c r="AI6" i="24" s="1"/>
  <c r="AH6" i="24" s="1"/>
  <c r="AG6" i="24" s="1"/>
  <c r="AF6" i="24" s="1"/>
  <c r="AE6" i="24" s="1"/>
  <c r="AD6" i="24" s="1"/>
  <c r="AC6" i="24" s="1"/>
  <c r="AB6" i="24" s="1"/>
  <c r="AA6" i="24" s="1"/>
  <c r="Z6" i="24" s="1"/>
  <c r="B29" i="24" s="1"/>
  <c r="C29" i="24" s="1"/>
  <c r="AN33" i="24"/>
  <c r="AN22" i="24"/>
  <c r="AN11" i="24"/>
  <c r="AN33" i="23"/>
  <c r="A30" i="23"/>
  <c r="Z17" i="23"/>
  <c r="Z2" i="23"/>
  <c r="Z10" i="23"/>
  <c r="A31" i="23"/>
  <c r="A29" i="23"/>
  <c r="AN22" i="23"/>
  <c r="AN11" i="23"/>
  <c r="AN33" i="22"/>
  <c r="AN22" i="22"/>
  <c r="A30" i="22"/>
  <c r="Z17" i="22"/>
  <c r="Z10" i="22"/>
  <c r="AB13" i="22" s="1"/>
  <c r="AC13" i="22" s="1"/>
  <c r="AD13" i="22" s="1"/>
  <c r="AE13" i="22" s="1"/>
  <c r="AF13" i="22" s="1"/>
  <c r="AG13" i="22" s="1"/>
  <c r="AH13" i="22" s="1"/>
  <c r="AI13" i="22" s="1"/>
  <c r="AJ13" i="22" s="1"/>
  <c r="AJ14" i="22" s="1"/>
  <c r="AI14" i="22" s="1"/>
  <c r="AH14" i="22" s="1"/>
  <c r="AG14" i="22" s="1"/>
  <c r="AF14" i="22" s="1"/>
  <c r="AE14" i="22" s="1"/>
  <c r="AD14" i="22" s="1"/>
  <c r="AC14" i="22" s="1"/>
  <c r="AB14" i="22" s="1"/>
  <c r="AA14" i="22" s="1"/>
  <c r="Z14" i="22" s="1"/>
  <c r="B30" i="22" s="1"/>
  <c r="C30" i="22" s="1"/>
  <c r="A31" i="22"/>
  <c r="A29" i="22"/>
  <c r="Z2" i="22"/>
  <c r="AN33" i="21"/>
  <c r="A30" i="21"/>
  <c r="Z17" i="21"/>
  <c r="Z10" i="21"/>
  <c r="AB13" i="21" s="1"/>
  <c r="AC13" i="21" s="1"/>
  <c r="AD13" i="21" s="1"/>
  <c r="AE13" i="21" s="1"/>
  <c r="AF13" i="21" s="1"/>
  <c r="AG13" i="21" s="1"/>
  <c r="AH13" i="21" s="1"/>
  <c r="AI13" i="21" s="1"/>
  <c r="AJ13" i="21" s="1"/>
  <c r="AJ14" i="21" s="1"/>
  <c r="AI14" i="21" s="1"/>
  <c r="AH14" i="21" s="1"/>
  <c r="AG14" i="21" s="1"/>
  <c r="AF14" i="21" s="1"/>
  <c r="AE14" i="21" s="1"/>
  <c r="AD14" i="21" s="1"/>
  <c r="AC14" i="21" s="1"/>
  <c r="AB14" i="21" s="1"/>
  <c r="AA14" i="21" s="1"/>
  <c r="Z14" i="21" s="1"/>
  <c r="B30" i="21" s="1"/>
  <c r="C30" i="21" s="1"/>
  <c r="A31" i="21"/>
  <c r="A29" i="21"/>
  <c r="Z2" i="21"/>
  <c r="AB5" i="21" s="1"/>
  <c r="AC5" i="21" s="1"/>
  <c r="AD5" i="21" s="1"/>
  <c r="AE5" i="21" s="1"/>
  <c r="AF5" i="21" s="1"/>
  <c r="AG5" i="21" s="1"/>
  <c r="AH5" i="21" s="1"/>
  <c r="AI5" i="21" s="1"/>
  <c r="AJ5" i="21" s="1"/>
  <c r="AJ6" i="21" s="1"/>
  <c r="AI6" i="21" s="1"/>
  <c r="AH6" i="21" s="1"/>
  <c r="AG6" i="21" s="1"/>
  <c r="AF6" i="21" s="1"/>
  <c r="AE6" i="21" s="1"/>
  <c r="AD6" i="21" s="1"/>
  <c r="AC6" i="21" s="1"/>
  <c r="AB6" i="21" s="1"/>
  <c r="AA6" i="21" s="1"/>
  <c r="Z6" i="21" s="1"/>
  <c r="B29" i="21" s="1"/>
  <c r="C29" i="21" s="1"/>
  <c r="AN22" i="21"/>
  <c r="A30" i="20"/>
  <c r="Z17" i="20"/>
  <c r="Z10" i="20"/>
  <c r="A31" i="20"/>
  <c r="Z2" i="20"/>
  <c r="A29" i="20"/>
  <c r="AN33" i="20"/>
  <c r="AN22" i="20"/>
  <c r="A30" i="19"/>
  <c r="Z17" i="19"/>
  <c r="Z10" i="19"/>
  <c r="AB13" i="19" s="1"/>
  <c r="AC13" i="19" s="1"/>
  <c r="AD13" i="19" s="1"/>
  <c r="AE13" i="19" s="1"/>
  <c r="AF13" i="19" s="1"/>
  <c r="AG13" i="19" s="1"/>
  <c r="AH13" i="19" s="1"/>
  <c r="AI13" i="19" s="1"/>
  <c r="AJ13" i="19" s="1"/>
  <c r="AJ14" i="19" s="1"/>
  <c r="AI14" i="19" s="1"/>
  <c r="AH14" i="19" s="1"/>
  <c r="AG14" i="19" s="1"/>
  <c r="AF14" i="19" s="1"/>
  <c r="AE14" i="19" s="1"/>
  <c r="AD14" i="19" s="1"/>
  <c r="AC14" i="19" s="1"/>
  <c r="AB14" i="19" s="1"/>
  <c r="AA14" i="19" s="1"/>
  <c r="Z14" i="19" s="1"/>
  <c r="B30" i="19" s="1"/>
  <c r="C30" i="19" s="1"/>
  <c r="A31" i="19"/>
  <c r="A29" i="19"/>
  <c r="Z2" i="19"/>
  <c r="AB5" i="19" s="1"/>
  <c r="AC5" i="19" s="1"/>
  <c r="AD5" i="19" s="1"/>
  <c r="AE5" i="19" s="1"/>
  <c r="AF5" i="19" s="1"/>
  <c r="AG5" i="19" s="1"/>
  <c r="AH5" i="19" s="1"/>
  <c r="AI5" i="19" s="1"/>
  <c r="AJ5" i="19" s="1"/>
  <c r="AJ6" i="19" s="1"/>
  <c r="AI6" i="19" s="1"/>
  <c r="AH6" i="19" s="1"/>
  <c r="AG6" i="19" s="1"/>
  <c r="AF6" i="19" s="1"/>
  <c r="AE6" i="19" s="1"/>
  <c r="AD6" i="19" s="1"/>
  <c r="AC6" i="19" s="1"/>
  <c r="AB6" i="19" s="1"/>
  <c r="AA6" i="19" s="1"/>
  <c r="Z6" i="19" s="1"/>
  <c r="B29" i="19" s="1"/>
  <c r="C29" i="19" s="1"/>
  <c r="AN33" i="19"/>
  <c r="AN22" i="19"/>
  <c r="AN11" i="19"/>
  <c r="AN33" i="18"/>
  <c r="A30" i="18"/>
  <c r="Z17" i="18"/>
  <c r="Z10" i="18"/>
  <c r="Z2" i="18"/>
  <c r="A31" i="18"/>
  <c r="A29" i="18"/>
  <c r="AN22" i="18"/>
  <c r="AN11" i="18"/>
  <c r="AN33" i="17"/>
  <c r="AN22" i="17"/>
  <c r="A30" i="17"/>
  <c r="Z17" i="17"/>
  <c r="AB20" i="17" s="1"/>
  <c r="AC20" i="17" s="1"/>
  <c r="AD20" i="17" s="1"/>
  <c r="AE20" i="17" s="1"/>
  <c r="AF20" i="17" s="1"/>
  <c r="AG20" i="17" s="1"/>
  <c r="AH20" i="17" s="1"/>
  <c r="AI20" i="17" s="1"/>
  <c r="AJ20" i="17" s="1"/>
  <c r="AJ21" i="17" s="1"/>
  <c r="AI21" i="17" s="1"/>
  <c r="AH21" i="17" s="1"/>
  <c r="AG21" i="17" s="1"/>
  <c r="AF21" i="17" s="1"/>
  <c r="AE21" i="17" s="1"/>
  <c r="AD21" i="17" s="1"/>
  <c r="AC21" i="17" s="1"/>
  <c r="AB21" i="17" s="1"/>
  <c r="AA21" i="17" s="1"/>
  <c r="Z21" i="17" s="1"/>
  <c r="B31" i="17" s="1"/>
  <c r="C31" i="17" s="1"/>
  <c r="Z2" i="17"/>
  <c r="Z10" i="17"/>
  <c r="AB13" i="17" s="1"/>
  <c r="AC13" i="17" s="1"/>
  <c r="AD13" i="17" s="1"/>
  <c r="AE13" i="17" s="1"/>
  <c r="AF13" i="17" s="1"/>
  <c r="AG13" i="17" s="1"/>
  <c r="AH13" i="17" s="1"/>
  <c r="AI13" i="17" s="1"/>
  <c r="AJ13" i="17" s="1"/>
  <c r="AJ14" i="17" s="1"/>
  <c r="AI14" i="17" s="1"/>
  <c r="AH14" i="17" s="1"/>
  <c r="AG14" i="17" s="1"/>
  <c r="AF14" i="17" s="1"/>
  <c r="AE14" i="17" s="1"/>
  <c r="AD14" i="17" s="1"/>
  <c r="AC14" i="17" s="1"/>
  <c r="AB14" i="17" s="1"/>
  <c r="AA14" i="17" s="1"/>
  <c r="Z14" i="17" s="1"/>
  <c r="B30" i="17" s="1"/>
  <c r="C30" i="17" s="1"/>
  <c r="A31" i="17"/>
  <c r="A29" i="17"/>
  <c r="AN33" i="16"/>
  <c r="A30" i="16"/>
  <c r="Z17" i="16"/>
  <c r="Z10" i="16"/>
  <c r="A29" i="16"/>
  <c r="A31" i="16"/>
  <c r="Z2" i="16"/>
  <c r="AB5" i="16" s="1"/>
  <c r="AC5" i="16" s="1"/>
  <c r="AD5" i="16" s="1"/>
  <c r="AE5" i="16" s="1"/>
  <c r="AF5" i="16" s="1"/>
  <c r="AG5" i="16" s="1"/>
  <c r="AH5" i="16" s="1"/>
  <c r="AI5" i="16" s="1"/>
  <c r="AJ5" i="16" s="1"/>
  <c r="AJ6" i="16" s="1"/>
  <c r="AI6" i="16" s="1"/>
  <c r="AH6" i="16" s="1"/>
  <c r="AG6" i="16" s="1"/>
  <c r="AF6" i="16" s="1"/>
  <c r="AE6" i="16" s="1"/>
  <c r="AD6" i="16" s="1"/>
  <c r="AC6" i="16" s="1"/>
  <c r="AB6" i="16" s="1"/>
  <c r="AA6" i="16" s="1"/>
  <c r="Z6" i="16" s="1"/>
  <c r="B29" i="16" s="1"/>
  <c r="C29" i="16" s="1"/>
  <c r="AN22" i="16"/>
  <c r="AM29" i="15"/>
  <c r="AM28" i="15"/>
  <c r="AM27" i="15"/>
  <c r="AM26" i="15"/>
  <c r="AM24" i="15"/>
  <c r="AN32" i="15" s="1"/>
  <c r="Z20" i="15"/>
  <c r="AA20" i="15" s="1"/>
  <c r="Z19" i="15"/>
  <c r="AA19" i="15" s="1"/>
  <c r="AB19" i="15" s="1"/>
  <c r="AC19" i="15" s="1"/>
  <c r="AD19" i="15" s="1"/>
  <c r="AE19" i="15" s="1"/>
  <c r="AF19" i="15" s="1"/>
  <c r="AG19" i="15" s="1"/>
  <c r="AH19" i="15" s="1"/>
  <c r="AI19" i="15" s="1"/>
  <c r="AJ19" i="15" s="1"/>
  <c r="AM18" i="15"/>
  <c r="Z18" i="15"/>
  <c r="AA18" i="15" s="1"/>
  <c r="AB18" i="15" s="1"/>
  <c r="AC18" i="15" s="1"/>
  <c r="AD18" i="15" s="1"/>
  <c r="AE18" i="15" s="1"/>
  <c r="AF18" i="15" s="1"/>
  <c r="AG18" i="15" s="1"/>
  <c r="AH18" i="15" s="1"/>
  <c r="AI18" i="15" s="1"/>
  <c r="AJ18" i="15" s="1"/>
  <c r="AM17" i="15"/>
  <c r="AM16" i="15"/>
  <c r="AM15" i="15"/>
  <c r="AM13" i="15"/>
  <c r="AN21" i="15" s="1"/>
  <c r="Z13" i="15"/>
  <c r="AA13" i="15" s="1"/>
  <c r="Z12" i="15"/>
  <c r="AA12" i="15" s="1"/>
  <c r="AB12" i="15" s="1"/>
  <c r="AC12" i="15" s="1"/>
  <c r="AD12" i="15" s="1"/>
  <c r="AE12" i="15" s="1"/>
  <c r="AF12" i="15" s="1"/>
  <c r="AG12" i="15" s="1"/>
  <c r="AH12" i="15" s="1"/>
  <c r="AI12" i="15" s="1"/>
  <c r="AJ12" i="15" s="1"/>
  <c r="Z11" i="15"/>
  <c r="AA11" i="15" s="1"/>
  <c r="AB11" i="15" s="1"/>
  <c r="AC11" i="15" s="1"/>
  <c r="AD11" i="15" s="1"/>
  <c r="AE11" i="15" s="1"/>
  <c r="AF11" i="15" s="1"/>
  <c r="AG11" i="15" s="1"/>
  <c r="AH11" i="15" s="1"/>
  <c r="AI11" i="15" s="1"/>
  <c r="AJ11" i="15" s="1"/>
  <c r="AN10" i="15"/>
  <c r="AN11" i="15" s="1"/>
  <c r="E22" i="15"/>
  <c r="K7" i="15"/>
  <c r="D21" i="15" s="1"/>
  <c r="J7" i="15"/>
  <c r="C21" i="15" s="1"/>
  <c r="I7" i="15"/>
  <c r="B21" i="15" s="1"/>
  <c r="K6" i="15"/>
  <c r="D20" i="15" s="1"/>
  <c r="J6" i="15"/>
  <c r="C20" i="15" s="1"/>
  <c r="I6" i="15"/>
  <c r="B20" i="15" s="1"/>
  <c r="AA5" i="15"/>
  <c r="K5" i="15"/>
  <c r="D19" i="15" s="1"/>
  <c r="J5" i="15"/>
  <c r="C19" i="15" s="1"/>
  <c r="I5" i="15"/>
  <c r="B19" i="15" s="1"/>
  <c r="AA4" i="15"/>
  <c r="AB4" i="15" s="1"/>
  <c r="AC4" i="15" s="1"/>
  <c r="AD4" i="15" s="1"/>
  <c r="AE4" i="15" s="1"/>
  <c r="AF4" i="15" s="1"/>
  <c r="AG4" i="15" s="1"/>
  <c r="AH4" i="15" s="1"/>
  <c r="AI4" i="15" s="1"/>
  <c r="AJ4" i="15" s="1"/>
  <c r="K4" i="15"/>
  <c r="D18" i="15" s="1"/>
  <c r="J4" i="15"/>
  <c r="C18" i="15" s="1"/>
  <c r="I4" i="15"/>
  <c r="B18" i="15" s="1"/>
  <c r="A26" i="15" s="1"/>
  <c r="AA3" i="15"/>
  <c r="AB3" i="15" s="1"/>
  <c r="AC3" i="15" s="1"/>
  <c r="AD3" i="15" s="1"/>
  <c r="AE3" i="15" s="1"/>
  <c r="AF3" i="15" s="1"/>
  <c r="AG3" i="15" s="1"/>
  <c r="AH3" i="15" s="1"/>
  <c r="AI3" i="15" s="1"/>
  <c r="AJ3" i="15" s="1"/>
  <c r="K3" i="15"/>
  <c r="D17" i="15" s="1"/>
  <c r="J3" i="15"/>
  <c r="C17" i="15" s="1"/>
  <c r="I3" i="15"/>
  <c r="B17" i="15" s="1"/>
  <c r="W1" i="15"/>
  <c r="V1" i="15" s="1"/>
  <c r="U1" i="15" s="1"/>
  <c r="T1" i="15" s="1"/>
  <c r="S1" i="15" s="1"/>
  <c r="R1" i="15" s="1"/>
  <c r="Q1" i="15" s="1"/>
  <c r="P1" i="15" s="1"/>
  <c r="O1" i="15" s="1"/>
  <c r="N1" i="15" s="1"/>
  <c r="M1" i="15" s="1"/>
  <c r="L8" i="14"/>
  <c r="E22" i="14" s="1"/>
  <c r="AM29" i="14"/>
  <c r="AM28" i="14"/>
  <c r="AM27" i="14"/>
  <c r="AM26" i="14"/>
  <c r="AM24" i="14"/>
  <c r="AN32" i="14" s="1"/>
  <c r="Z20" i="14"/>
  <c r="AA20" i="14" s="1"/>
  <c r="Z19" i="14"/>
  <c r="AA19" i="14" s="1"/>
  <c r="AB19" i="14" s="1"/>
  <c r="AC19" i="14" s="1"/>
  <c r="AD19" i="14" s="1"/>
  <c r="AE19" i="14" s="1"/>
  <c r="AF19" i="14" s="1"/>
  <c r="AG19" i="14" s="1"/>
  <c r="AH19" i="14" s="1"/>
  <c r="AI19" i="14" s="1"/>
  <c r="AJ19" i="14" s="1"/>
  <c r="AM18" i="14"/>
  <c r="Z18" i="14"/>
  <c r="AA18" i="14" s="1"/>
  <c r="AB18" i="14" s="1"/>
  <c r="AC18" i="14" s="1"/>
  <c r="AD18" i="14" s="1"/>
  <c r="AE18" i="14" s="1"/>
  <c r="AF18" i="14" s="1"/>
  <c r="AG18" i="14" s="1"/>
  <c r="AH18" i="14" s="1"/>
  <c r="AI18" i="14" s="1"/>
  <c r="AJ18" i="14" s="1"/>
  <c r="AM17" i="14"/>
  <c r="AM16" i="14"/>
  <c r="AM15" i="14"/>
  <c r="AM13" i="14"/>
  <c r="AN21" i="14" s="1"/>
  <c r="Z13" i="14"/>
  <c r="AA13" i="14" s="1"/>
  <c r="Z12" i="14"/>
  <c r="AA12" i="14" s="1"/>
  <c r="AB12" i="14" s="1"/>
  <c r="AC12" i="14" s="1"/>
  <c r="AD12" i="14" s="1"/>
  <c r="AE12" i="14" s="1"/>
  <c r="AF12" i="14" s="1"/>
  <c r="AG12" i="14" s="1"/>
  <c r="AH12" i="14" s="1"/>
  <c r="AI12" i="14" s="1"/>
  <c r="AJ12" i="14" s="1"/>
  <c r="Z11" i="14"/>
  <c r="AA11" i="14" s="1"/>
  <c r="AB11" i="14" s="1"/>
  <c r="AC11" i="14" s="1"/>
  <c r="AD11" i="14" s="1"/>
  <c r="AE11" i="14" s="1"/>
  <c r="AF11" i="14" s="1"/>
  <c r="AG11" i="14" s="1"/>
  <c r="AH11" i="14" s="1"/>
  <c r="AI11" i="14" s="1"/>
  <c r="AJ11" i="14" s="1"/>
  <c r="AN10" i="14"/>
  <c r="AN11" i="14" s="1"/>
  <c r="K7" i="14"/>
  <c r="D21" i="14" s="1"/>
  <c r="J7" i="14"/>
  <c r="C21" i="14" s="1"/>
  <c r="I7" i="14"/>
  <c r="B21" i="14" s="1"/>
  <c r="K6" i="14"/>
  <c r="D20" i="14" s="1"/>
  <c r="J6" i="14"/>
  <c r="C20" i="14" s="1"/>
  <c r="I6" i="14"/>
  <c r="B20" i="14" s="1"/>
  <c r="AA5" i="14"/>
  <c r="K5" i="14"/>
  <c r="D19" i="14" s="1"/>
  <c r="J5" i="14"/>
  <c r="C19" i="14" s="1"/>
  <c r="I5" i="14"/>
  <c r="B19" i="14" s="1"/>
  <c r="AA4" i="14"/>
  <c r="AB4" i="14" s="1"/>
  <c r="AC4" i="14" s="1"/>
  <c r="AD4" i="14" s="1"/>
  <c r="AE4" i="14" s="1"/>
  <c r="AF4" i="14" s="1"/>
  <c r="AG4" i="14" s="1"/>
  <c r="AH4" i="14" s="1"/>
  <c r="AI4" i="14" s="1"/>
  <c r="AJ4" i="14" s="1"/>
  <c r="K4" i="14"/>
  <c r="D18" i="14" s="1"/>
  <c r="J4" i="14"/>
  <c r="C18" i="14" s="1"/>
  <c r="I4" i="14"/>
  <c r="B18" i="14" s="1"/>
  <c r="A26" i="14" s="1"/>
  <c r="AA3" i="14"/>
  <c r="AB3" i="14" s="1"/>
  <c r="AC3" i="14" s="1"/>
  <c r="AD3" i="14" s="1"/>
  <c r="AE3" i="14" s="1"/>
  <c r="AF3" i="14" s="1"/>
  <c r="AG3" i="14" s="1"/>
  <c r="AH3" i="14" s="1"/>
  <c r="AI3" i="14" s="1"/>
  <c r="AJ3" i="14" s="1"/>
  <c r="K3" i="14"/>
  <c r="D17" i="14" s="1"/>
  <c r="J3" i="14"/>
  <c r="C17" i="14" s="1"/>
  <c r="I3" i="14"/>
  <c r="B17" i="14" s="1"/>
  <c r="W1" i="14"/>
  <c r="V1" i="14" s="1"/>
  <c r="U1" i="14" s="1"/>
  <c r="T1" i="14" s="1"/>
  <c r="S1" i="14" s="1"/>
  <c r="R1" i="14" s="1"/>
  <c r="Q1" i="14" s="1"/>
  <c r="P1" i="14" s="1"/>
  <c r="O1" i="14" s="1"/>
  <c r="N1" i="14" s="1"/>
  <c r="M1" i="14" s="1"/>
  <c r="L8" i="13"/>
  <c r="E22" i="13" s="1"/>
  <c r="I3" i="13"/>
  <c r="B17" i="13" s="1"/>
  <c r="AM29" i="13"/>
  <c r="AM28" i="13"/>
  <c r="AM27" i="13"/>
  <c r="AM26" i="13"/>
  <c r="AM24" i="13"/>
  <c r="AN32" i="13" s="1"/>
  <c r="Z20" i="13"/>
  <c r="AA20" i="13" s="1"/>
  <c r="Z19" i="13"/>
  <c r="AA19" i="13" s="1"/>
  <c r="AB19" i="13" s="1"/>
  <c r="AC19" i="13" s="1"/>
  <c r="AD19" i="13" s="1"/>
  <c r="AE19" i="13" s="1"/>
  <c r="AF19" i="13" s="1"/>
  <c r="AG19" i="13" s="1"/>
  <c r="AH19" i="13" s="1"/>
  <c r="AI19" i="13" s="1"/>
  <c r="AJ19" i="13" s="1"/>
  <c r="AM18" i="13"/>
  <c r="Z18" i="13"/>
  <c r="AA18" i="13" s="1"/>
  <c r="AB18" i="13" s="1"/>
  <c r="AC18" i="13" s="1"/>
  <c r="AD18" i="13" s="1"/>
  <c r="AE18" i="13" s="1"/>
  <c r="AF18" i="13" s="1"/>
  <c r="AG18" i="13" s="1"/>
  <c r="AH18" i="13" s="1"/>
  <c r="AI18" i="13" s="1"/>
  <c r="AJ18" i="13" s="1"/>
  <c r="AM17" i="13"/>
  <c r="AM16" i="13"/>
  <c r="AM15" i="13"/>
  <c r="AM13" i="13"/>
  <c r="AN21" i="13" s="1"/>
  <c r="Z13" i="13"/>
  <c r="AA13" i="13" s="1"/>
  <c r="Z12" i="13"/>
  <c r="AA12" i="13" s="1"/>
  <c r="AB12" i="13" s="1"/>
  <c r="AC12" i="13" s="1"/>
  <c r="AD12" i="13" s="1"/>
  <c r="AE12" i="13" s="1"/>
  <c r="AF12" i="13" s="1"/>
  <c r="AG12" i="13" s="1"/>
  <c r="AH12" i="13" s="1"/>
  <c r="AI12" i="13" s="1"/>
  <c r="AJ12" i="13" s="1"/>
  <c r="Z11" i="13"/>
  <c r="AA11" i="13" s="1"/>
  <c r="AB11" i="13" s="1"/>
  <c r="AC11" i="13" s="1"/>
  <c r="AD11" i="13" s="1"/>
  <c r="AE11" i="13" s="1"/>
  <c r="AF11" i="13" s="1"/>
  <c r="AG11" i="13" s="1"/>
  <c r="AH11" i="13" s="1"/>
  <c r="AI11" i="13" s="1"/>
  <c r="AJ11" i="13" s="1"/>
  <c r="AN10" i="13"/>
  <c r="AN11" i="13" s="1"/>
  <c r="K7" i="13"/>
  <c r="D21" i="13" s="1"/>
  <c r="J7" i="13"/>
  <c r="C21" i="13" s="1"/>
  <c r="I7" i="13"/>
  <c r="B21" i="13" s="1"/>
  <c r="K6" i="13"/>
  <c r="D20" i="13" s="1"/>
  <c r="J6" i="13"/>
  <c r="C20" i="13" s="1"/>
  <c r="I6" i="13"/>
  <c r="B20" i="13" s="1"/>
  <c r="AA5" i="13"/>
  <c r="K5" i="13"/>
  <c r="D19" i="13" s="1"/>
  <c r="J5" i="13"/>
  <c r="C19" i="13" s="1"/>
  <c r="I5" i="13"/>
  <c r="B19" i="13" s="1"/>
  <c r="AA4" i="13"/>
  <c r="AB4" i="13" s="1"/>
  <c r="AC4" i="13" s="1"/>
  <c r="AD4" i="13" s="1"/>
  <c r="AE4" i="13" s="1"/>
  <c r="AF4" i="13" s="1"/>
  <c r="AG4" i="13" s="1"/>
  <c r="AH4" i="13" s="1"/>
  <c r="AI4" i="13" s="1"/>
  <c r="AJ4" i="13" s="1"/>
  <c r="K4" i="13"/>
  <c r="D18" i="13" s="1"/>
  <c r="J4" i="13"/>
  <c r="C18" i="13" s="1"/>
  <c r="I4" i="13"/>
  <c r="B18" i="13" s="1"/>
  <c r="A26" i="13" s="1"/>
  <c r="AA3" i="13"/>
  <c r="AB3" i="13" s="1"/>
  <c r="AC3" i="13" s="1"/>
  <c r="AD3" i="13" s="1"/>
  <c r="AE3" i="13" s="1"/>
  <c r="AF3" i="13" s="1"/>
  <c r="AG3" i="13" s="1"/>
  <c r="AH3" i="13" s="1"/>
  <c r="AI3" i="13" s="1"/>
  <c r="AJ3" i="13" s="1"/>
  <c r="K3" i="13"/>
  <c r="D17" i="13" s="1"/>
  <c r="J3" i="13"/>
  <c r="C17" i="13" s="1"/>
  <c r="W1" i="13"/>
  <c r="V1" i="13" s="1"/>
  <c r="U1" i="13" s="1"/>
  <c r="T1" i="13" s="1"/>
  <c r="S1" i="13" s="1"/>
  <c r="R1" i="13" s="1"/>
  <c r="Q1" i="13" s="1"/>
  <c r="P1" i="13" s="1"/>
  <c r="O1" i="13" s="1"/>
  <c r="N1" i="13" s="1"/>
  <c r="M1" i="13" s="1"/>
  <c r="L8" i="12"/>
  <c r="E21" i="12" s="1"/>
  <c r="AM28" i="12"/>
  <c r="AM27" i="12"/>
  <c r="AM26" i="12"/>
  <c r="AM25" i="12"/>
  <c r="AM23" i="12"/>
  <c r="AN31" i="12" s="1"/>
  <c r="Z19" i="12"/>
  <c r="AA19" i="12" s="1"/>
  <c r="Z18" i="12"/>
  <c r="AA18" i="12" s="1"/>
  <c r="AB18" i="12" s="1"/>
  <c r="AC18" i="12" s="1"/>
  <c r="AD18" i="12" s="1"/>
  <c r="AE18" i="12" s="1"/>
  <c r="AF18" i="12" s="1"/>
  <c r="AG18" i="12" s="1"/>
  <c r="AH18" i="12" s="1"/>
  <c r="AI18" i="12" s="1"/>
  <c r="AJ18" i="12" s="1"/>
  <c r="AM17" i="12"/>
  <c r="Z17" i="12"/>
  <c r="AA17" i="12" s="1"/>
  <c r="AB17" i="12" s="1"/>
  <c r="AC17" i="12" s="1"/>
  <c r="AD17" i="12" s="1"/>
  <c r="AE17" i="12" s="1"/>
  <c r="AF17" i="12" s="1"/>
  <c r="AG17" i="12" s="1"/>
  <c r="AH17" i="12" s="1"/>
  <c r="AI17" i="12" s="1"/>
  <c r="AJ17" i="12" s="1"/>
  <c r="AM16" i="12"/>
  <c r="AM15" i="12"/>
  <c r="AM14" i="12"/>
  <c r="AM12" i="12"/>
  <c r="AN20" i="12" s="1"/>
  <c r="Z12" i="12"/>
  <c r="AA12" i="12" s="1"/>
  <c r="Z11" i="12"/>
  <c r="AA11" i="12" s="1"/>
  <c r="AB11" i="12" s="1"/>
  <c r="AC11" i="12" s="1"/>
  <c r="AD11" i="12" s="1"/>
  <c r="AE11" i="12" s="1"/>
  <c r="AF11" i="12" s="1"/>
  <c r="AG11" i="12" s="1"/>
  <c r="AH11" i="12" s="1"/>
  <c r="AI11" i="12" s="1"/>
  <c r="AJ11" i="12" s="1"/>
  <c r="Z10" i="12"/>
  <c r="AA10" i="12" s="1"/>
  <c r="AB10" i="12" s="1"/>
  <c r="AC10" i="12" s="1"/>
  <c r="AD10" i="12" s="1"/>
  <c r="AE10" i="12" s="1"/>
  <c r="AF10" i="12" s="1"/>
  <c r="AG10" i="12" s="1"/>
  <c r="AH10" i="12" s="1"/>
  <c r="AI10" i="12" s="1"/>
  <c r="AJ10" i="12" s="1"/>
  <c r="AN9" i="12"/>
  <c r="AN10" i="12" s="1"/>
  <c r="K7" i="12"/>
  <c r="D20" i="12" s="1"/>
  <c r="J7" i="12"/>
  <c r="C20" i="12" s="1"/>
  <c r="I7" i="12"/>
  <c r="B20" i="12" s="1"/>
  <c r="K6" i="12"/>
  <c r="D19" i="12" s="1"/>
  <c r="J6" i="12"/>
  <c r="C19" i="12" s="1"/>
  <c r="I6" i="12"/>
  <c r="B19" i="12" s="1"/>
  <c r="AA5" i="12"/>
  <c r="K5" i="12"/>
  <c r="D18" i="12" s="1"/>
  <c r="J5" i="12"/>
  <c r="C18" i="12" s="1"/>
  <c r="I5" i="12"/>
  <c r="B18" i="12" s="1"/>
  <c r="AA4" i="12"/>
  <c r="AB4" i="12" s="1"/>
  <c r="AC4" i="12" s="1"/>
  <c r="AD4" i="12" s="1"/>
  <c r="AE4" i="12" s="1"/>
  <c r="AF4" i="12" s="1"/>
  <c r="AG4" i="12" s="1"/>
  <c r="AH4" i="12" s="1"/>
  <c r="AI4" i="12" s="1"/>
  <c r="AJ4" i="12" s="1"/>
  <c r="K4" i="12"/>
  <c r="D17" i="12" s="1"/>
  <c r="J4" i="12"/>
  <c r="C17" i="12" s="1"/>
  <c r="I4" i="12"/>
  <c r="B17" i="12" s="1"/>
  <c r="A25" i="12" s="1"/>
  <c r="AA3" i="12"/>
  <c r="AB3" i="12" s="1"/>
  <c r="AC3" i="12" s="1"/>
  <c r="AD3" i="12" s="1"/>
  <c r="AE3" i="12" s="1"/>
  <c r="AF3" i="12" s="1"/>
  <c r="AG3" i="12" s="1"/>
  <c r="AH3" i="12" s="1"/>
  <c r="AI3" i="12" s="1"/>
  <c r="AJ3" i="12" s="1"/>
  <c r="K3" i="12"/>
  <c r="D16" i="12" s="1"/>
  <c r="J3" i="12"/>
  <c r="C16" i="12" s="1"/>
  <c r="I3" i="12"/>
  <c r="B16" i="12" s="1"/>
  <c r="W1" i="12"/>
  <c r="V1" i="12" s="1"/>
  <c r="U1" i="12" s="1"/>
  <c r="T1" i="12" s="1"/>
  <c r="S1" i="12" s="1"/>
  <c r="R1" i="12" s="1"/>
  <c r="Q1" i="12" s="1"/>
  <c r="P1" i="12" s="1"/>
  <c r="O1" i="12" s="1"/>
  <c r="N1" i="12" s="1"/>
  <c r="M1" i="12" s="1"/>
  <c r="L8" i="11"/>
  <c r="E21" i="11" s="1"/>
  <c r="I3" i="11"/>
  <c r="B16" i="11" s="1"/>
  <c r="AM28" i="11"/>
  <c r="AM27" i="11"/>
  <c r="AM26" i="11"/>
  <c r="AM25" i="11"/>
  <c r="AM23" i="11"/>
  <c r="AN31" i="11" s="1"/>
  <c r="Z19" i="11"/>
  <c r="AA19" i="11" s="1"/>
  <c r="Z18" i="11"/>
  <c r="AA18" i="11" s="1"/>
  <c r="AB18" i="11" s="1"/>
  <c r="AC18" i="11" s="1"/>
  <c r="AD18" i="11" s="1"/>
  <c r="AE18" i="11" s="1"/>
  <c r="AF18" i="11" s="1"/>
  <c r="AG18" i="11" s="1"/>
  <c r="AH18" i="11" s="1"/>
  <c r="AI18" i="11" s="1"/>
  <c r="AJ18" i="11" s="1"/>
  <c r="AM17" i="11"/>
  <c r="Z17" i="11"/>
  <c r="AA17" i="11" s="1"/>
  <c r="AB17" i="11" s="1"/>
  <c r="AC17" i="11" s="1"/>
  <c r="AD17" i="11" s="1"/>
  <c r="AE17" i="11" s="1"/>
  <c r="AF17" i="11" s="1"/>
  <c r="AG17" i="11" s="1"/>
  <c r="AH17" i="11" s="1"/>
  <c r="AI17" i="11" s="1"/>
  <c r="AJ17" i="11" s="1"/>
  <c r="AM16" i="11"/>
  <c r="AM15" i="11"/>
  <c r="AM14" i="11"/>
  <c r="AM12" i="11"/>
  <c r="AN20" i="11" s="1"/>
  <c r="Z12" i="11"/>
  <c r="AA12" i="11" s="1"/>
  <c r="Z11" i="11"/>
  <c r="AA11" i="11" s="1"/>
  <c r="AB11" i="11" s="1"/>
  <c r="AC11" i="11" s="1"/>
  <c r="AD11" i="11" s="1"/>
  <c r="AE11" i="11" s="1"/>
  <c r="AF11" i="11" s="1"/>
  <c r="AG11" i="11" s="1"/>
  <c r="AH11" i="11" s="1"/>
  <c r="AI11" i="11" s="1"/>
  <c r="AJ11" i="11" s="1"/>
  <c r="Z10" i="11"/>
  <c r="AA10" i="11" s="1"/>
  <c r="AB10" i="11" s="1"/>
  <c r="AC10" i="11" s="1"/>
  <c r="AD10" i="11" s="1"/>
  <c r="AE10" i="11" s="1"/>
  <c r="AF10" i="11" s="1"/>
  <c r="AG10" i="11" s="1"/>
  <c r="AH10" i="11" s="1"/>
  <c r="AI10" i="11" s="1"/>
  <c r="AJ10" i="11" s="1"/>
  <c r="AN9" i="11"/>
  <c r="AN10" i="11" s="1"/>
  <c r="K7" i="11"/>
  <c r="D20" i="11" s="1"/>
  <c r="J7" i="11"/>
  <c r="C20" i="11" s="1"/>
  <c r="I7" i="11"/>
  <c r="B20" i="11" s="1"/>
  <c r="K6" i="11"/>
  <c r="D19" i="11" s="1"/>
  <c r="J6" i="11"/>
  <c r="C19" i="11" s="1"/>
  <c r="I6" i="11"/>
  <c r="B19" i="11" s="1"/>
  <c r="AA5" i="11"/>
  <c r="K5" i="11"/>
  <c r="D18" i="11" s="1"/>
  <c r="J5" i="11"/>
  <c r="C18" i="11" s="1"/>
  <c r="I5" i="11"/>
  <c r="B18" i="11" s="1"/>
  <c r="AA4" i="11"/>
  <c r="AB4" i="11" s="1"/>
  <c r="AC4" i="11" s="1"/>
  <c r="AD4" i="11" s="1"/>
  <c r="AE4" i="11" s="1"/>
  <c r="AF4" i="11" s="1"/>
  <c r="AG4" i="11" s="1"/>
  <c r="AH4" i="11" s="1"/>
  <c r="AI4" i="11" s="1"/>
  <c r="AJ4" i="11" s="1"/>
  <c r="K4" i="11"/>
  <c r="D17" i="11" s="1"/>
  <c r="J4" i="11"/>
  <c r="C17" i="11" s="1"/>
  <c r="I4" i="11"/>
  <c r="B17" i="11" s="1"/>
  <c r="A25" i="11" s="1"/>
  <c r="AA3" i="11"/>
  <c r="AB3" i="11" s="1"/>
  <c r="AC3" i="11" s="1"/>
  <c r="AD3" i="11" s="1"/>
  <c r="AE3" i="11" s="1"/>
  <c r="AF3" i="11" s="1"/>
  <c r="AG3" i="11" s="1"/>
  <c r="AH3" i="11" s="1"/>
  <c r="AI3" i="11" s="1"/>
  <c r="AJ3" i="11" s="1"/>
  <c r="K3" i="11"/>
  <c r="D16" i="11" s="1"/>
  <c r="J3" i="11"/>
  <c r="C16" i="11" s="1"/>
  <c r="W1" i="11"/>
  <c r="V1" i="11" s="1"/>
  <c r="U1" i="11" s="1"/>
  <c r="T1" i="11" s="1"/>
  <c r="S1" i="11" s="1"/>
  <c r="R1" i="11" s="1"/>
  <c r="Q1" i="11" s="1"/>
  <c r="P1" i="11" s="1"/>
  <c r="O1" i="11" s="1"/>
  <c r="N1" i="11" s="1"/>
  <c r="M1" i="11" s="1"/>
  <c r="A30" i="10"/>
  <c r="A29" i="10"/>
  <c r="AM28" i="10"/>
  <c r="A28" i="10"/>
  <c r="AM27" i="10"/>
  <c r="AM26" i="10"/>
  <c r="AM25" i="10"/>
  <c r="AM23" i="10"/>
  <c r="AN31" i="10" s="1"/>
  <c r="E21" i="10"/>
  <c r="Z19" i="10"/>
  <c r="AA19" i="10" s="1"/>
  <c r="Z18" i="10"/>
  <c r="AA18" i="10" s="1"/>
  <c r="AB18" i="10" s="1"/>
  <c r="AC18" i="10" s="1"/>
  <c r="AD18" i="10" s="1"/>
  <c r="AE18" i="10" s="1"/>
  <c r="AF18" i="10" s="1"/>
  <c r="AG18" i="10" s="1"/>
  <c r="AH18" i="10" s="1"/>
  <c r="AI18" i="10" s="1"/>
  <c r="AJ18" i="10" s="1"/>
  <c r="AM17" i="10"/>
  <c r="Z17" i="10"/>
  <c r="AA17" i="10" s="1"/>
  <c r="AB17" i="10" s="1"/>
  <c r="AC17" i="10" s="1"/>
  <c r="AD17" i="10" s="1"/>
  <c r="AE17" i="10" s="1"/>
  <c r="AF17" i="10" s="1"/>
  <c r="AG17" i="10" s="1"/>
  <c r="AH17" i="10" s="1"/>
  <c r="AI17" i="10" s="1"/>
  <c r="AJ17" i="10" s="1"/>
  <c r="AM16" i="10"/>
  <c r="AM15" i="10"/>
  <c r="AM14" i="10"/>
  <c r="AM12" i="10"/>
  <c r="AN20" i="10" s="1"/>
  <c r="Z12" i="10"/>
  <c r="AA12" i="10" s="1"/>
  <c r="Z11" i="10"/>
  <c r="AA11" i="10" s="1"/>
  <c r="AB11" i="10" s="1"/>
  <c r="AC11" i="10" s="1"/>
  <c r="AD11" i="10" s="1"/>
  <c r="AE11" i="10" s="1"/>
  <c r="AF11" i="10" s="1"/>
  <c r="AG11" i="10" s="1"/>
  <c r="AH11" i="10" s="1"/>
  <c r="AI11" i="10" s="1"/>
  <c r="AJ11" i="10" s="1"/>
  <c r="Z10" i="10"/>
  <c r="AA10" i="10" s="1"/>
  <c r="AB10" i="10" s="1"/>
  <c r="AC10" i="10" s="1"/>
  <c r="AD10" i="10" s="1"/>
  <c r="AE10" i="10" s="1"/>
  <c r="AF10" i="10" s="1"/>
  <c r="AG10" i="10" s="1"/>
  <c r="AH10" i="10" s="1"/>
  <c r="AI10" i="10" s="1"/>
  <c r="AJ10" i="10" s="1"/>
  <c r="AN9" i="10"/>
  <c r="K7" i="10"/>
  <c r="D20" i="10" s="1"/>
  <c r="J7" i="10"/>
  <c r="C20" i="10" s="1"/>
  <c r="I7" i="10"/>
  <c r="B20" i="10" s="1"/>
  <c r="K6" i="10"/>
  <c r="D19" i="10" s="1"/>
  <c r="J6" i="10"/>
  <c r="C19" i="10" s="1"/>
  <c r="I6" i="10"/>
  <c r="B19" i="10" s="1"/>
  <c r="AA5" i="10"/>
  <c r="K5" i="10"/>
  <c r="D18" i="10" s="1"/>
  <c r="J5" i="10"/>
  <c r="C18" i="10" s="1"/>
  <c r="I5" i="10"/>
  <c r="B18" i="10" s="1"/>
  <c r="AA4" i="10"/>
  <c r="AB4" i="10" s="1"/>
  <c r="AC4" i="10" s="1"/>
  <c r="AD4" i="10" s="1"/>
  <c r="AE4" i="10" s="1"/>
  <c r="AF4" i="10" s="1"/>
  <c r="AG4" i="10" s="1"/>
  <c r="AH4" i="10" s="1"/>
  <c r="AI4" i="10" s="1"/>
  <c r="AJ4" i="10" s="1"/>
  <c r="K4" i="10"/>
  <c r="D17" i="10" s="1"/>
  <c r="J4" i="10"/>
  <c r="C17" i="10" s="1"/>
  <c r="I4" i="10"/>
  <c r="B17" i="10" s="1"/>
  <c r="A25" i="10" s="1"/>
  <c r="AA3" i="10"/>
  <c r="AB3" i="10" s="1"/>
  <c r="AC3" i="10" s="1"/>
  <c r="AD3" i="10" s="1"/>
  <c r="AE3" i="10" s="1"/>
  <c r="AF3" i="10" s="1"/>
  <c r="AG3" i="10" s="1"/>
  <c r="AH3" i="10" s="1"/>
  <c r="AI3" i="10" s="1"/>
  <c r="AJ3" i="10" s="1"/>
  <c r="K3" i="10"/>
  <c r="D16" i="10" s="1"/>
  <c r="J3" i="10"/>
  <c r="C16" i="10" s="1"/>
  <c r="I3" i="10"/>
  <c r="B16" i="10" s="1"/>
  <c r="W1" i="10"/>
  <c r="V1" i="10" s="1"/>
  <c r="U1" i="10" s="1"/>
  <c r="T1" i="10" s="1"/>
  <c r="S1" i="10" s="1"/>
  <c r="R1" i="10" s="1"/>
  <c r="Q1" i="10" s="1"/>
  <c r="P1" i="10" s="1"/>
  <c r="O1" i="10" s="1"/>
  <c r="N1" i="10" s="1"/>
  <c r="M1" i="10" s="1"/>
  <c r="Z2" i="9" a="1"/>
  <c r="Z2" i="9" s="1"/>
  <c r="AM2" i="9" s="1"/>
  <c r="Z16" i="9" a="1"/>
  <c r="Z16" i="9" s="1"/>
  <c r="AM24" i="9" s="1"/>
  <c r="Z9" i="9" a="1"/>
  <c r="Z9" i="9" s="1"/>
  <c r="AA9" i="9" s="1"/>
  <c r="AB9" i="9" s="1"/>
  <c r="AC9" i="9" s="1"/>
  <c r="AD9" i="9" s="1"/>
  <c r="AE9" i="9" s="1"/>
  <c r="AF9" i="9" s="1"/>
  <c r="AG9" i="9" s="1"/>
  <c r="AH9" i="9" s="1"/>
  <c r="AI9" i="9" s="1"/>
  <c r="AJ9" i="9" s="1"/>
  <c r="L8" i="9"/>
  <c r="E21" i="9" s="1"/>
  <c r="A30" i="9"/>
  <c r="A29" i="9"/>
  <c r="AM28" i="9"/>
  <c r="A28" i="9"/>
  <c r="AM27" i="9"/>
  <c r="AM26" i="9"/>
  <c r="AM25" i="9"/>
  <c r="AM23" i="9"/>
  <c r="AN31" i="9" s="1"/>
  <c r="Z19" i="9"/>
  <c r="AA19" i="9" s="1"/>
  <c r="Z18" i="9"/>
  <c r="AA18" i="9" s="1"/>
  <c r="AB18" i="9" s="1"/>
  <c r="AC18" i="9" s="1"/>
  <c r="AD18" i="9" s="1"/>
  <c r="AE18" i="9" s="1"/>
  <c r="AF18" i="9" s="1"/>
  <c r="AG18" i="9" s="1"/>
  <c r="AH18" i="9" s="1"/>
  <c r="AI18" i="9" s="1"/>
  <c r="AJ18" i="9" s="1"/>
  <c r="AM17" i="9"/>
  <c r="Z17" i="9"/>
  <c r="AA17" i="9" s="1"/>
  <c r="AB17" i="9" s="1"/>
  <c r="AC17" i="9" s="1"/>
  <c r="AD17" i="9" s="1"/>
  <c r="AE17" i="9" s="1"/>
  <c r="AF17" i="9" s="1"/>
  <c r="AG17" i="9" s="1"/>
  <c r="AH17" i="9" s="1"/>
  <c r="AI17" i="9" s="1"/>
  <c r="AJ17" i="9" s="1"/>
  <c r="AM16" i="9"/>
  <c r="AM15" i="9"/>
  <c r="AM14" i="9"/>
  <c r="AM12" i="9"/>
  <c r="AN20" i="9" s="1"/>
  <c r="Z12" i="9"/>
  <c r="AA12" i="9" s="1"/>
  <c r="Z11" i="9"/>
  <c r="AA11" i="9" s="1"/>
  <c r="AB11" i="9" s="1"/>
  <c r="AC11" i="9" s="1"/>
  <c r="AD11" i="9" s="1"/>
  <c r="AE11" i="9" s="1"/>
  <c r="AF11" i="9" s="1"/>
  <c r="AG11" i="9" s="1"/>
  <c r="AH11" i="9" s="1"/>
  <c r="AI11" i="9" s="1"/>
  <c r="AJ11" i="9" s="1"/>
  <c r="Z10" i="9"/>
  <c r="AA10" i="9" s="1"/>
  <c r="AB10" i="9" s="1"/>
  <c r="AC10" i="9" s="1"/>
  <c r="AD10" i="9" s="1"/>
  <c r="AE10" i="9" s="1"/>
  <c r="AF10" i="9" s="1"/>
  <c r="AG10" i="9" s="1"/>
  <c r="AH10" i="9" s="1"/>
  <c r="AI10" i="9" s="1"/>
  <c r="AJ10" i="9" s="1"/>
  <c r="AN9" i="9"/>
  <c r="AN10" i="9" s="1"/>
  <c r="K7" i="9"/>
  <c r="D20" i="9" s="1"/>
  <c r="J7" i="9"/>
  <c r="C20" i="9" s="1"/>
  <c r="I7" i="9"/>
  <c r="B20" i="9" s="1"/>
  <c r="K6" i="9"/>
  <c r="D19" i="9" s="1"/>
  <c r="J6" i="9"/>
  <c r="C19" i="9" s="1"/>
  <c r="I6" i="9"/>
  <c r="B19" i="9" s="1"/>
  <c r="AA5" i="9"/>
  <c r="K5" i="9"/>
  <c r="D18" i="9" s="1"/>
  <c r="J5" i="9"/>
  <c r="C18" i="9" s="1"/>
  <c r="I5" i="9"/>
  <c r="B18" i="9" s="1"/>
  <c r="AA4" i="9"/>
  <c r="AB4" i="9" s="1"/>
  <c r="AC4" i="9" s="1"/>
  <c r="AD4" i="9" s="1"/>
  <c r="AE4" i="9" s="1"/>
  <c r="AF4" i="9" s="1"/>
  <c r="AG4" i="9" s="1"/>
  <c r="AH4" i="9" s="1"/>
  <c r="AI4" i="9" s="1"/>
  <c r="AJ4" i="9" s="1"/>
  <c r="K4" i="9"/>
  <c r="D17" i="9" s="1"/>
  <c r="J4" i="9"/>
  <c r="C17" i="9" s="1"/>
  <c r="I4" i="9"/>
  <c r="B17" i="9" s="1"/>
  <c r="A25" i="9" s="1"/>
  <c r="AA3" i="9"/>
  <c r="AB3" i="9" s="1"/>
  <c r="AC3" i="9" s="1"/>
  <c r="AD3" i="9" s="1"/>
  <c r="AE3" i="9" s="1"/>
  <c r="AF3" i="9" s="1"/>
  <c r="AG3" i="9" s="1"/>
  <c r="AH3" i="9" s="1"/>
  <c r="AI3" i="9" s="1"/>
  <c r="AJ3" i="9" s="1"/>
  <c r="K3" i="9"/>
  <c r="D16" i="9" s="1"/>
  <c r="J3" i="9"/>
  <c r="C16" i="9" s="1"/>
  <c r="I3" i="9"/>
  <c r="B16" i="9" s="1"/>
  <c r="W1" i="9"/>
  <c r="V1" i="9" s="1"/>
  <c r="U1" i="9" s="1"/>
  <c r="T1" i="9" s="1"/>
  <c r="S1" i="9" s="1"/>
  <c r="R1" i="9" s="1"/>
  <c r="Q1" i="9" s="1"/>
  <c r="P1" i="9" s="1"/>
  <c r="O1" i="9" s="1"/>
  <c r="N1" i="9" s="1"/>
  <c r="M1" i="9" s="1"/>
  <c r="L8" i="8"/>
  <c r="E21" i="8" s="1"/>
  <c r="A30" i="8"/>
  <c r="A29" i="8"/>
  <c r="AM28" i="8"/>
  <c r="A28" i="8"/>
  <c r="AM27" i="8"/>
  <c r="AM26" i="8"/>
  <c r="AM25" i="8"/>
  <c r="AM23" i="8"/>
  <c r="AN31" i="8" s="1"/>
  <c r="Z19" i="8"/>
  <c r="AA19" i="8" s="1"/>
  <c r="Z18" i="8"/>
  <c r="AA18" i="8" s="1"/>
  <c r="AB18" i="8" s="1"/>
  <c r="AC18" i="8" s="1"/>
  <c r="AD18" i="8" s="1"/>
  <c r="AE18" i="8" s="1"/>
  <c r="AF18" i="8" s="1"/>
  <c r="AG18" i="8" s="1"/>
  <c r="AH18" i="8" s="1"/>
  <c r="AI18" i="8" s="1"/>
  <c r="AJ18" i="8" s="1"/>
  <c r="AM17" i="8"/>
  <c r="Z17" i="8"/>
  <c r="AA17" i="8" s="1"/>
  <c r="AB17" i="8" s="1"/>
  <c r="AC17" i="8" s="1"/>
  <c r="AD17" i="8" s="1"/>
  <c r="AE17" i="8" s="1"/>
  <c r="AF17" i="8" s="1"/>
  <c r="AG17" i="8" s="1"/>
  <c r="AH17" i="8" s="1"/>
  <c r="AI17" i="8" s="1"/>
  <c r="AJ17" i="8" s="1"/>
  <c r="AM16" i="8"/>
  <c r="AM15" i="8"/>
  <c r="AM14" i="8"/>
  <c r="AM12" i="8"/>
  <c r="AN20" i="8" s="1"/>
  <c r="Z12" i="8"/>
  <c r="AA12" i="8" s="1"/>
  <c r="Z11" i="8"/>
  <c r="AA11" i="8" s="1"/>
  <c r="AB11" i="8" s="1"/>
  <c r="AC11" i="8" s="1"/>
  <c r="AD11" i="8" s="1"/>
  <c r="AE11" i="8" s="1"/>
  <c r="AF11" i="8" s="1"/>
  <c r="AG11" i="8" s="1"/>
  <c r="AH11" i="8" s="1"/>
  <c r="AI11" i="8" s="1"/>
  <c r="AJ11" i="8" s="1"/>
  <c r="Z10" i="8"/>
  <c r="AA10" i="8" s="1"/>
  <c r="AB10" i="8" s="1"/>
  <c r="AC10" i="8" s="1"/>
  <c r="AD10" i="8" s="1"/>
  <c r="AE10" i="8" s="1"/>
  <c r="AF10" i="8" s="1"/>
  <c r="AG10" i="8" s="1"/>
  <c r="AH10" i="8" s="1"/>
  <c r="AI10" i="8" s="1"/>
  <c r="AJ10" i="8" s="1"/>
  <c r="AN9" i="8"/>
  <c r="K7" i="8"/>
  <c r="D20" i="8" s="1"/>
  <c r="J7" i="8"/>
  <c r="C20" i="8" s="1"/>
  <c r="I7" i="8"/>
  <c r="B20" i="8" s="1"/>
  <c r="K6" i="8"/>
  <c r="D19" i="8" s="1"/>
  <c r="J6" i="8"/>
  <c r="C19" i="8" s="1"/>
  <c r="I6" i="8"/>
  <c r="B19" i="8" s="1"/>
  <c r="AA5" i="8"/>
  <c r="K5" i="8"/>
  <c r="D18" i="8" s="1"/>
  <c r="J5" i="8"/>
  <c r="C18" i="8" s="1"/>
  <c r="I5" i="8"/>
  <c r="B18" i="8" s="1"/>
  <c r="AA4" i="8"/>
  <c r="AB4" i="8" s="1"/>
  <c r="AC4" i="8" s="1"/>
  <c r="AD4" i="8" s="1"/>
  <c r="AE4" i="8" s="1"/>
  <c r="AF4" i="8" s="1"/>
  <c r="AG4" i="8" s="1"/>
  <c r="AH4" i="8" s="1"/>
  <c r="AI4" i="8" s="1"/>
  <c r="AJ4" i="8" s="1"/>
  <c r="K4" i="8"/>
  <c r="D17" i="8" s="1"/>
  <c r="J4" i="8"/>
  <c r="C17" i="8" s="1"/>
  <c r="I4" i="8"/>
  <c r="B17" i="8" s="1"/>
  <c r="A25" i="8" s="1"/>
  <c r="AA3" i="8"/>
  <c r="AB3" i="8" s="1"/>
  <c r="AC3" i="8" s="1"/>
  <c r="AD3" i="8" s="1"/>
  <c r="AE3" i="8" s="1"/>
  <c r="AF3" i="8" s="1"/>
  <c r="AG3" i="8" s="1"/>
  <c r="AH3" i="8" s="1"/>
  <c r="AI3" i="8" s="1"/>
  <c r="AJ3" i="8" s="1"/>
  <c r="K3" i="8"/>
  <c r="D16" i="8" s="1"/>
  <c r="J3" i="8"/>
  <c r="C16" i="8" s="1"/>
  <c r="I3" i="8"/>
  <c r="B16" i="8" s="1"/>
  <c r="W1" i="8"/>
  <c r="V1" i="8" s="1"/>
  <c r="U1" i="8" s="1"/>
  <c r="T1" i="8" s="1"/>
  <c r="S1" i="8" s="1"/>
  <c r="R1" i="8" s="1"/>
  <c r="Q1" i="8" s="1"/>
  <c r="P1" i="8" s="1"/>
  <c r="O1" i="8" s="1"/>
  <c r="N1" i="8" s="1"/>
  <c r="M1" i="8" s="1"/>
  <c r="I3" i="7"/>
  <c r="B16" i="7" s="1"/>
  <c r="L8" i="6"/>
  <c r="E21" i="6" s="1"/>
  <c r="I3" i="6"/>
  <c r="B16" i="6" s="1"/>
  <c r="J3" i="6"/>
  <c r="C16" i="6" s="1"/>
  <c r="A30" i="7"/>
  <c r="A29" i="7"/>
  <c r="AM28" i="7"/>
  <c r="A28" i="7"/>
  <c r="AM27" i="7"/>
  <c r="AM26" i="7"/>
  <c r="AM25" i="7"/>
  <c r="AM23" i="7"/>
  <c r="AN31" i="7" s="1"/>
  <c r="E21" i="7"/>
  <c r="Z19" i="7"/>
  <c r="AA19" i="7" s="1"/>
  <c r="Z18" i="7"/>
  <c r="AA18" i="7" s="1"/>
  <c r="AB18" i="7" s="1"/>
  <c r="AC18" i="7" s="1"/>
  <c r="AD18" i="7" s="1"/>
  <c r="AE18" i="7" s="1"/>
  <c r="AF18" i="7" s="1"/>
  <c r="AG18" i="7" s="1"/>
  <c r="AH18" i="7" s="1"/>
  <c r="AI18" i="7" s="1"/>
  <c r="AJ18" i="7" s="1"/>
  <c r="AM17" i="7"/>
  <c r="Z17" i="7"/>
  <c r="AA17" i="7" s="1"/>
  <c r="AB17" i="7" s="1"/>
  <c r="AC17" i="7" s="1"/>
  <c r="AD17" i="7" s="1"/>
  <c r="AE17" i="7" s="1"/>
  <c r="AF17" i="7" s="1"/>
  <c r="AG17" i="7" s="1"/>
  <c r="AH17" i="7" s="1"/>
  <c r="AI17" i="7" s="1"/>
  <c r="AJ17" i="7" s="1"/>
  <c r="AM16" i="7"/>
  <c r="AM15" i="7"/>
  <c r="AM14" i="7"/>
  <c r="AM12" i="7"/>
  <c r="AN20" i="7" s="1"/>
  <c r="Z12" i="7"/>
  <c r="AA12" i="7" s="1"/>
  <c r="Z11" i="7"/>
  <c r="AA11" i="7" s="1"/>
  <c r="AB11" i="7" s="1"/>
  <c r="AC11" i="7" s="1"/>
  <c r="AD11" i="7" s="1"/>
  <c r="AE11" i="7" s="1"/>
  <c r="AF11" i="7" s="1"/>
  <c r="AG11" i="7" s="1"/>
  <c r="AH11" i="7" s="1"/>
  <c r="AI11" i="7" s="1"/>
  <c r="AJ11" i="7" s="1"/>
  <c r="Z10" i="7"/>
  <c r="AA10" i="7" s="1"/>
  <c r="AB10" i="7" s="1"/>
  <c r="AC10" i="7" s="1"/>
  <c r="AD10" i="7" s="1"/>
  <c r="AE10" i="7" s="1"/>
  <c r="AF10" i="7" s="1"/>
  <c r="AG10" i="7" s="1"/>
  <c r="AH10" i="7" s="1"/>
  <c r="AI10" i="7" s="1"/>
  <c r="AJ10" i="7" s="1"/>
  <c r="AN9" i="7"/>
  <c r="AN10" i="7" s="1"/>
  <c r="K7" i="7"/>
  <c r="D20" i="7" s="1"/>
  <c r="J7" i="7"/>
  <c r="C20" i="7" s="1"/>
  <c r="I7" i="7"/>
  <c r="B20" i="7" s="1"/>
  <c r="K6" i="7"/>
  <c r="D19" i="7" s="1"/>
  <c r="J6" i="7"/>
  <c r="C19" i="7" s="1"/>
  <c r="I6" i="7"/>
  <c r="B19" i="7" s="1"/>
  <c r="AA5" i="7"/>
  <c r="K5" i="7"/>
  <c r="D18" i="7" s="1"/>
  <c r="J5" i="7"/>
  <c r="C18" i="7" s="1"/>
  <c r="I5" i="7"/>
  <c r="B18" i="7" s="1"/>
  <c r="AA4" i="7"/>
  <c r="AB4" i="7" s="1"/>
  <c r="AC4" i="7" s="1"/>
  <c r="AD4" i="7" s="1"/>
  <c r="AE4" i="7" s="1"/>
  <c r="AF4" i="7" s="1"/>
  <c r="AG4" i="7" s="1"/>
  <c r="AH4" i="7" s="1"/>
  <c r="AI4" i="7" s="1"/>
  <c r="AJ4" i="7" s="1"/>
  <c r="K4" i="7"/>
  <c r="D17" i="7" s="1"/>
  <c r="J4" i="7"/>
  <c r="C17" i="7" s="1"/>
  <c r="I4" i="7"/>
  <c r="B17" i="7" s="1"/>
  <c r="A25" i="7" s="1"/>
  <c r="AA3" i="7"/>
  <c r="AB3" i="7" s="1"/>
  <c r="AC3" i="7" s="1"/>
  <c r="AD3" i="7" s="1"/>
  <c r="AE3" i="7" s="1"/>
  <c r="AF3" i="7" s="1"/>
  <c r="AG3" i="7" s="1"/>
  <c r="AH3" i="7" s="1"/>
  <c r="AI3" i="7" s="1"/>
  <c r="AJ3" i="7" s="1"/>
  <c r="K3" i="7"/>
  <c r="D16" i="7" s="1"/>
  <c r="J3" i="7"/>
  <c r="C16" i="7" s="1"/>
  <c r="W1" i="7"/>
  <c r="V1" i="7" s="1"/>
  <c r="U1" i="7" s="1"/>
  <c r="T1" i="7" s="1"/>
  <c r="S1" i="7" s="1"/>
  <c r="R1" i="7" s="1"/>
  <c r="Q1" i="7" s="1"/>
  <c r="P1" i="7" s="1"/>
  <c r="O1" i="7" s="1"/>
  <c r="N1" i="7" s="1"/>
  <c r="M1" i="7" s="1"/>
  <c r="A30" i="6"/>
  <c r="A29" i="6"/>
  <c r="AM28" i="6"/>
  <c r="A28" i="6"/>
  <c r="AM27" i="6"/>
  <c r="AM26" i="6"/>
  <c r="AM25" i="6"/>
  <c r="AM23" i="6"/>
  <c r="AN31" i="6" s="1"/>
  <c r="Z19" i="6"/>
  <c r="AA19" i="6" s="1"/>
  <c r="Z18" i="6"/>
  <c r="AA18" i="6" s="1"/>
  <c r="AB18" i="6" s="1"/>
  <c r="AC18" i="6" s="1"/>
  <c r="AD18" i="6" s="1"/>
  <c r="AE18" i="6" s="1"/>
  <c r="AF18" i="6" s="1"/>
  <c r="AG18" i="6" s="1"/>
  <c r="AH18" i="6" s="1"/>
  <c r="AI18" i="6" s="1"/>
  <c r="AJ18" i="6" s="1"/>
  <c r="AM17" i="6"/>
  <c r="Z17" i="6"/>
  <c r="AA17" i="6" s="1"/>
  <c r="AB17" i="6" s="1"/>
  <c r="AC17" i="6" s="1"/>
  <c r="AD17" i="6" s="1"/>
  <c r="AE17" i="6" s="1"/>
  <c r="AF17" i="6" s="1"/>
  <c r="AG17" i="6" s="1"/>
  <c r="AH17" i="6" s="1"/>
  <c r="AI17" i="6" s="1"/>
  <c r="AJ17" i="6" s="1"/>
  <c r="AM16" i="6"/>
  <c r="AM15" i="6"/>
  <c r="AM14" i="6"/>
  <c r="AM12" i="6"/>
  <c r="AN20" i="6" s="1"/>
  <c r="Z12" i="6"/>
  <c r="AA12" i="6" s="1"/>
  <c r="Z11" i="6"/>
  <c r="AA11" i="6" s="1"/>
  <c r="AB11" i="6" s="1"/>
  <c r="AC11" i="6" s="1"/>
  <c r="AD11" i="6" s="1"/>
  <c r="AE11" i="6" s="1"/>
  <c r="AF11" i="6" s="1"/>
  <c r="AG11" i="6" s="1"/>
  <c r="AH11" i="6" s="1"/>
  <c r="AI11" i="6" s="1"/>
  <c r="AJ11" i="6" s="1"/>
  <c r="Z10" i="6"/>
  <c r="AA10" i="6" s="1"/>
  <c r="AB10" i="6" s="1"/>
  <c r="AC10" i="6" s="1"/>
  <c r="AD10" i="6" s="1"/>
  <c r="AE10" i="6" s="1"/>
  <c r="AF10" i="6" s="1"/>
  <c r="AG10" i="6" s="1"/>
  <c r="AH10" i="6" s="1"/>
  <c r="AI10" i="6" s="1"/>
  <c r="AJ10" i="6" s="1"/>
  <c r="AN9" i="6"/>
  <c r="AN10" i="6" s="1"/>
  <c r="K7" i="6"/>
  <c r="D20" i="6" s="1"/>
  <c r="J7" i="6"/>
  <c r="C20" i="6" s="1"/>
  <c r="I7" i="6"/>
  <c r="B20" i="6" s="1"/>
  <c r="K6" i="6"/>
  <c r="D19" i="6" s="1"/>
  <c r="J6" i="6"/>
  <c r="C19" i="6" s="1"/>
  <c r="I6" i="6"/>
  <c r="B19" i="6" s="1"/>
  <c r="AA5" i="6"/>
  <c r="K5" i="6"/>
  <c r="D18" i="6" s="1"/>
  <c r="J5" i="6"/>
  <c r="C18" i="6" s="1"/>
  <c r="I5" i="6"/>
  <c r="B18" i="6" s="1"/>
  <c r="AA4" i="6"/>
  <c r="AB4" i="6" s="1"/>
  <c r="AC4" i="6" s="1"/>
  <c r="AD4" i="6" s="1"/>
  <c r="AE4" i="6" s="1"/>
  <c r="AF4" i="6" s="1"/>
  <c r="AG4" i="6" s="1"/>
  <c r="AH4" i="6" s="1"/>
  <c r="AI4" i="6" s="1"/>
  <c r="AJ4" i="6" s="1"/>
  <c r="K4" i="6"/>
  <c r="D17" i="6" s="1"/>
  <c r="J4" i="6"/>
  <c r="C17" i="6" s="1"/>
  <c r="I4" i="6"/>
  <c r="B17" i="6" s="1"/>
  <c r="AA3" i="6"/>
  <c r="AB3" i="6" s="1"/>
  <c r="AC3" i="6" s="1"/>
  <c r="AD3" i="6" s="1"/>
  <c r="AE3" i="6" s="1"/>
  <c r="AF3" i="6" s="1"/>
  <c r="AG3" i="6" s="1"/>
  <c r="AH3" i="6" s="1"/>
  <c r="AI3" i="6" s="1"/>
  <c r="AJ3" i="6" s="1"/>
  <c r="K3" i="6"/>
  <c r="D16" i="6" s="1"/>
  <c r="W1" i="6"/>
  <c r="V1" i="6" s="1"/>
  <c r="U1" i="6" s="1"/>
  <c r="T1" i="6" s="1"/>
  <c r="S1" i="6" s="1"/>
  <c r="R1" i="6" s="1"/>
  <c r="Q1" i="6" s="1"/>
  <c r="P1" i="6" s="1"/>
  <c r="O1" i="6" s="1"/>
  <c r="N1" i="6" s="1"/>
  <c r="M1" i="6" s="1"/>
  <c r="G13" i="4" a="1"/>
  <c r="G13" i="4" s="1"/>
  <c r="G21" i="4" a="1"/>
  <c r="G21" i="4" s="1"/>
  <c r="G7" i="4" a="1"/>
  <c r="G7" i="4" s="1"/>
  <c r="G10" i="4" a="1"/>
  <c r="G10" i="4" s="1"/>
  <c r="G3" i="4" a="1"/>
  <c r="G3" i="4" s="1"/>
  <c r="G16" i="4" a="1"/>
  <c r="G16" i="4" s="1"/>
  <c r="G22" i="4" a="1"/>
  <c r="G22" i="4" s="1"/>
  <c r="G23" i="4" a="1"/>
  <c r="G23" i="4" s="1"/>
  <c r="J13" i="4" a="1"/>
  <c r="J13" i="4" s="1"/>
  <c r="K13" i="4" s="1"/>
  <c r="J21" i="4" a="1"/>
  <c r="J21" i="4" s="1"/>
  <c r="K21" i="4" s="1"/>
  <c r="J7" i="4" a="1"/>
  <c r="J7" i="4" s="1"/>
  <c r="K7" i="4" s="1"/>
  <c r="J10" i="4" a="1"/>
  <c r="J10" i="4" s="1"/>
  <c r="K10" i="4" s="1"/>
  <c r="J3" i="4" a="1"/>
  <c r="J3" i="4" s="1"/>
  <c r="K3" i="4" s="1"/>
  <c r="J16" i="4" a="1"/>
  <c r="J16" i="4" s="1"/>
  <c r="K16" i="4" s="1"/>
  <c r="J22" i="4" a="1"/>
  <c r="J22" i="4" s="1"/>
  <c r="K22" i="4" s="1"/>
  <c r="J23" i="4" a="1"/>
  <c r="J23" i="4" s="1"/>
  <c r="K23" i="4" s="1"/>
  <c r="Z16" i="5"/>
  <c r="Z9" i="5"/>
  <c r="Z2" i="5"/>
  <c r="L8" i="5"/>
  <c r="E21" i="5" s="1"/>
  <c r="I3" i="5"/>
  <c r="B16" i="5" s="1"/>
  <c r="AM30" i="5"/>
  <c r="AM29" i="5"/>
  <c r="E29" i="5"/>
  <c r="AM28" i="5"/>
  <c r="AM27" i="5"/>
  <c r="AM23" i="5"/>
  <c r="AN33" i="5" s="1"/>
  <c r="Z19" i="5"/>
  <c r="AA19" i="5" s="1"/>
  <c r="Z18" i="5"/>
  <c r="AA18" i="5" s="1"/>
  <c r="AB18" i="5" s="1"/>
  <c r="AC18" i="5" s="1"/>
  <c r="AD18" i="5" s="1"/>
  <c r="AE18" i="5" s="1"/>
  <c r="AF18" i="5" s="1"/>
  <c r="AG18" i="5" s="1"/>
  <c r="AH18" i="5" s="1"/>
  <c r="AI18" i="5" s="1"/>
  <c r="AJ18" i="5" s="1"/>
  <c r="AM17" i="5"/>
  <c r="Z17" i="5"/>
  <c r="AA17" i="5" s="1"/>
  <c r="AB17" i="5" s="1"/>
  <c r="AC17" i="5" s="1"/>
  <c r="AD17" i="5" s="1"/>
  <c r="AE17" i="5" s="1"/>
  <c r="AF17" i="5" s="1"/>
  <c r="AG17" i="5" s="1"/>
  <c r="AH17" i="5" s="1"/>
  <c r="AI17" i="5" s="1"/>
  <c r="AJ17" i="5" s="1"/>
  <c r="AM16" i="5"/>
  <c r="AM15" i="5"/>
  <c r="AM14" i="5"/>
  <c r="AM12" i="5"/>
  <c r="AN20" i="5" s="1"/>
  <c r="Z12" i="5"/>
  <c r="AA12" i="5" s="1"/>
  <c r="Z11" i="5"/>
  <c r="AA11" i="5" s="1"/>
  <c r="AB11" i="5" s="1"/>
  <c r="AC11" i="5" s="1"/>
  <c r="AD11" i="5" s="1"/>
  <c r="AE11" i="5" s="1"/>
  <c r="AF11" i="5" s="1"/>
  <c r="AG11" i="5" s="1"/>
  <c r="AH11" i="5" s="1"/>
  <c r="AI11" i="5" s="1"/>
  <c r="AJ11" i="5" s="1"/>
  <c r="Z10" i="5"/>
  <c r="AA10" i="5" s="1"/>
  <c r="AB10" i="5" s="1"/>
  <c r="AC10" i="5" s="1"/>
  <c r="AD10" i="5" s="1"/>
  <c r="AE10" i="5" s="1"/>
  <c r="AF10" i="5" s="1"/>
  <c r="AG10" i="5" s="1"/>
  <c r="AH10" i="5" s="1"/>
  <c r="AI10" i="5" s="1"/>
  <c r="AJ10" i="5" s="1"/>
  <c r="AN9" i="5"/>
  <c r="AN10" i="5" s="1"/>
  <c r="K7" i="5"/>
  <c r="D20" i="5" s="1"/>
  <c r="J7" i="5"/>
  <c r="C20" i="5" s="1"/>
  <c r="I7" i="5"/>
  <c r="B20" i="5" s="1"/>
  <c r="K6" i="5"/>
  <c r="D19" i="5" s="1"/>
  <c r="J6" i="5"/>
  <c r="C19" i="5" s="1"/>
  <c r="I6" i="5"/>
  <c r="B19" i="5" s="1"/>
  <c r="AA5" i="5"/>
  <c r="K5" i="5"/>
  <c r="D18" i="5" s="1"/>
  <c r="J5" i="5"/>
  <c r="C18" i="5" s="1"/>
  <c r="I5" i="5"/>
  <c r="B18" i="5" s="1"/>
  <c r="AA4" i="5"/>
  <c r="AB4" i="5" s="1"/>
  <c r="AC4" i="5" s="1"/>
  <c r="AD4" i="5" s="1"/>
  <c r="AE4" i="5" s="1"/>
  <c r="AF4" i="5" s="1"/>
  <c r="AG4" i="5" s="1"/>
  <c r="AH4" i="5" s="1"/>
  <c r="AI4" i="5" s="1"/>
  <c r="AJ4" i="5" s="1"/>
  <c r="K4" i="5"/>
  <c r="D17" i="5" s="1"/>
  <c r="J4" i="5"/>
  <c r="C17" i="5" s="1"/>
  <c r="I4" i="5"/>
  <c r="B17" i="5" s="1"/>
  <c r="AA3" i="5"/>
  <c r="AB3" i="5" s="1"/>
  <c r="AC3" i="5" s="1"/>
  <c r="AD3" i="5" s="1"/>
  <c r="AE3" i="5" s="1"/>
  <c r="AF3" i="5" s="1"/>
  <c r="AG3" i="5" s="1"/>
  <c r="AH3" i="5" s="1"/>
  <c r="AI3" i="5" s="1"/>
  <c r="AJ3" i="5" s="1"/>
  <c r="K3" i="5"/>
  <c r="D16" i="5" s="1"/>
  <c r="J3" i="5"/>
  <c r="C16" i="5" s="1"/>
  <c r="W1" i="5"/>
  <c r="V1" i="5" s="1"/>
  <c r="U1" i="5" s="1"/>
  <c r="T1" i="5" s="1"/>
  <c r="S1" i="5" s="1"/>
  <c r="R1" i="5" s="1"/>
  <c r="Q1" i="5" s="1"/>
  <c r="P1" i="5" s="1"/>
  <c r="O1" i="5" s="1"/>
  <c r="N1" i="5" s="1"/>
  <c r="M1" i="5" s="1"/>
  <c r="J6" i="4" a="1"/>
  <c r="J6" i="4" s="1"/>
  <c r="K6" i="4" s="1"/>
  <c r="G20" i="4" a="1"/>
  <c r="G20" i="4" s="1"/>
  <c r="G18" i="4" a="1"/>
  <c r="G18" i="4" s="1"/>
  <c r="J20" i="4" a="1"/>
  <c r="J20" i="4" s="1"/>
  <c r="K20" i="4" s="1"/>
  <c r="J18" i="4" a="1"/>
  <c r="J18" i="4" s="1"/>
  <c r="K18" i="4" s="1"/>
  <c r="G4" i="4" a="1"/>
  <c r="G4" i="4" s="1"/>
  <c r="G15" i="4" a="1"/>
  <c r="G15" i="4" s="1"/>
  <c r="G17" i="4" a="1"/>
  <c r="G17" i="4" s="1"/>
  <c r="J4" i="4" a="1"/>
  <c r="J4" i="4" s="1"/>
  <c r="K4" i="4" s="1"/>
  <c r="J15" i="4" a="1"/>
  <c r="J15" i="4" s="1"/>
  <c r="K15" i="4" s="1"/>
  <c r="J17" i="4" a="1"/>
  <c r="J17" i="4" s="1"/>
  <c r="K17" i="4" s="1"/>
  <c r="G2" i="4" a="1"/>
  <c r="G2" i="4" s="1"/>
  <c r="G6" i="4" a="1"/>
  <c r="G6" i="4" s="1"/>
  <c r="G12" i="4" a="1"/>
  <c r="G12" i="4" s="1"/>
  <c r="G14" i="4" a="1"/>
  <c r="G14" i="4" s="1"/>
  <c r="J2" i="4" a="1"/>
  <c r="J2" i="4" s="1"/>
  <c r="K2" i="4" s="1"/>
  <c r="J12" i="4" a="1"/>
  <c r="J12" i="4" s="1"/>
  <c r="K12" i="4" s="1"/>
  <c r="J14" i="4" a="1"/>
  <c r="J14" i="4" s="1"/>
  <c r="K14" i="4" s="1"/>
  <c r="J19" i="4" a="1"/>
  <c r="J19" i="4" s="1"/>
  <c r="K19" i="4" s="1"/>
  <c r="G19" i="4" a="1"/>
  <c r="G19" i="4" s="1"/>
  <c r="G8" i="4" a="1"/>
  <c r="G8" i="4" s="1"/>
  <c r="J8" i="4" a="1"/>
  <c r="J8" i="4" s="1"/>
  <c r="K8" i="4" s="1"/>
  <c r="L8" i="2"/>
  <c r="E21" i="2" s="1"/>
  <c r="AM28" i="3"/>
  <c r="AM27" i="3"/>
  <c r="E27" i="3"/>
  <c r="AM26" i="3"/>
  <c r="AM25" i="3"/>
  <c r="AM23" i="3"/>
  <c r="AN31" i="3" s="1"/>
  <c r="E21" i="3"/>
  <c r="Z19" i="3"/>
  <c r="AA19" i="3" s="1"/>
  <c r="Z18" i="3"/>
  <c r="AA18" i="3" s="1"/>
  <c r="AB18" i="3" s="1"/>
  <c r="AC18" i="3" s="1"/>
  <c r="AD18" i="3" s="1"/>
  <c r="AE18" i="3" s="1"/>
  <c r="AF18" i="3" s="1"/>
  <c r="AG18" i="3" s="1"/>
  <c r="AH18" i="3" s="1"/>
  <c r="AI18" i="3" s="1"/>
  <c r="AJ18" i="3" s="1"/>
  <c r="AM17" i="3"/>
  <c r="Z17" i="3"/>
  <c r="AA17" i="3" s="1"/>
  <c r="AB17" i="3" s="1"/>
  <c r="AC17" i="3" s="1"/>
  <c r="AD17" i="3" s="1"/>
  <c r="AE17" i="3" s="1"/>
  <c r="AF17" i="3" s="1"/>
  <c r="AG17" i="3" s="1"/>
  <c r="AH17" i="3" s="1"/>
  <c r="AI17" i="3" s="1"/>
  <c r="AJ17" i="3" s="1"/>
  <c r="AM16" i="3"/>
  <c r="AM15" i="3"/>
  <c r="AM14" i="3"/>
  <c r="AM12" i="3"/>
  <c r="AN20" i="3" s="1"/>
  <c r="Z12" i="3"/>
  <c r="AA12" i="3" s="1"/>
  <c r="Z11" i="3"/>
  <c r="AA11" i="3" s="1"/>
  <c r="AB11" i="3" s="1"/>
  <c r="AC11" i="3" s="1"/>
  <c r="AD11" i="3" s="1"/>
  <c r="AE11" i="3" s="1"/>
  <c r="AF11" i="3" s="1"/>
  <c r="AG11" i="3" s="1"/>
  <c r="AH11" i="3" s="1"/>
  <c r="AI11" i="3" s="1"/>
  <c r="AJ11" i="3" s="1"/>
  <c r="Z10" i="3"/>
  <c r="AA10" i="3" s="1"/>
  <c r="AB10" i="3" s="1"/>
  <c r="AC10" i="3" s="1"/>
  <c r="AD10" i="3" s="1"/>
  <c r="AE10" i="3" s="1"/>
  <c r="AF10" i="3" s="1"/>
  <c r="AG10" i="3" s="1"/>
  <c r="AH10" i="3" s="1"/>
  <c r="AI10" i="3" s="1"/>
  <c r="AJ10" i="3" s="1"/>
  <c r="AN9" i="3"/>
  <c r="AN10" i="3" s="1"/>
  <c r="K7" i="3"/>
  <c r="D20" i="3" s="1"/>
  <c r="J7" i="3"/>
  <c r="C20" i="3" s="1"/>
  <c r="I7" i="3"/>
  <c r="B20" i="3" s="1"/>
  <c r="K6" i="3"/>
  <c r="D19" i="3" s="1"/>
  <c r="J6" i="3"/>
  <c r="C19" i="3" s="1"/>
  <c r="I6" i="3"/>
  <c r="B19" i="3" s="1"/>
  <c r="AA5" i="3"/>
  <c r="K5" i="3"/>
  <c r="D18" i="3" s="1"/>
  <c r="J5" i="3"/>
  <c r="C18" i="3" s="1"/>
  <c r="I5" i="3"/>
  <c r="B18" i="3" s="1"/>
  <c r="AA4" i="3"/>
  <c r="AB4" i="3" s="1"/>
  <c r="AC4" i="3" s="1"/>
  <c r="AD4" i="3" s="1"/>
  <c r="AE4" i="3" s="1"/>
  <c r="AF4" i="3" s="1"/>
  <c r="AG4" i="3" s="1"/>
  <c r="AH4" i="3" s="1"/>
  <c r="AI4" i="3" s="1"/>
  <c r="AJ4" i="3" s="1"/>
  <c r="K4" i="3"/>
  <c r="D17" i="3" s="1"/>
  <c r="J4" i="3"/>
  <c r="C17" i="3" s="1"/>
  <c r="I4" i="3"/>
  <c r="B17" i="3" s="1"/>
  <c r="A25" i="3" s="1"/>
  <c r="AA3" i="3"/>
  <c r="AB3" i="3" s="1"/>
  <c r="AC3" i="3" s="1"/>
  <c r="AD3" i="3" s="1"/>
  <c r="AE3" i="3" s="1"/>
  <c r="AF3" i="3" s="1"/>
  <c r="AG3" i="3" s="1"/>
  <c r="AH3" i="3" s="1"/>
  <c r="AI3" i="3" s="1"/>
  <c r="AJ3" i="3" s="1"/>
  <c r="K3" i="3"/>
  <c r="D16" i="3" s="1"/>
  <c r="J3" i="3"/>
  <c r="C16" i="3" s="1"/>
  <c r="I3" i="3"/>
  <c r="B16" i="3" s="1"/>
  <c r="W1" i="3"/>
  <c r="V1" i="3" s="1"/>
  <c r="U1" i="3" s="1"/>
  <c r="T1" i="3" s="1"/>
  <c r="S1" i="3" s="1"/>
  <c r="R1" i="3" s="1"/>
  <c r="Q1" i="3" s="1"/>
  <c r="P1" i="3" s="1"/>
  <c r="O1" i="3" s="1"/>
  <c r="N1" i="3" s="1"/>
  <c r="M1" i="3" s="1"/>
  <c r="AM28" i="2"/>
  <c r="AM27" i="2"/>
  <c r="E27" i="2"/>
  <c r="AM26" i="2"/>
  <c r="AM25" i="2"/>
  <c r="AM23" i="2"/>
  <c r="AN31" i="2" s="1"/>
  <c r="Z19" i="2"/>
  <c r="AA19" i="2" s="1"/>
  <c r="Z18" i="2"/>
  <c r="AA18" i="2" s="1"/>
  <c r="AB18" i="2" s="1"/>
  <c r="AC18" i="2" s="1"/>
  <c r="AD18" i="2" s="1"/>
  <c r="AE18" i="2" s="1"/>
  <c r="AF18" i="2" s="1"/>
  <c r="AG18" i="2" s="1"/>
  <c r="AH18" i="2" s="1"/>
  <c r="AI18" i="2" s="1"/>
  <c r="AJ18" i="2" s="1"/>
  <c r="AM17" i="2"/>
  <c r="Z17" i="2"/>
  <c r="AA17" i="2" s="1"/>
  <c r="AB17" i="2" s="1"/>
  <c r="AC17" i="2" s="1"/>
  <c r="AD17" i="2" s="1"/>
  <c r="AE17" i="2" s="1"/>
  <c r="AF17" i="2" s="1"/>
  <c r="AG17" i="2" s="1"/>
  <c r="AH17" i="2" s="1"/>
  <c r="AI17" i="2" s="1"/>
  <c r="AJ17" i="2" s="1"/>
  <c r="AM16" i="2"/>
  <c r="AM15" i="2"/>
  <c r="AM14" i="2"/>
  <c r="AM12" i="2"/>
  <c r="AN20" i="2" s="1"/>
  <c r="Z12" i="2"/>
  <c r="AA12" i="2" s="1"/>
  <c r="Z11" i="2"/>
  <c r="AA11" i="2" s="1"/>
  <c r="AB11" i="2" s="1"/>
  <c r="AC11" i="2" s="1"/>
  <c r="AD11" i="2" s="1"/>
  <c r="AE11" i="2" s="1"/>
  <c r="AF11" i="2" s="1"/>
  <c r="AG11" i="2" s="1"/>
  <c r="AH11" i="2" s="1"/>
  <c r="AI11" i="2" s="1"/>
  <c r="AJ11" i="2" s="1"/>
  <c r="Z10" i="2"/>
  <c r="AA10" i="2" s="1"/>
  <c r="AB10" i="2" s="1"/>
  <c r="AC10" i="2" s="1"/>
  <c r="AD10" i="2" s="1"/>
  <c r="AE10" i="2" s="1"/>
  <c r="AF10" i="2" s="1"/>
  <c r="AG10" i="2" s="1"/>
  <c r="AH10" i="2" s="1"/>
  <c r="AI10" i="2" s="1"/>
  <c r="AJ10" i="2" s="1"/>
  <c r="AN9" i="2"/>
  <c r="AN10" i="2" s="1"/>
  <c r="K7" i="2"/>
  <c r="D20" i="2" s="1"/>
  <c r="J7" i="2"/>
  <c r="C20" i="2" s="1"/>
  <c r="I7" i="2"/>
  <c r="B20" i="2" s="1"/>
  <c r="K6" i="2"/>
  <c r="D19" i="2" s="1"/>
  <c r="J6" i="2"/>
  <c r="C19" i="2" s="1"/>
  <c r="I6" i="2"/>
  <c r="B19" i="2" s="1"/>
  <c r="AA5" i="2"/>
  <c r="K5" i="2"/>
  <c r="D18" i="2" s="1"/>
  <c r="J5" i="2"/>
  <c r="C18" i="2" s="1"/>
  <c r="I5" i="2"/>
  <c r="B18" i="2" s="1"/>
  <c r="AA4" i="2"/>
  <c r="AB4" i="2" s="1"/>
  <c r="AC4" i="2" s="1"/>
  <c r="AD4" i="2" s="1"/>
  <c r="AE4" i="2" s="1"/>
  <c r="AF4" i="2" s="1"/>
  <c r="AG4" i="2" s="1"/>
  <c r="AH4" i="2" s="1"/>
  <c r="AI4" i="2" s="1"/>
  <c r="AJ4" i="2" s="1"/>
  <c r="K4" i="2"/>
  <c r="D17" i="2" s="1"/>
  <c r="J4" i="2"/>
  <c r="C17" i="2" s="1"/>
  <c r="I4" i="2"/>
  <c r="B17" i="2" s="1"/>
  <c r="A25" i="2" s="1"/>
  <c r="AA3" i="2"/>
  <c r="AB3" i="2" s="1"/>
  <c r="AC3" i="2" s="1"/>
  <c r="AD3" i="2" s="1"/>
  <c r="AE3" i="2" s="1"/>
  <c r="AF3" i="2" s="1"/>
  <c r="AG3" i="2" s="1"/>
  <c r="AH3" i="2" s="1"/>
  <c r="AI3" i="2" s="1"/>
  <c r="AJ3" i="2" s="1"/>
  <c r="K3" i="2"/>
  <c r="D16" i="2" s="1"/>
  <c r="J3" i="2"/>
  <c r="C16" i="2" s="1"/>
  <c r="I3" i="2"/>
  <c r="B16" i="2" s="1"/>
  <c r="W1" i="2"/>
  <c r="V1" i="2" s="1"/>
  <c r="U1" i="2" s="1"/>
  <c r="T1" i="2" s="1"/>
  <c r="S1" i="2" s="1"/>
  <c r="R1" i="2" s="1"/>
  <c r="Q1" i="2" s="1"/>
  <c r="P1" i="2" s="1"/>
  <c r="O1" i="2" s="1"/>
  <c r="N1" i="2" s="1"/>
  <c r="M1" i="2" s="1"/>
  <c r="AM2" i="24" l="1"/>
  <c r="AA2" i="24"/>
  <c r="AB2" i="24" s="1"/>
  <c r="AC2" i="24" s="1"/>
  <c r="AD2" i="24" s="1"/>
  <c r="AE2" i="24" s="1"/>
  <c r="AF2" i="24" s="1"/>
  <c r="AG2" i="24" s="1"/>
  <c r="AH2" i="24" s="1"/>
  <c r="AI2" i="24" s="1"/>
  <c r="AJ2" i="24" s="1"/>
  <c r="AA10" i="24"/>
  <c r="AB10" i="24" s="1"/>
  <c r="AC10" i="24" s="1"/>
  <c r="AD10" i="24" s="1"/>
  <c r="AE10" i="24" s="1"/>
  <c r="AF10" i="24" s="1"/>
  <c r="AG10" i="24" s="1"/>
  <c r="AH10" i="24" s="1"/>
  <c r="AI10" i="24" s="1"/>
  <c r="AJ10" i="24" s="1"/>
  <c r="AM14" i="24"/>
  <c r="AM25" i="24"/>
  <c r="AA17" i="24"/>
  <c r="AB17" i="24" s="1"/>
  <c r="AC17" i="24" s="1"/>
  <c r="AD17" i="24" s="1"/>
  <c r="AE17" i="24" s="1"/>
  <c r="AF17" i="24" s="1"/>
  <c r="AG17" i="24" s="1"/>
  <c r="AH17" i="24" s="1"/>
  <c r="AI17" i="24" s="1"/>
  <c r="AJ17" i="24" s="1"/>
  <c r="AA10" i="23"/>
  <c r="AB10" i="23" s="1"/>
  <c r="AC10" i="23" s="1"/>
  <c r="AD10" i="23" s="1"/>
  <c r="AE10" i="23" s="1"/>
  <c r="AF10" i="23" s="1"/>
  <c r="AG10" i="23" s="1"/>
  <c r="AH10" i="23" s="1"/>
  <c r="AI10" i="23" s="1"/>
  <c r="AJ10" i="23" s="1"/>
  <c r="AM14" i="23"/>
  <c r="AM2" i="23"/>
  <c r="AA2" i="23"/>
  <c r="AB2" i="23" s="1"/>
  <c r="AC2" i="23" s="1"/>
  <c r="AD2" i="23" s="1"/>
  <c r="AE2" i="23" s="1"/>
  <c r="AF2" i="23" s="1"/>
  <c r="AG2" i="23" s="1"/>
  <c r="AH2" i="23" s="1"/>
  <c r="AI2" i="23" s="1"/>
  <c r="AJ2" i="23" s="1"/>
  <c r="AM25" i="23"/>
  <c r="AA17" i="23"/>
  <c r="AB17" i="23" s="1"/>
  <c r="AC17" i="23" s="1"/>
  <c r="AD17" i="23" s="1"/>
  <c r="AE17" i="23" s="1"/>
  <c r="AF17" i="23" s="1"/>
  <c r="AG17" i="23" s="1"/>
  <c r="AH17" i="23" s="1"/>
  <c r="AI17" i="23" s="1"/>
  <c r="AJ17" i="23" s="1"/>
  <c r="AB13" i="23"/>
  <c r="AC13" i="23" s="1"/>
  <c r="AD13" i="23" s="1"/>
  <c r="AE13" i="23" s="1"/>
  <c r="AF13" i="23" s="1"/>
  <c r="AG13" i="23" s="1"/>
  <c r="AH13" i="23" s="1"/>
  <c r="AI13" i="23" s="1"/>
  <c r="AJ13" i="23" s="1"/>
  <c r="AJ14" i="23" s="1"/>
  <c r="AI14" i="23" s="1"/>
  <c r="AH14" i="23" s="1"/>
  <c r="AG14" i="23" s="1"/>
  <c r="AF14" i="23" s="1"/>
  <c r="AE14" i="23" s="1"/>
  <c r="AD14" i="23" s="1"/>
  <c r="AC14" i="23" s="1"/>
  <c r="AB14" i="23" s="1"/>
  <c r="AA14" i="23" s="1"/>
  <c r="Z14" i="23" s="1"/>
  <c r="B30" i="23" s="1"/>
  <c r="C30" i="23" s="1"/>
  <c r="AB5" i="23"/>
  <c r="AC5" i="23" s="1"/>
  <c r="AD5" i="23" s="1"/>
  <c r="AE5" i="23" s="1"/>
  <c r="AF5" i="23" s="1"/>
  <c r="AG5" i="23" s="1"/>
  <c r="AH5" i="23" s="1"/>
  <c r="AI5" i="23" s="1"/>
  <c r="AJ5" i="23" s="1"/>
  <c r="AJ6" i="23" s="1"/>
  <c r="AI6" i="23" s="1"/>
  <c r="AH6" i="23" s="1"/>
  <c r="AG6" i="23" s="1"/>
  <c r="AF6" i="23" s="1"/>
  <c r="AE6" i="23" s="1"/>
  <c r="AD6" i="23" s="1"/>
  <c r="AC6" i="23" s="1"/>
  <c r="AB6" i="23" s="1"/>
  <c r="AA6" i="23" s="1"/>
  <c r="Z6" i="23" s="1"/>
  <c r="B29" i="23" s="1"/>
  <c r="C29" i="23" s="1"/>
  <c r="AB20" i="23"/>
  <c r="AC20" i="23" s="1"/>
  <c r="AD20" i="23" s="1"/>
  <c r="AE20" i="23" s="1"/>
  <c r="AF20" i="23" s="1"/>
  <c r="AG20" i="23" s="1"/>
  <c r="AH20" i="23" s="1"/>
  <c r="AI20" i="23" s="1"/>
  <c r="AJ20" i="23" s="1"/>
  <c r="AJ21" i="23" s="1"/>
  <c r="AI21" i="23" s="1"/>
  <c r="AH21" i="23" s="1"/>
  <c r="AG21" i="23" s="1"/>
  <c r="AF21" i="23" s="1"/>
  <c r="AE21" i="23" s="1"/>
  <c r="AD21" i="23" s="1"/>
  <c r="AC21" i="23" s="1"/>
  <c r="AB21" i="23" s="1"/>
  <c r="AA21" i="23" s="1"/>
  <c r="Z21" i="23" s="1"/>
  <c r="B31" i="23" s="1"/>
  <c r="C31" i="23" s="1"/>
  <c r="AM25" i="22"/>
  <c r="AA17" i="22"/>
  <c r="AB17" i="22" s="1"/>
  <c r="AC17" i="22" s="1"/>
  <c r="AD17" i="22" s="1"/>
  <c r="AE17" i="22" s="1"/>
  <c r="AF17" i="22" s="1"/>
  <c r="AG17" i="22" s="1"/>
  <c r="AH17" i="22" s="1"/>
  <c r="AI17" i="22" s="1"/>
  <c r="AJ17" i="22" s="1"/>
  <c r="AM2" i="22"/>
  <c r="AA2" i="22"/>
  <c r="AB2" i="22" s="1"/>
  <c r="AC2" i="22" s="1"/>
  <c r="AD2" i="22" s="1"/>
  <c r="AE2" i="22" s="1"/>
  <c r="AF2" i="22" s="1"/>
  <c r="AG2" i="22" s="1"/>
  <c r="AH2" i="22" s="1"/>
  <c r="AI2" i="22" s="1"/>
  <c r="AJ2" i="22" s="1"/>
  <c r="AB5" i="22"/>
  <c r="AC5" i="22" s="1"/>
  <c r="AD5" i="22" s="1"/>
  <c r="AE5" i="22" s="1"/>
  <c r="AF5" i="22" s="1"/>
  <c r="AG5" i="22" s="1"/>
  <c r="AH5" i="22" s="1"/>
  <c r="AI5" i="22" s="1"/>
  <c r="AJ5" i="22" s="1"/>
  <c r="AJ6" i="22" s="1"/>
  <c r="AI6" i="22" s="1"/>
  <c r="AH6" i="22" s="1"/>
  <c r="AG6" i="22" s="1"/>
  <c r="AF6" i="22" s="1"/>
  <c r="AE6" i="22" s="1"/>
  <c r="AD6" i="22" s="1"/>
  <c r="AC6" i="22" s="1"/>
  <c r="AB6" i="22" s="1"/>
  <c r="AA6" i="22" s="1"/>
  <c r="Z6" i="22" s="1"/>
  <c r="B29" i="22" s="1"/>
  <c r="C29" i="22" s="1"/>
  <c r="AB20" i="22"/>
  <c r="AC20" i="22" s="1"/>
  <c r="AD20" i="22" s="1"/>
  <c r="AE20" i="22" s="1"/>
  <c r="AF20" i="22" s="1"/>
  <c r="AG20" i="22" s="1"/>
  <c r="AH20" i="22" s="1"/>
  <c r="AI20" i="22" s="1"/>
  <c r="AJ20" i="22" s="1"/>
  <c r="AJ21" i="22" s="1"/>
  <c r="AI21" i="22" s="1"/>
  <c r="AH21" i="22" s="1"/>
  <c r="AG21" i="22" s="1"/>
  <c r="AF21" i="22" s="1"/>
  <c r="AE21" i="22" s="1"/>
  <c r="AD21" i="22" s="1"/>
  <c r="AC21" i="22" s="1"/>
  <c r="AB21" i="22" s="1"/>
  <c r="AA21" i="22" s="1"/>
  <c r="Z21" i="22" s="1"/>
  <c r="B31" i="22" s="1"/>
  <c r="C31" i="22" s="1"/>
  <c r="AA10" i="22"/>
  <c r="AB10" i="22" s="1"/>
  <c r="AC10" i="22" s="1"/>
  <c r="AD10" i="22" s="1"/>
  <c r="AE10" i="22" s="1"/>
  <c r="AF10" i="22" s="1"/>
  <c r="AG10" i="22" s="1"/>
  <c r="AH10" i="22" s="1"/>
  <c r="AI10" i="22" s="1"/>
  <c r="AJ10" i="22" s="1"/>
  <c r="AM14" i="22"/>
  <c r="AM2" i="21"/>
  <c r="AA2" i="21"/>
  <c r="AB2" i="21" s="1"/>
  <c r="AC2" i="21" s="1"/>
  <c r="AD2" i="21" s="1"/>
  <c r="AE2" i="21" s="1"/>
  <c r="AF2" i="21" s="1"/>
  <c r="AG2" i="21" s="1"/>
  <c r="AH2" i="21" s="1"/>
  <c r="AI2" i="21" s="1"/>
  <c r="AJ2" i="21" s="1"/>
  <c r="AA10" i="21"/>
  <c r="AB10" i="21" s="1"/>
  <c r="AC10" i="21" s="1"/>
  <c r="AD10" i="21" s="1"/>
  <c r="AE10" i="21" s="1"/>
  <c r="AF10" i="21" s="1"/>
  <c r="AG10" i="21" s="1"/>
  <c r="AH10" i="21" s="1"/>
  <c r="AI10" i="21" s="1"/>
  <c r="AJ10" i="21" s="1"/>
  <c r="AM14" i="21"/>
  <c r="AM25" i="21"/>
  <c r="AA17" i="21"/>
  <c r="AB17" i="21" s="1"/>
  <c r="AC17" i="21" s="1"/>
  <c r="AD17" i="21" s="1"/>
  <c r="AE17" i="21" s="1"/>
  <c r="AF17" i="21" s="1"/>
  <c r="AG17" i="21" s="1"/>
  <c r="AH17" i="21" s="1"/>
  <c r="AI17" i="21" s="1"/>
  <c r="AJ17" i="21" s="1"/>
  <c r="AB20" i="21"/>
  <c r="AC20" i="21" s="1"/>
  <c r="AD20" i="21" s="1"/>
  <c r="AE20" i="21" s="1"/>
  <c r="AF20" i="21" s="1"/>
  <c r="AG20" i="21" s="1"/>
  <c r="AH20" i="21" s="1"/>
  <c r="AI20" i="21" s="1"/>
  <c r="AJ20" i="21" s="1"/>
  <c r="AJ21" i="21" s="1"/>
  <c r="AI21" i="21" s="1"/>
  <c r="AH21" i="21" s="1"/>
  <c r="AG21" i="21" s="1"/>
  <c r="AF21" i="21" s="1"/>
  <c r="AE21" i="21" s="1"/>
  <c r="AD21" i="21" s="1"/>
  <c r="AC21" i="21" s="1"/>
  <c r="AB21" i="21" s="1"/>
  <c r="AA21" i="21" s="1"/>
  <c r="Z21" i="21" s="1"/>
  <c r="B31" i="21" s="1"/>
  <c r="C31" i="21" s="1"/>
  <c r="AM2" i="20"/>
  <c r="AA2" i="20"/>
  <c r="AB2" i="20" s="1"/>
  <c r="AC2" i="20" s="1"/>
  <c r="AD2" i="20" s="1"/>
  <c r="AE2" i="20" s="1"/>
  <c r="AF2" i="20" s="1"/>
  <c r="AG2" i="20" s="1"/>
  <c r="AH2" i="20" s="1"/>
  <c r="AI2" i="20" s="1"/>
  <c r="AJ2" i="20" s="1"/>
  <c r="AA10" i="20"/>
  <c r="AB10" i="20" s="1"/>
  <c r="AC10" i="20" s="1"/>
  <c r="AD10" i="20" s="1"/>
  <c r="AE10" i="20" s="1"/>
  <c r="AF10" i="20" s="1"/>
  <c r="AG10" i="20" s="1"/>
  <c r="AH10" i="20" s="1"/>
  <c r="AI10" i="20" s="1"/>
  <c r="AJ10" i="20" s="1"/>
  <c r="AM14" i="20"/>
  <c r="AM25" i="20"/>
  <c r="AA17" i="20"/>
  <c r="AB17" i="20" s="1"/>
  <c r="AC17" i="20" s="1"/>
  <c r="AD17" i="20" s="1"/>
  <c r="AE17" i="20" s="1"/>
  <c r="AF17" i="20" s="1"/>
  <c r="AG17" i="20" s="1"/>
  <c r="AH17" i="20" s="1"/>
  <c r="AI17" i="20" s="1"/>
  <c r="AJ17" i="20" s="1"/>
  <c r="AB5" i="20"/>
  <c r="AC5" i="20" s="1"/>
  <c r="AD5" i="20" s="1"/>
  <c r="AE5" i="20" s="1"/>
  <c r="AF5" i="20" s="1"/>
  <c r="AG5" i="20" s="1"/>
  <c r="AH5" i="20" s="1"/>
  <c r="AI5" i="20" s="1"/>
  <c r="AJ5" i="20" s="1"/>
  <c r="AJ6" i="20" s="1"/>
  <c r="AI6" i="20" s="1"/>
  <c r="AH6" i="20" s="1"/>
  <c r="AG6" i="20" s="1"/>
  <c r="AF6" i="20" s="1"/>
  <c r="AE6" i="20" s="1"/>
  <c r="AD6" i="20" s="1"/>
  <c r="AC6" i="20" s="1"/>
  <c r="AB6" i="20" s="1"/>
  <c r="AA6" i="20" s="1"/>
  <c r="Z6" i="20" s="1"/>
  <c r="B29" i="20" s="1"/>
  <c r="C29" i="20" s="1"/>
  <c r="AB13" i="20"/>
  <c r="AC13" i="20" s="1"/>
  <c r="AD13" i="20" s="1"/>
  <c r="AE13" i="20" s="1"/>
  <c r="AF13" i="20" s="1"/>
  <c r="AG13" i="20" s="1"/>
  <c r="AH13" i="20" s="1"/>
  <c r="AI13" i="20" s="1"/>
  <c r="AJ13" i="20" s="1"/>
  <c r="AJ14" i="20" s="1"/>
  <c r="AI14" i="20" s="1"/>
  <c r="AH14" i="20" s="1"/>
  <c r="AG14" i="20" s="1"/>
  <c r="AF14" i="20" s="1"/>
  <c r="AE14" i="20" s="1"/>
  <c r="AD14" i="20" s="1"/>
  <c r="AC14" i="20" s="1"/>
  <c r="AB14" i="20" s="1"/>
  <c r="AA14" i="20" s="1"/>
  <c r="Z14" i="20" s="1"/>
  <c r="B30" i="20" s="1"/>
  <c r="C30" i="20" s="1"/>
  <c r="AB20" i="20"/>
  <c r="AC20" i="20" s="1"/>
  <c r="AD20" i="20" s="1"/>
  <c r="AE20" i="20" s="1"/>
  <c r="AF20" i="20" s="1"/>
  <c r="AG20" i="20" s="1"/>
  <c r="AH20" i="20" s="1"/>
  <c r="AI20" i="20" s="1"/>
  <c r="AJ20" i="20" s="1"/>
  <c r="AJ21" i="20" s="1"/>
  <c r="AI21" i="20" s="1"/>
  <c r="AH21" i="20" s="1"/>
  <c r="AG21" i="20" s="1"/>
  <c r="AF21" i="20" s="1"/>
  <c r="AE21" i="20" s="1"/>
  <c r="AD21" i="20" s="1"/>
  <c r="AC21" i="20" s="1"/>
  <c r="AB21" i="20" s="1"/>
  <c r="AA21" i="20" s="1"/>
  <c r="Z21" i="20" s="1"/>
  <c r="B31" i="20" s="1"/>
  <c r="C31" i="20" s="1"/>
  <c r="AM2" i="19"/>
  <c r="AA2" i="19"/>
  <c r="AB2" i="19" s="1"/>
  <c r="AC2" i="19" s="1"/>
  <c r="AD2" i="19" s="1"/>
  <c r="AE2" i="19" s="1"/>
  <c r="AF2" i="19" s="1"/>
  <c r="AG2" i="19" s="1"/>
  <c r="AH2" i="19" s="1"/>
  <c r="AI2" i="19" s="1"/>
  <c r="AJ2" i="19" s="1"/>
  <c r="AA10" i="19"/>
  <c r="AB10" i="19" s="1"/>
  <c r="AC10" i="19" s="1"/>
  <c r="AD10" i="19" s="1"/>
  <c r="AE10" i="19" s="1"/>
  <c r="AF10" i="19" s="1"/>
  <c r="AG10" i="19" s="1"/>
  <c r="AH10" i="19" s="1"/>
  <c r="AI10" i="19" s="1"/>
  <c r="AJ10" i="19" s="1"/>
  <c r="AM14" i="19"/>
  <c r="AM25" i="19"/>
  <c r="AA17" i="19"/>
  <c r="AB17" i="19" s="1"/>
  <c r="AC17" i="19" s="1"/>
  <c r="AD17" i="19" s="1"/>
  <c r="AE17" i="19" s="1"/>
  <c r="AF17" i="19" s="1"/>
  <c r="AG17" i="19" s="1"/>
  <c r="AH17" i="19" s="1"/>
  <c r="AI17" i="19" s="1"/>
  <c r="AJ17" i="19" s="1"/>
  <c r="AB20" i="19"/>
  <c r="AC20" i="19" s="1"/>
  <c r="AD20" i="19" s="1"/>
  <c r="AE20" i="19" s="1"/>
  <c r="AF20" i="19" s="1"/>
  <c r="AG20" i="19" s="1"/>
  <c r="AH20" i="19" s="1"/>
  <c r="AI20" i="19" s="1"/>
  <c r="AJ20" i="19" s="1"/>
  <c r="AJ21" i="19" s="1"/>
  <c r="AI21" i="19" s="1"/>
  <c r="AH21" i="19" s="1"/>
  <c r="AG21" i="19" s="1"/>
  <c r="AF21" i="19" s="1"/>
  <c r="AE21" i="19" s="1"/>
  <c r="AD21" i="19" s="1"/>
  <c r="AC21" i="19" s="1"/>
  <c r="AB21" i="19" s="1"/>
  <c r="AA21" i="19" s="1"/>
  <c r="Z21" i="19" s="1"/>
  <c r="B31" i="19" s="1"/>
  <c r="C31" i="19" s="1"/>
  <c r="AM2" i="18"/>
  <c r="AA2" i="18"/>
  <c r="AB2" i="18" s="1"/>
  <c r="AC2" i="18" s="1"/>
  <c r="AD2" i="18" s="1"/>
  <c r="AE2" i="18" s="1"/>
  <c r="AF2" i="18" s="1"/>
  <c r="AG2" i="18" s="1"/>
  <c r="AH2" i="18" s="1"/>
  <c r="AI2" i="18" s="1"/>
  <c r="AJ2" i="18" s="1"/>
  <c r="AA10" i="18"/>
  <c r="AB10" i="18" s="1"/>
  <c r="AC10" i="18" s="1"/>
  <c r="AD10" i="18" s="1"/>
  <c r="AE10" i="18" s="1"/>
  <c r="AF10" i="18" s="1"/>
  <c r="AG10" i="18" s="1"/>
  <c r="AH10" i="18" s="1"/>
  <c r="AI10" i="18" s="1"/>
  <c r="AJ10" i="18" s="1"/>
  <c r="AM14" i="18"/>
  <c r="AM25" i="18"/>
  <c r="AA17" i="18"/>
  <c r="AB17" i="18" s="1"/>
  <c r="AC17" i="18" s="1"/>
  <c r="AD17" i="18" s="1"/>
  <c r="AE17" i="18" s="1"/>
  <c r="AF17" i="18" s="1"/>
  <c r="AG17" i="18" s="1"/>
  <c r="AH17" i="18" s="1"/>
  <c r="AI17" i="18" s="1"/>
  <c r="AJ17" i="18" s="1"/>
  <c r="AB13" i="18"/>
  <c r="AC13" i="18" s="1"/>
  <c r="AD13" i="18" s="1"/>
  <c r="AE13" i="18" s="1"/>
  <c r="AF13" i="18" s="1"/>
  <c r="AG13" i="18" s="1"/>
  <c r="AH13" i="18" s="1"/>
  <c r="AI13" i="18" s="1"/>
  <c r="AJ13" i="18" s="1"/>
  <c r="AJ14" i="18" s="1"/>
  <c r="AI14" i="18" s="1"/>
  <c r="AH14" i="18" s="1"/>
  <c r="AG14" i="18" s="1"/>
  <c r="AF14" i="18" s="1"/>
  <c r="AE14" i="18" s="1"/>
  <c r="AD14" i="18" s="1"/>
  <c r="AC14" i="18" s="1"/>
  <c r="AB14" i="18" s="1"/>
  <c r="AA14" i="18" s="1"/>
  <c r="Z14" i="18" s="1"/>
  <c r="B30" i="18" s="1"/>
  <c r="C30" i="18" s="1"/>
  <c r="AB5" i="18"/>
  <c r="AC5" i="18" s="1"/>
  <c r="AD5" i="18" s="1"/>
  <c r="AE5" i="18" s="1"/>
  <c r="AF5" i="18" s="1"/>
  <c r="AG5" i="18" s="1"/>
  <c r="AH5" i="18" s="1"/>
  <c r="AI5" i="18" s="1"/>
  <c r="AJ5" i="18" s="1"/>
  <c r="AJ6" i="18" s="1"/>
  <c r="AI6" i="18" s="1"/>
  <c r="AH6" i="18" s="1"/>
  <c r="AG6" i="18" s="1"/>
  <c r="AF6" i="18" s="1"/>
  <c r="AE6" i="18" s="1"/>
  <c r="AD6" i="18" s="1"/>
  <c r="AC6" i="18" s="1"/>
  <c r="AB6" i="18" s="1"/>
  <c r="AA6" i="18" s="1"/>
  <c r="Z6" i="18" s="1"/>
  <c r="B29" i="18" s="1"/>
  <c r="C29" i="18" s="1"/>
  <c r="AB20" i="18"/>
  <c r="AC20" i="18" s="1"/>
  <c r="AD20" i="18" s="1"/>
  <c r="AE20" i="18" s="1"/>
  <c r="AF20" i="18" s="1"/>
  <c r="AG20" i="18" s="1"/>
  <c r="AH20" i="18" s="1"/>
  <c r="AI20" i="18" s="1"/>
  <c r="AJ20" i="18" s="1"/>
  <c r="AJ21" i="18" s="1"/>
  <c r="AI21" i="18" s="1"/>
  <c r="AH21" i="18" s="1"/>
  <c r="AG21" i="18" s="1"/>
  <c r="AF21" i="18" s="1"/>
  <c r="AE21" i="18" s="1"/>
  <c r="AD21" i="18" s="1"/>
  <c r="AC21" i="18" s="1"/>
  <c r="AB21" i="18" s="1"/>
  <c r="AA21" i="18" s="1"/>
  <c r="Z21" i="18" s="1"/>
  <c r="B31" i="18" s="1"/>
  <c r="C31" i="18" s="1"/>
  <c r="AA10" i="17"/>
  <c r="AB10" i="17" s="1"/>
  <c r="AC10" i="17" s="1"/>
  <c r="AD10" i="17" s="1"/>
  <c r="AE10" i="17" s="1"/>
  <c r="AF10" i="17" s="1"/>
  <c r="AG10" i="17" s="1"/>
  <c r="AH10" i="17" s="1"/>
  <c r="AI10" i="17" s="1"/>
  <c r="AJ10" i="17" s="1"/>
  <c r="AM14" i="17"/>
  <c r="AM2" i="17"/>
  <c r="AA2" i="17"/>
  <c r="AB2" i="17" s="1"/>
  <c r="AC2" i="17" s="1"/>
  <c r="AD2" i="17" s="1"/>
  <c r="AE2" i="17" s="1"/>
  <c r="AF2" i="17" s="1"/>
  <c r="AG2" i="17" s="1"/>
  <c r="AH2" i="17" s="1"/>
  <c r="AI2" i="17" s="1"/>
  <c r="AJ2" i="17" s="1"/>
  <c r="AM25" i="17"/>
  <c r="AA17" i="17"/>
  <c r="AB17" i="17" s="1"/>
  <c r="AC17" i="17" s="1"/>
  <c r="AD17" i="17" s="1"/>
  <c r="AE17" i="17" s="1"/>
  <c r="AF17" i="17" s="1"/>
  <c r="AG17" i="17" s="1"/>
  <c r="AH17" i="17" s="1"/>
  <c r="AI17" i="17" s="1"/>
  <c r="AJ17" i="17" s="1"/>
  <c r="AB5" i="17"/>
  <c r="AC5" i="17" s="1"/>
  <c r="AD5" i="17" s="1"/>
  <c r="AE5" i="17" s="1"/>
  <c r="AF5" i="17" s="1"/>
  <c r="AG5" i="17" s="1"/>
  <c r="AH5" i="17" s="1"/>
  <c r="AI5" i="17" s="1"/>
  <c r="AJ5" i="17" s="1"/>
  <c r="AJ6" i="17" s="1"/>
  <c r="AI6" i="17" s="1"/>
  <c r="AH6" i="17" s="1"/>
  <c r="AG6" i="17" s="1"/>
  <c r="AF6" i="17" s="1"/>
  <c r="AE6" i="17" s="1"/>
  <c r="AD6" i="17" s="1"/>
  <c r="AC6" i="17" s="1"/>
  <c r="AB6" i="17" s="1"/>
  <c r="AA6" i="17" s="1"/>
  <c r="Z6" i="17" s="1"/>
  <c r="B29" i="17" s="1"/>
  <c r="C29" i="17" s="1"/>
  <c r="AA10" i="16"/>
  <c r="AB10" i="16" s="1"/>
  <c r="AC10" i="16" s="1"/>
  <c r="AD10" i="16" s="1"/>
  <c r="AE10" i="16" s="1"/>
  <c r="AF10" i="16" s="1"/>
  <c r="AG10" i="16" s="1"/>
  <c r="AH10" i="16" s="1"/>
  <c r="AI10" i="16" s="1"/>
  <c r="AJ10" i="16" s="1"/>
  <c r="AB13" i="16"/>
  <c r="AC13" i="16" s="1"/>
  <c r="AD13" i="16" s="1"/>
  <c r="AE13" i="16" s="1"/>
  <c r="AF13" i="16" s="1"/>
  <c r="AG13" i="16" s="1"/>
  <c r="AH13" i="16" s="1"/>
  <c r="AI13" i="16" s="1"/>
  <c r="AJ13" i="16" s="1"/>
  <c r="AJ14" i="16" s="1"/>
  <c r="AI14" i="16" s="1"/>
  <c r="AH14" i="16" s="1"/>
  <c r="AG14" i="16" s="1"/>
  <c r="AF14" i="16" s="1"/>
  <c r="AE14" i="16" s="1"/>
  <c r="AD14" i="16" s="1"/>
  <c r="AC14" i="16" s="1"/>
  <c r="AB14" i="16" s="1"/>
  <c r="AA14" i="16" s="1"/>
  <c r="Z14" i="16" s="1"/>
  <c r="B30" i="16" s="1"/>
  <c r="C30" i="16" s="1"/>
  <c r="AM14" i="16"/>
  <c r="AM25" i="16"/>
  <c r="AA17" i="16"/>
  <c r="AB17" i="16" s="1"/>
  <c r="AC17" i="16" s="1"/>
  <c r="AD17" i="16" s="1"/>
  <c r="AE17" i="16" s="1"/>
  <c r="AF17" i="16" s="1"/>
  <c r="AG17" i="16" s="1"/>
  <c r="AH17" i="16" s="1"/>
  <c r="AI17" i="16" s="1"/>
  <c r="AJ17" i="16" s="1"/>
  <c r="AB20" i="16"/>
  <c r="AC20" i="16" s="1"/>
  <c r="AD20" i="16" s="1"/>
  <c r="AE20" i="16" s="1"/>
  <c r="AF20" i="16" s="1"/>
  <c r="AG20" i="16" s="1"/>
  <c r="AH20" i="16" s="1"/>
  <c r="AI20" i="16" s="1"/>
  <c r="AJ20" i="16" s="1"/>
  <c r="AJ21" i="16" s="1"/>
  <c r="AI21" i="16" s="1"/>
  <c r="AH21" i="16" s="1"/>
  <c r="AG21" i="16" s="1"/>
  <c r="AF21" i="16" s="1"/>
  <c r="AE21" i="16" s="1"/>
  <c r="AD21" i="16" s="1"/>
  <c r="AC21" i="16" s="1"/>
  <c r="AB21" i="16" s="1"/>
  <c r="AA21" i="16" s="1"/>
  <c r="Z21" i="16" s="1"/>
  <c r="B31" i="16" s="1"/>
  <c r="C31" i="16" s="1"/>
  <c r="AM2" i="16"/>
  <c r="AA2" i="16"/>
  <c r="AB2" i="16" s="1"/>
  <c r="AC2" i="16" s="1"/>
  <c r="AD2" i="16" s="1"/>
  <c r="AE2" i="16" s="1"/>
  <c r="AF2" i="16" s="1"/>
  <c r="AG2" i="16" s="1"/>
  <c r="AH2" i="16" s="1"/>
  <c r="AI2" i="16" s="1"/>
  <c r="AJ2" i="16" s="1"/>
  <c r="Z9" i="10"/>
  <c r="AM13" i="10" s="1"/>
  <c r="AO20" i="10" s="1"/>
  <c r="AP20" i="10" s="1"/>
  <c r="AQ20" i="10" s="1"/>
  <c r="AR20" i="10" s="1"/>
  <c r="AS20" i="10" s="1"/>
  <c r="AT20" i="10" s="1"/>
  <c r="AU20" i="10" s="1"/>
  <c r="AV20" i="10" s="1"/>
  <c r="AW20" i="10" s="1"/>
  <c r="AX20" i="10" s="1"/>
  <c r="AX21" i="10" s="1"/>
  <c r="AN33" i="15"/>
  <c r="AN22" i="15"/>
  <c r="A30" i="15"/>
  <c r="Z17" i="15"/>
  <c r="Z2" i="15"/>
  <c r="Z10" i="15"/>
  <c r="AB13" i="15" s="1"/>
  <c r="AC13" i="15" s="1"/>
  <c r="AD13" i="15" s="1"/>
  <c r="AE13" i="15" s="1"/>
  <c r="AF13" i="15" s="1"/>
  <c r="AG13" i="15" s="1"/>
  <c r="AH13" i="15" s="1"/>
  <c r="AI13" i="15" s="1"/>
  <c r="AJ13" i="15" s="1"/>
  <c r="AJ14" i="15" s="1"/>
  <c r="AI14" i="15" s="1"/>
  <c r="AH14" i="15" s="1"/>
  <c r="AG14" i="15" s="1"/>
  <c r="AF14" i="15" s="1"/>
  <c r="AE14" i="15" s="1"/>
  <c r="AD14" i="15" s="1"/>
  <c r="AC14" i="15" s="1"/>
  <c r="AB14" i="15" s="1"/>
  <c r="AA14" i="15" s="1"/>
  <c r="Z14" i="15" s="1"/>
  <c r="B30" i="15" s="1"/>
  <c r="C30" i="15" s="1"/>
  <c r="A31" i="15"/>
  <c r="A29" i="15"/>
  <c r="AN33" i="14"/>
  <c r="AN22" i="14"/>
  <c r="A30" i="14"/>
  <c r="Z17" i="14"/>
  <c r="Z2" i="14"/>
  <c r="Z10" i="14"/>
  <c r="AB13" i="14" s="1"/>
  <c r="AC13" i="14" s="1"/>
  <c r="AD13" i="14" s="1"/>
  <c r="AE13" i="14" s="1"/>
  <c r="AF13" i="14" s="1"/>
  <c r="AG13" i="14" s="1"/>
  <c r="AH13" i="14" s="1"/>
  <c r="AI13" i="14" s="1"/>
  <c r="AJ13" i="14" s="1"/>
  <c r="AJ14" i="14" s="1"/>
  <c r="AI14" i="14" s="1"/>
  <c r="AH14" i="14" s="1"/>
  <c r="AG14" i="14" s="1"/>
  <c r="AF14" i="14" s="1"/>
  <c r="AE14" i="14" s="1"/>
  <c r="AD14" i="14" s="1"/>
  <c r="AC14" i="14" s="1"/>
  <c r="AB14" i="14" s="1"/>
  <c r="AA14" i="14" s="1"/>
  <c r="Z14" i="14" s="1"/>
  <c r="B30" i="14" s="1"/>
  <c r="C30" i="14" s="1"/>
  <c r="A31" i="14"/>
  <c r="A29" i="14"/>
  <c r="A30" i="13"/>
  <c r="Z17" i="13"/>
  <c r="AB20" i="13" s="1"/>
  <c r="AC20" i="13" s="1"/>
  <c r="AD20" i="13" s="1"/>
  <c r="AE20" i="13" s="1"/>
  <c r="AF20" i="13" s="1"/>
  <c r="AG20" i="13" s="1"/>
  <c r="AH20" i="13" s="1"/>
  <c r="AI20" i="13" s="1"/>
  <c r="AJ20" i="13" s="1"/>
  <c r="AJ21" i="13" s="1"/>
  <c r="AI21" i="13" s="1"/>
  <c r="AH21" i="13" s="1"/>
  <c r="AG21" i="13" s="1"/>
  <c r="AF21" i="13" s="1"/>
  <c r="AE21" i="13" s="1"/>
  <c r="AD21" i="13" s="1"/>
  <c r="AC21" i="13" s="1"/>
  <c r="AB21" i="13" s="1"/>
  <c r="AA21" i="13" s="1"/>
  <c r="Z21" i="13" s="1"/>
  <c r="B31" i="13" s="1"/>
  <c r="C31" i="13" s="1"/>
  <c r="Z10" i="13"/>
  <c r="AB13" i="13" s="1"/>
  <c r="AC13" i="13" s="1"/>
  <c r="AD13" i="13" s="1"/>
  <c r="AE13" i="13" s="1"/>
  <c r="AF13" i="13" s="1"/>
  <c r="AG13" i="13" s="1"/>
  <c r="AH13" i="13" s="1"/>
  <c r="AI13" i="13" s="1"/>
  <c r="AJ13" i="13" s="1"/>
  <c r="AJ14" i="13" s="1"/>
  <c r="AI14" i="13" s="1"/>
  <c r="AH14" i="13" s="1"/>
  <c r="AG14" i="13" s="1"/>
  <c r="AF14" i="13" s="1"/>
  <c r="AE14" i="13" s="1"/>
  <c r="AD14" i="13" s="1"/>
  <c r="AC14" i="13" s="1"/>
  <c r="AB14" i="13" s="1"/>
  <c r="AA14" i="13" s="1"/>
  <c r="Z14" i="13" s="1"/>
  <c r="B30" i="13" s="1"/>
  <c r="C30" i="13" s="1"/>
  <c r="Z2" i="13"/>
  <c r="A31" i="13"/>
  <c r="A29" i="13"/>
  <c r="AN33" i="13"/>
  <c r="AN22" i="13"/>
  <c r="Z2" i="10"/>
  <c r="AM2" i="10" s="1"/>
  <c r="AO9" i="10" s="1"/>
  <c r="AP9" i="10" s="1"/>
  <c r="AQ9" i="10" s="1"/>
  <c r="AR9" i="10" s="1"/>
  <c r="AS9" i="10" s="1"/>
  <c r="AT9" i="10" s="1"/>
  <c r="AU9" i="10" s="1"/>
  <c r="AV9" i="10" s="1"/>
  <c r="AW9" i="10" s="1"/>
  <c r="AX9" i="10" s="1"/>
  <c r="AX10" i="10" s="1"/>
  <c r="Z2" i="8"/>
  <c r="AM2" i="8" s="1"/>
  <c r="AO9" i="8" s="1"/>
  <c r="AP9" i="8" s="1"/>
  <c r="AQ9" i="8" s="1"/>
  <c r="AR9" i="8" s="1"/>
  <c r="AS9" i="8" s="1"/>
  <c r="AT9" i="8" s="1"/>
  <c r="AU9" i="8" s="1"/>
  <c r="AV9" i="8" s="1"/>
  <c r="AW9" i="8" s="1"/>
  <c r="AX9" i="8" s="1"/>
  <c r="AX10" i="8" s="1"/>
  <c r="Z16" i="10"/>
  <c r="AM24" i="10" s="1"/>
  <c r="AO31" i="10" s="1"/>
  <c r="AP31" i="10" s="1"/>
  <c r="AQ31" i="10" s="1"/>
  <c r="AR31" i="10" s="1"/>
  <c r="AS31" i="10" s="1"/>
  <c r="AT31" i="10" s="1"/>
  <c r="AU31" i="10" s="1"/>
  <c r="AV31" i="10" s="1"/>
  <c r="AW31" i="10" s="1"/>
  <c r="AX31" i="10" s="1"/>
  <c r="AX32" i="10" s="1"/>
  <c r="A29" i="12"/>
  <c r="Z16" i="12"/>
  <c r="AB19" i="12" s="1"/>
  <c r="AC19" i="12" s="1"/>
  <c r="AD19" i="12" s="1"/>
  <c r="AE19" i="12" s="1"/>
  <c r="AF19" i="12" s="1"/>
  <c r="AG19" i="12" s="1"/>
  <c r="AH19" i="12" s="1"/>
  <c r="AI19" i="12" s="1"/>
  <c r="AJ19" i="12" s="1"/>
  <c r="AJ20" i="12" s="1"/>
  <c r="AI20" i="12" s="1"/>
  <c r="AH20" i="12" s="1"/>
  <c r="AG20" i="12" s="1"/>
  <c r="AF20" i="12" s="1"/>
  <c r="AE20" i="12" s="1"/>
  <c r="AD20" i="12" s="1"/>
  <c r="AC20" i="12" s="1"/>
  <c r="AB20" i="12" s="1"/>
  <c r="AA20" i="12" s="1"/>
  <c r="Z20" i="12" s="1"/>
  <c r="B30" i="12" s="1"/>
  <c r="C30" i="12" s="1"/>
  <c r="Z2" i="12"/>
  <c r="AB5" i="12" s="1"/>
  <c r="AC5" i="12" s="1"/>
  <c r="AD5" i="12" s="1"/>
  <c r="AE5" i="12" s="1"/>
  <c r="AF5" i="12" s="1"/>
  <c r="AG5" i="12" s="1"/>
  <c r="AH5" i="12" s="1"/>
  <c r="AI5" i="12" s="1"/>
  <c r="AJ5" i="12" s="1"/>
  <c r="AJ6" i="12" s="1"/>
  <c r="AI6" i="12" s="1"/>
  <c r="AH6" i="12" s="1"/>
  <c r="AG6" i="12" s="1"/>
  <c r="AF6" i="12" s="1"/>
  <c r="AE6" i="12" s="1"/>
  <c r="AD6" i="12" s="1"/>
  <c r="AC6" i="12" s="1"/>
  <c r="AB6" i="12" s="1"/>
  <c r="AA6" i="12" s="1"/>
  <c r="Z6" i="12" s="1"/>
  <c r="B28" i="12" s="1"/>
  <c r="C28" i="12" s="1"/>
  <c r="Z9" i="12"/>
  <c r="A30" i="12"/>
  <c r="A28" i="12"/>
  <c r="AN32" i="12"/>
  <c r="AN21" i="12"/>
  <c r="A29" i="11"/>
  <c r="Z16" i="11"/>
  <c r="Z2" i="11"/>
  <c r="AB5" i="11" s="1"/>
  <c r="AC5" i="11" s="1"/>
  <c r="AD5" i="11" s="1"/>
  <c r="AE5" i="11" s="1"/>
  <c r="AF5" i="11" s="1"/>
  <c r="AG5" i="11" s="1"/>
  <c r="AH5" i="11" s="1"/>
  <c r="AI5" i="11" s="1"/>
  <c r="AJ5" i="11" s="1"/>
  <c r="AJ6" i="11" s="1"/>
  <c r="AI6" i="11" s="1"/>
  <c r="AH6" i="11" s="1"/>
  <c r="AG6" i="11" s="1"/>
  <c r="AF6" i="11" s="1"/>
  <c r="AE6" i="11" s="1"/>
  <c r="AD6" i="11" s="1"/>
  <c r="AC6" i="11" s="1"/>
  <c r="AB6" i="11" s="1"/>
  <c r="AA6" i="11" s="1"/>
  <c r="Z6" i="11" s="1"/>
  <c r="B28" i="11" s="1"/>
  <c r="C28" i="11" s="1"/>
  <c r="Z9" i="11"/>
  <c r="A30" i="11"/>
  <c r="A28" i="11"/>
  <c r="AN21" i="11"/>
  <c r="AN32" i="11"/>
  <c r="Z2" i="6"/>
  <c r="AA2" i="6" s="1"/>
  <c r="AB2" i="6" s="1"/>
  <c r="AC2" i="6" s="1"/>
  <c r="AD2" i="6" s="1"/>
  <c r="AE2" i="6" s="1"/>
  <c r="AF2" i="6" s="1"/>
  <c r="AG2" i="6" s="1"/>
  <c r="AH2" i="6" s="1"/>
  <c r="AI2" i="6" s="1"/>
  <c r="AJ2" i="6" s="1"/>
  <c r="Z16" i="7"/>
  <c r="AA16" i="7" s="1"/>
  <c r="AB16" i="7" s="1"/>
  <c r="AC16" i="7" s="1"/>
  <c r="AD16" i="7" s="1"/>
  <c r="AE16" i="7" s="1"/>
  <c r="AF16" i="7" s="1"/>
  <c r="AG16" i="7" s="1"/>
  <c r="AH16" i="7" s="1"/>
  <c r="AI16" i="7" s="1"/>
  <c r="AJ16" i="7" s="1"/>
  <c r="Z9" i="8"/>
  <c r="AM13" i="8" s="1"/>
  <c r="AO20" i="8" s="1"/>
  <c r="AP20" i="8" s="1"/>
  <c r="AQ20" i="8" s="1"/>
  <c r="AR20" i="8" s="1"/>
  <c r="AS20" i="8" s="1"/>
  <c r="AT20" i="8" s="1"/>
  <c r="AU20" i="8" s="1"/>
  <c r="AV20" i="8" s="1"/>
  <c r="AW20" i="8" s="1"/>
  <c r="AX20" i="8" s="1"/>
  <c r="AX21" i="8" s="1"/>
  <c r="AN21" i="10"/>
  <c r="AN32" i="10"/>
  <c r="AN10" i="10"/>
  <c r="AB12" i="9"/>
  <c r="AC12" i="9" s="1"/>
  <c r="AD12" i="9" s="1"/>
  <c r="AE12" i="9" s="1"/>
  <c r="AF12" i="9" s="1"/>
  <c r="AG12" i="9" s="1"/>
  <c r="AH12" i="9" s="1"/>
  <c r="AI12" i="9" s="1"/>
  <c r="AJ12" i="9" s="1"/>
  <c r="AJ13" i="9" s="1"/>
  <c r="AI13" i="9" s="1"/>
  <c r="AH13" i="9" s="1"/>
  <c r="AG13" i="9" s="1"/>
  <c r="AF13" i="9" s="1"/>
  <c r="AE13" i="9" s="1"/>
  <c r="AD13" i="9" s="1"/>
  <c r="AC13" i="9" s="1"/>
  <c r="AB13" i="9" s="1"/>
  <c r="AA13" i="9" s="1"/>
  <c r="Z13" i="9" s="1"/>
  <c r="B29" i="9" s="1"/>
  <c r="C29" i="9" s="1"/>
  <c r="AA16" i="9"/>
  <c r="AB16" i="9" s="1"/>
  <c r="AC16" i="9" s="1"/>
  <c r="AD16" i="9" s="1"/>
  <c r="AE16" i="9" s="1"/>
  <c r="AF16" i="9" s="1"/>
  <c r="AG16" i="9" s="1"/>
  <c r="AH16" i="9" s="1"/>
  <c r="AI16" i="9" s="1"/>
  <c r="AJ16" i="9" s="1"/>
  <c r="AN21" i="9"/>
  <c r="AN32" i="9"/>
  <c r="AO32" i="9" s="1"/>
  <c r="AP32" i="9" s="1"/>
  <c r="AQ32" i="9" s="1"/>
  <c r="AR32" i="9" s="1"/>
  <c r="AS32" i="9" s="1"/>
  <c r="AT32" i="9" s="1"/>
  <c r="AU32" i="9" s="1"/>
  <c r="AV32" i="9" s="1"/>
  <c r="AW32" i="9" s="1"/>
  <c r="AO31" i="9"/>
  <c r="AP31" i="9" s="1"/>
  <c r="AQ31" i="9" s="1"/>
  <c r="AR31" i="9" s="1"/>
  <c r="AS31" i="9" s="1"/>
  <c r="AT31" i="9" s="1"/>
  <c r="AU31" i="9" s="1"/>
  <c r="AV31" i="9" s="1"/>
  <c r="AW31" i="9" s="1"/>
  <c r="AX31" i="9" s="1"/>
  <c r="AX32" i="9" s="1"/>
  <c r="AO9" i="9"/>
  <c r="AP9" i="9" s="1"/>
  <c r="AQ9" i="9" s="1"/>
  <c r="AR9" i="9" s="1"/>
  <c r="AS9" i="9" s="1"/>
  <c r="AT9" i="9" s="1"/>
  <c r="AU9" i="9" s="1"/>
  <c r="AV9" i="9" s="1"/>
  <c r="AW9" i="9" s="1"/>
  <c r="AX9" i="9" s="1"/>
  <c r="AX10" i="9" s="1"/>
  <c r="AO10" i="9"/>
  <c r="AA2" i="9"/>
  <c r="AB2" i="9" s="1"/>
  <c r="AC2" i="9" s="1"/>
  <c r="AD2" i="9" s="1"/>
  <c r="AE2" i="9" s="1"/>
  <c r="AF2" i="9" s="1"/>
  <c r="AG2" i="9" s="1"/>
  <c r="AH2" i="9" s="1"/>
  <c r="AI2" i="9" s="1"/>
  <c r="AJ2" i="9" s="1"/>
  <c r="AM13" i="9"/>
  <c r="AB5" i="9"/>
  <c r="AC5" i="9" s="1"/>
  <c r="AD5" i="9" s="1"/>
  <c r="AE5" i="9" s="1"/>
  <c r="AF5" i="9" s="1"/>
  <c r="AG5" i="9" s="1"/>
  <c r="AH5" i="9" s="1"/>
  <c r="AI5" i="9" s="1"/>
  <c r="AJ5" i="9" s="1"/>
  <c r="AJ6" i="9" s="1"/>
  <c r="AI6" i="9" s="1"/>
  <c r="AH6" i="9" s="1"/>
  <c r="AG6" i="9" s="1"/>
  <c r="AF6" i="9" s="1"/>
  <c r="AE6" i="9" s="1"/>
  <c r="AD6" i="9" s="1"/>
  <c r="AC6" i="9" s="1"/>
  <c r="AB6" i="9" s="1"/>
  <c r="AA6" i="9" s="1"/>
  <c r="Z6" i="9" s="1"/>
  <c r="B28" i="9" s="1"/>
  <c r="C28" i="9" s="1"/>
  <c r="AB19" i="9"/>
  <c r="AC19" i="9" s="1"/>
  <c r="AD19" i="9" s="1"/>
  <c r="AE19" i="9" s="1"/>
  <c r="AF19" i="9" s="1"/>
  <c r="AG19" i="9" s="1"/>
  <c r="AH19" i="9" s="1"/>
  <c r="AI19" i="9" s="1"/>
  <c r="AJ19" i="9" s="1"/>
  <c r="AJ20" i="9" s="1"/>
  <c r="AI20" i="9" s="1"/>
  <c r="AH20" i="9" s="1"/>
  <c r="AG20" i="9" s="1"/>
  <c r="AF20" i="9" s="1"/>
  <c r="AE20" i="9" s="1"/>
  <c r="AD20" i="9" s="1"/>
  <c r="AC20" i="9" s="1"/>
  <c r="AB20" i="9" s="1"/>
  <c r="AA20" i="9" s="1"/>
  <c r="Z20" i="9" s="1"/>
  <c r="B30" i="9" s="1"/>
  <c r="C30" i="9" s="1"/>
  <c r="Z9" i="7"/>
  <c r="AM13" i="7" s="1"/>
  <c r="AO20" i="7" s="1"/>
  <c r="AP20" i="7" s="1"/>
  <c r="AQ20" i="7" s="1"/>
  <c r="AR20" i="7" s="1"/>
  <c r="AS20" i="7" s="1"/>
  <c r="AT20" i="7" s="1"/>
  <c r="AU20" i="7" s="1"/>
  <c r="AV20" i="7" s="1"/>
  <c r="AW20" i="7" s="1"/>
  <c r="AX20" i="7" s="1"/>
  <c r="AX21" i="7" s="1"/>
  <c r="AN21" i="6"/>
  <c r="Z9" i="6"/>
  <c r="AM13" i="6" s="1"/>
  <c r="AO20" i="6" s="1"/>
  <c r="AP20" i="6" s="1"/>
  <c r="AQ20" i="6" s="1"/>
  <c r="AR20" i="6" s="1"/>
  <c r="AS20" i="6" s="1"/>
  <c r="AT20" i="6" s="1"/>
  <c r="AU20" i="6" s="1"/>
  <c r="AV20" i="6" s="1"/>
  <c r="AW20" i="6" s="1"/>
  <c r="AX20" i="6" s="1"/>
  <c r="AX21" i="6" s="1"/>
  <c r="Z2" i="7"/>
  <c r="AA2" i="7" s="1"/>
  <c r="AB2" i="7" s="1"/>
  <c r="AC2" i="7" s="1"/>
  <c r="AD2" i="7" s="1"/>
  <c r="AE2" i="7" s="1"/>
  <c r="AF2" i="7" s="1"/>
  <c r="AG2" i="7" s="1"/>
  <c r="AH2" i="7" s="1"/>
  <c r="AI2" i="7" s="1"/>
  <c r="AJ2" i="7" s="1"/>
  <c r="Z16" i="8"/>
  <c r="AM24" i="8" s="1"/>
  <c r="AO31" i="8" s="1"/>
  <c r="AP31" i="8" s="1"/>
  <c r="AQ31" i="8" s="1"/>
  <c r="AR31" i="8" s="1"/>
  <c r="AS31" i="8" s="1"/>
  <c r="AT31" i="8" s="1"/>
  <c r="AU31" i="8" s="1"/>
  <c r="AV31" i="8" s="1"/>
  <c r="AW31" i="8" s="1"/>
  <c r="AX31" i="8" s="1"/>
  <c r="AX32" i="8" s="1"/>
  <c r="Z16" i="6"/>
  <c r="AA16" i="6" s="1"/>
  <c r="AB16" i="6" s="1"/>
  <c r="AC16" i="6" s="1"/>
  <c r="AD16" i="6" s="1"/>
  <c r="AE16" i="6" s="1"/>
  <c r="AF16" i="6" s="1"/>
  <c r="AG16" i="6" s="1"/>
  <c r="AH16" i="6" s="1"/>
  <c r="AI16" i="6" s="1"/>
  <c r="AJ16" i="6" s="1"/>
  <c r="AN32" i="8"/>
  <c r="AN21" i="8"/>
  <c r="AN10" i="8"/>
  <c r="AN32" i="7"/>
  <c r="AN21" i="7"/>
  <c r="AN32" i="6"/>
  <c r="AN34" i="5"/>
  <c r="AN21" i="5"/>
  <c r="Z2" i="3"/>
  <c r="AB5" i="3" s="1"/>
  <c r="AC5" i="3" s="1"/>
  <c r="AD5" i="3" s="1"/>
  <c r="AE5" i="3" s="1"/>
  <c r="AF5" i="3" s="1"/>
  <c r="AG5" i="3" s="1"/>
  <c r="AH5" i="3" s="1"/>
  <c r="AI5" i="3" s="1"/>
  <c r="AJ5" i="3" s="1"/>
  <c r="AJ6" i="3" s="1"/>
  <c r="AI6" i="3" s="1"/>
  <c r="AH6" i="3" s="1"/>
  <c r="AG6" i="3" s="1"/>
  <c r="AF6" i="3" s="1"/>
  <c r="AE6" i="3" s="1"/>
  <c r="AD6" i="3" s="1"/>
  <c r="AC6" i="3" s="1"/>
  <c r="AB6" i="3" s="1"/>
  <c r="AA6" i="3" s="1"/>
  <c r="Z6" i="3" s="1"/>
  <c r="B25" i="3" s="1"/>
  <c r="C25" i="3" s="1"/>
  <c r="Z16" i="3"/>
  <c r="AB19" i="3" s="1"/>
  <c r="AC19" i="3" s="1"/>
  <c r="AD19" i="3" s="1"/>
  <c r="AE19" i="3" s="1"/>
  <c r="AF19" i="3" s="1"/>
  <c r="AG19" i="3" s="1"/>
  <c r="AH19" i="3" s="1"/>
  <c r="AI19" i="3" s="1"/>
  <c r="AJ19" i="3" s="1"/>
  <c r="AJ20" i="3" s="1"/>
  <c r="AI20" i="3" s="1"/>
  <c r="AH20" i="3" s="1"/>
  <c r="AG20" i="3" s="1"/>
  <c r="AF20" i="3" s="1"/>
  <c r="AE20" i="3" s="1"/>
  <c r="AD20" i="3" s="1"/>
  <c r="AC20" i="3" s="1"/>
  <c r="AB20" i="3" s="1"/>
  <c r="AA20" i="3" s="1"/>
  <c r="Z20" i="3" s="1"/>
  <c r="B27" i="3" s="1"/>
  <c r="C27" i="3" s="1"/>
  <c r="Z9" i="3"/>
  <c r="AB12" i="3" s="1"/>
  <c r="AC12" i="3" s="1"/>
  <c r="AD12" i="3" s="1"/>
  <c r="AE12" i="3" s="1"/>
  <c r="AF12" i="3" s="1"/>
  <c r="AG12" i="3" s="1"/>
  <c r="AH12" i="3" s="1"/>
  <c r="AI12" i="3" s="1"/>
  <c r="AJ12" i="3" s="1"/>
  <c r="AJ13" i="3" s="1"/>
  <c r="AI13" i="3" s="1"/>
  <c r="AH13" i="3" s="1"/>
  <c r="AG13" i="3" s="1"/>
  <c r="AF13" i="3" s="1"/>
  <c r="AE13" i="3" s="1"/>
  <c r="AD13" i="3" s="1"/>
  <c r="AC13" i="3" s="1"/>
  <c r="AB13" i="3" s="1"/>
  <c r="AA13" i="3" s="1"/>
  <c r="Z13" i="3" s="1"/>
  <c r="B26" i="3" s="1"/>
  <c r="C26" i="3" s="1"/>
  <c r="AN32" i="3"/>
  <c r="AN21" i="3"/>
  <c r="AN21" i="2"/>
  <c r="AN32" i="2"/>
  <c r="Z2" i="2"/>
  <c r="Z16" i="2"/>
  <c r="Z9" i="2"/>
  <c r="AB12" i="2" s="1"/>
  <c r="AC12" i="2" s="1"/>
  <c r="AD12" i="2" s="1"/>
  <c r="AE12" i="2" s="1"/>
  <c r="AF12" i="2" s="1"/>
  <c r="AG12" i="2" s="1"/>
  <c r="AH12" i="2" s="1"/>
  <c r="AI12" i="2" s="1"/>
  <c r="AJ12" i="2" s="1"/>
  <c r="AJ13" i="2" s="1"/>
  <c r="AI13" i="2" s="1"/>
  <c r="AH13" i="2" s="1"/>
  <c r="AG13" i="2" s="1"/>
  <c r="AF13" i="2" s="1"/>
  <c r="AE13" i="2" s="1"/>
  <c r="AD13" i="2" s="1"/>
  <c r="AC13" i="2" s="1"/>
  <c r="AB13" i="2" s="1"/>
  <c r="AA13" i="2" s="1"/>
  <c r="Z13" i="2" s="1"/>
  <c r="B26" i="2" s="1"/>
  <c r="C26" i="2" s="1"/>
  <c r="AO22" i="24" l="1"/>
  <c r="AO21" i="24"/>
  <c r="AP21" i="24" s="1"/>
  <c r="AQ21" i="24" s="1"/>
  <c r="AR21" i="24" s="1"/>
  <c r="AS21" i="24" s="1"/>
  <c r="AT21" i="24" s="1"/>
  <c r="AU21" i="24" s="1"/>
  <c r="AV21" i="24" s="1"/>
  <c r="AW21" i="24" s="1"/>
  <c r="AX21" i="24" s="1"/>
  <c r="AX22" i="24" s="1"/>
  <c r="AO11" i="24"/>
  <c r="AO10" i="24"/>
  <c r="AP10" i="24" s="1"/>
  <c r="AQ10" i="24" s="1"/>
  <c r="AR10" i="24" s="1"/>
  <c r="AS10" i="24" s="1"/>
  <c r="AT10" i="24" s="1"/>
  <c r="AU10" i="24" s="1"/>
  <c r="AV10" i="24" s="1"/>
  <c r="AW10" i="24" s="1"/>
  <c r="AX10" i="24" s="1"/>
  <c r="AX11" i="24" s="1"/>
  <c r="AO33" i="24"/>
  <c r="AO32" i="24"/>
  <c r="AP32" i="24" s="1"/>
  <c r="AQ32" i="24" s="1"/>
  <c r="AR32" i="24" s="1"/>
  <c r="AS32" i="24" s="1"/>
  <c r="AT32" i="24" s="1"/>
  <c r="AU32" i="24" s="1"/>
  <c r="AV32" i="24" s="1"/>
  <c r="AW32" i="24" s="1"/>
  <c r="AX32" i="24" s="1"/>
  <c r="AX33" i="24" s="1"/>
  <c r="AO33" i="23"/>
  <c r="AP33" i="23" s="1"/>
  <c r="AQ33" i="23" s="1"/>
  <c r="AR33" i="23" s="1"/>
  <c r="AS33" i="23" s="1"/>
  <c r="AT33" i="23" s="1"/>
  <c r="AU33" i="23" s="1"/>
  <c r="AV33" i="23" s="1"/>
  <c r="AW33" i="23" s="1"/>
  <c r="AO32" i="23"/>
  <c r="AP32" i="23" s="1"/>
  <c r="AQ32" i="23" s="1"/>
  <c r="AR32" i="23" s="1"/>
  <c r="AS32" i="23" s="1"/>
  <c r="AT32" i="23" s="1"/>
  <c r="AU32" i="23" s="1"/>
  <c r="AV32" i="23" s="1"/>
  <c r="AW32" i="23" s="1"/>
  <c r="AX32" i="23" s="1"/>
  <c r="AX33" i="23" s="1"/>
  <c r="AO11" i="23"/>
  <c r="AO10" i="23"/>
  <c r="AP10" i="23" s="1"/>
  <c r="AQ10" i="23" s="1"/>
  <c r="AR10" i="23" s="1"/>
  <c r="AS10" i="23" s="1"/>
  <c r="AT10" i="23" s="1"/>
  <c r="AU10" i="23" s="1"/>
  <c r="AV10" i="23" s="1"/>
  <c r="AW10" i="23" s="1"/>
  <c r="AX10" i="23" s="1"/>
  <c r="AX11" i="23" s="1"/>
  <c r="AO22" i="23"/>
  <c r="AO21" i="23"/>
  <c r="AP21" i="23" s="1"/>
  <c r="AQ21" i="23" s="1"/>
  <c r="AR21" i="23" s="1"/>
  <c r="AS21" i="23" s="1"/>
  <c r="AT21" i="23" s="1"/>
  <c r="AU21" i="23" s="1"/>
  <c r="AV21" i="23" s="1"/>
  <c r="AW21" i="23" s="1"/>
  <c r="AX21" i="23" s="1"/>
  <c r="AX22" i="23" s="1"/>
  <c r="AO22" i="22"/>
  <c r="AO21" i="22"/>
  <c r="AP21" i="22" s="1"/>
  <c r="AQ21" i="22" s="1"/>
  <c r="AR21" i="22" s="1"/>
  <c r="AS21" i="22" s="1"/>
  <c r="AT21" i="22" s="1"/>
  <c r="AU21" i="22" s="1"/>
  <c r="AV21" i="22" s="1"/>
  <c r="AW21" i="22" s="1"/>
  <c r="AX21" i="22" s="1"/>
  <c r="AX22" i="22" s="1"/>
  <c r="AO11" i="22"/>
  <c r="AP11" i="22" s="1"/>
  <c r="AQ11" i="22" s="1"/>
  <c r="AR11" i="22" s="1"/>
  <c r="AS11" i="22" s="1"/>
  <c r="AT11" i="22" s="1"/>
  <c r="AU11" i="22" s="1"/>
  <c r="AV11" i="22" s="1"/>
  <c r="AW11" i="22" s="1"/>
  <c r="AO10" i="22"/>
  <c r="AP10" i="22" s="1"/>
  <c r="AQ10" i="22" s="1"/>
  <c r="AR10" i="22" s="1"/>
  <c r="AS10" i="22" s="1"/>
  <c r="AT10" i="22" s="1"/>
  <c r="AU10" i="22" s="1"/>
  <c r="AV10" i="22" s="1"/>
  <c r="AW10" i="22" s="1"/>
  <c r="AX10" i="22" s="1"/>
  <c r="AX11" i="22" s="1"/>
  <c r="AO33" i="22"/>
  <c r="AO32" i="22"/>
  <c r="AP32" i="22" s="1"/>
  <c r="AQ32" i="22" s="1"/>
  <c r="AR32" i="22" s="1"/>
  <c r="AS32" i="22" s="1"/>
  <c r="AT32" i="22" s="1"/>
  <c r="AU32" i="22" s="1"/>
  <c r="AV32" i="22" s="1"/>
  <c r="AW32" i="22" s="1"/>
  <c r="AX32" i="22" s="1"/>
  <c r="AX33" i="22" s="1"/>
  <c r="AO33" i="21"/>
  <c r="AP33" i="21" s="1"/>
  <c r="AQ33" i="21" s="1"/>
  <c r="AR33" i="21" s="1"/>
  <c r="AS33" i="21" s="1"/>
  <c r="AT33" i="21" s="1"/>
  <c r="AU33" i="21" s="1"/>
  <c r="AV33" i="21" s="1"/>
  <c r="AW33" i="21" s="1"/>
  <c r="AO32" i="21"/>
  <c r="AP32" i="21" s="1"/>
  <c r="AQ32" i="21" s="1"/>
  <c r="AR32" i="21" s="1"/>
  <c r="AS32" i="21" s="1"/>
  <c r="AT32" i="21" s="1"/>
  <c r="AU32" i="21" s="1"/>
  <c r="AV32" i="21" s="1"/>
  <c r="AW32" i="21" s="1"/>
  <c r="AX32" i="21" s="1"/>
  <c r="AX33" i="21" s="1"/>
  <c r="AO22" i="21"/>
  <c r="AP22" i="21" s="1"/>
  <c r="AQ22" i="21" s="1"/>
  <c r="AR22" i="21" s="1"/>
  <c r="AS22" i="21" s="1"/>
  <c r="AT22" i="21" s="1"/>
  <c r="AU22" i="21" s="1"/>
  <c r="AV22" i="21" s="1"/>
  <c r="AW22" i="21" s="1"/>
  <c r="AO21" i="21"/>
  <c r="AP21" i="21" s="1"/>
  <c r="AQ21" i="21" s="1"/>
  <c r="AR21" i="21" s="1"/>
  <c r="AS21" i="21" s="1"/>
  <c r="AT21" i="21" s="1"/>
  <c r="AU21" i="21" s="1"/>
  <c r="AV21" i="21" s="1"/>
  <c r="AW21" i="21" s="1"/>
  <c r="AX21" i="21" s="1"/>
  <c r="AX22" i="21" s="1"/>
  <c r="AO11" i="21"/>
  <c r="AO10" i="21"/>
  <c r="AP10" i="21" s="1"/>
  <c r="AQ10" i="21" s="1"/>
  <c r="AR10" i="21" s="1"/>
  <c r="AS10" i="21" s="1"/>
  <c r="AT10" i="21" s="1"/>
  <c r="AU10" i="21" s="1"/>
  <c r="AV10" i="21" s="1"/>
  <c r="AW10" i="21" s="1"/>
  <c r="AX10" i="21" s="1"/>
  <c r="AX11" i="21" s="1"/>
  <c r="AO33" i="20"/>
  <c r="AP33" i="20" s="1"/>
  <c r="AQ33" i="20" s="1"/>
  <c r="AR33" i="20" s="1"/>
  <c r="AS33" i="20" s="1"/>
  <c r="AT33" i="20" s="1"/>
  <c r="AU33" i="20" s="1"/>
  <c r="AV33" i="20" s="1"/>
  <c r="AW33" i="20" s="1"/>
  <c r="AO32" i="20"/>
  <c r="AP32" i="20" s="1"/>
  <c r="AQ32" i="20" s="1"/>
  <c r="AR32" i="20" s="1"/>
  <c r="AS32" i="20" s="1"/>
  <c r="AT32" i="20" s="1"/>
  <c r="AU32" i="20" s="1"/>
  <c r="AV32" i="20" s="1"/>
  <c r="AW32" i="20" s="1"/>
  <c r="AX32" i="20" s="1"/>
  <c r="AX33" i="20" s="1"/>
  <c r="AO22" i="20"/>
  <c r="AP22" i="20" s="1"/>
  <c r="AQ22" i="20" s="1"/>
  <c r="AR22" i="20" s="1"/>
  <c r="AS22" i="20" s="1"/>
  <c r="AT22" i="20" s="1"/>
  <c r="AU22" i="20" s="1"/>
  <c r="AV22" i="20" s="1"/>
  <c r="AW22" i="20" s="1"/>
  <c r="AO21" i="20"/>
  <c r="AP21" i="20" s="1"/>
  <c r="AQ21" i="20" s="1"/>
  <c r="AR21" i="20" s="1"/>
  <c r="AS21" i="20" s="1"/>
  <c r="AT21" i="20" s="1"/>
  <c r="AU21" i="20" s="1"/>
  <c r="AV21" i="20" s="1"/>
  <c r="AW21" i="20" s="1"/>
  <c r="AX21" i="20" s="1"/>
  <c r="AX22" i="20" s="1"/>
  <c r="AO11" i="20"/>
  <c r="AO10" i="20"/>
  <c r="AP10" i="20" s="1"/>
  <c r="AQ10" i="20" s="1"/>
  <c r="AR10" i="20" s="1"/>
  <c r="AS10" i="20" s="1"/>
  <c r="AT10" i="20" s="1"/>
  <c r="AU10" i="20" s="1"/>
  <c r="AV10" i="20" s="1"/>
  <c r="AW10" i="20" s="1"/>
  <c r="AX10" i="20" s="1"/>
  <c r="AX11" i="20" s="1"/>
  <c r="AB12" i="10"/>
  <c r="AC12" i="10" s="1"/>
  <c r="AD12" i="10" s="1"/>
  <c r="AE12" i="10" s="1"/>
  <c r="AF12" i="10" s="1"/>
  <c r="AG12" i="10" s="1"/>
  <c r="AH12" i="10" s="1"/>
  <c r="AI12" i="10" s="1"/>
  <c r="AJ12" i="10" s="1"/>
  <c r="AJ13" i="10" s="1"/>
  <c r="AI13" i="10" s="1"/>
  <c r="AH13" i="10" s="1"/>
  <c r="AG13" i="10" s="1"/>
  <c r="AF13" i="10" s="1"/>
  <c r="AE13" i="10" s="1"/>
  <c r="AD13" i="10" s="1"/>
  <c r="AC13" i="10" s="1"/>
  <c r="AB13" i="10" s="1"/>
  <c r="AA13" i="10" s="1"/>
  <c r="Z13" i="10" s="1"/>
  <c r="B29" i="10" s="1"/>
  <c r="C29" i="10" s="1"/>
  <c r="AA9" i="10"/>
  <c r="AB9" i="10" s="1"/>
  <c r="AC9" i="10" s="1"/>
  <c r="AD9" i="10" s="1"/>
  <c r="AE9" i="10" s="1"/>
  <c r="AF9" i="10" s="1"/>
  <c r="AG9" i="10" s="1"/>
  <c r="AH9" i="10" s="1"/>
  <c r="AI9" i="10" s="1"/>
  <c r="AJ9" i="10" s="1"/>
  <c r="AO33" i="19"/>
  <c r="AP33" i="19" s="1"/>
  <c r="AQ33" i="19" s="1"/>
  <c r="AR33" i="19" s="1"/>
  <c r="AS33" i="19" s="1"/>
  <c r="AT33" i="19" s="1"/>
  <c r="AU33" i="19" s="1"/>
  <c r="AV33" i="19" s="1"/>
  <c r="AW33" i="19" s="1"/>
  <c r="AO32" i="19"/>
  <c r="AP32" i="19" s="1"/>
  <c r="AQ32" i="19" s="1"/>
  <c r="AR32" i="19" s="1"/>
  <c r="AS32" i="19" s="1"/>
  <c r="AT32" i="19" s="1"/>
  <c r="AU32" i="19" s="1"/>
  <c r="AV32" i="19" s="1"/>
  <c r="AW32" i="19" s="1"/>
  <c r="AX32" i="19" s="1"/>
  <c r="AX33" i="19" s="1"/>
  <c r="AO22" i="19"/>
  <c r="AP22" i="19" s="1"/>
  <c r="AQ22" i="19" s="1"/>
  <c r="AR22" i="19" s="1"/>
  <c r="AS22" i="19" s="1"/>
  <c r="AT22" i="19" s="1"/>
  <c r="AU22" i="19" s="1"/>
  <c r="AV22" i="19" s="1"/>
  <c r="AW22" i="19" s="1"/>
  <c r="AO21" i="19"/>
  <c r="AP21" i="19" s="1"/>
  <c r="AQ21" i="19" s="1"/>
  <c r="AR21" i="19" s="1"/>
  <c r="AS21" i="19" s="1"/>
  <c r="AT21" i="19" s="1"/>
  <c r="AU21" i="19" s="1"/>
  <c r="AV21" i="19" s="1"/>
  <c r="AW21" i="19" s="1"/>
  <c r="AX21" i="19" s="1"/>
  <c r="AX22" i="19" s="1"/>
  <c r="AO11" i="19"/>
  <c r="AO10" i="19"/>
  <c r="AP10" i="19" s="1"/>
  <c r="AQ10" i="19" s="1"/>
  <c r="AR10" i="19" s="1"/>
  <c r="AS10" i="19" s="1"/>
  <c r="AT10" i="19" s="1"/>
  <c r="AU10" i="19" s="1"/>
  <c r="AV10" i="19" s="1"/>
  <c r="AW10" i="19" s="1"/>
  <c r="AX10" i="19" s="1"/>
  <c r="AX11" i="19" s="1"/>
  <c r="AO33" i="18"/>
  <c r="AP33" i="18" s="1"/>
  <c r="AQ33" i="18" s="1"/>
  <c r="AR33" i="18" s="1"/>
  <c r="AS33" i="18" s="1"/>
  <c r="AT33" i="18" s="1"/>
  <c r="AU33" i="18" s="1"/>
  <c r="AV33" i="18" s="1"/>
  <c r="AW33" i="18" s="1"/>
  <c r="AO32" i="18"/>
  <c r="AP32" i="18" s="1"/>
  <c r="AQ32" i="18" s="1"/>
  <c r="AR32" i="18" s="1"/>
  <c r="AS32" i="18" s="1"/>
  <c r="AT32" i="18" s="1"/>
  <c r="AU32" i="18" s="1"/>
  <c r="AV32" i="18" s="1"/>
  <c r="AW32" i="18" s="1"/>
  <c r="AX32" i="18" s="1"/>
  <c r="AX33" i="18" s="1"/>
  <c r="AO22" i="18"/>
  <c r="AO21" i="18"/>
  <c r="AP21" i="18" s="1"/>
  <c r="AQ21" i="18" s="1"/>
  <c r="AR21" i="18" s="1"/>
  <c r="AS21" i="18" s="1"/>
  <c r="AT21" i="18" s="1"/>
  <c r="AU21" i="18" s="1"/>
  <c r="AV21" i="18" s="1"/>
  <c r="AW21" i="18" s="1"/>
  <c r="AX21" i="18" s="1"/>
  <c r="AX22" i="18" s="1"/>
  <c r="AO11" i="18"/>
  <c r="AO10" i="18"/>
  <c r="AP10" i="18" s="1"/>
  <c r="AQ10" i="18" s="1"/>
  <c r="AR10" i="18" s="1"/>
  <c r="AS10" i="18" s="1"/>
  <c r="AT10" i="18" s="1"/>
  <c r="AU10" i="18" s="1"/>
  <c r="AV10" i="18" s="1"/>
  <c r="AW10" i="18" s="1"/>
  <c r="AX10" i="18" s="1"/>
  <c r="AX11" i="18" s="1"/>
  <c r="AO33" i="17"/>
  <c r="AP33" i="17" s="1"/>
  <c r="AQ33" i="17" s="1"/>
  <c r="AR33" i="17" s="1"/>
  <c r="AS33" i="17" s="1"/>
  <c r="AT33" i="17" s="1"/>
  <c r="AU33" i="17" s="1"/>
  <c r="AV33" i="17" s="1"/>
  <c r="AW33" i="17" s="1"/>
  <c r="AO32" i="17"/>
  <c r="AP32" i="17" s="1"/>
  <c r="AQ32" i="17" s="1"/>
  <c r="AR32" i="17" s="1"/>
  <c r="AS32" i="17" s="1"/>
  <c r="AT32" i="17" s="1"/>
  <c r="AU32" i="17" s="1"/>
  <c r="AV32" i="17" s="1"/>
  <c r="AW32" i="17" s="1"/>
  <c r="AX32" i="17" s="1"/>
  <c r="AX33" i="17" s="1"/>
  <c r="AO11" i="17"/>
  <c r="AO10" i="17"/>
  <c r="AP10" i="17" s="1"/>
  <c r="AQ10" i="17" s="1"/>
  <c r="AR10" i="17" s="1"/>
  <c r="AS10" i="17" s="1"/>
  <c r="AT10" i="17" s="1"/>
  <c r="AU10" i="17" s="1"/>
  <c r="AV10" i="17" s="1"/>
  <c r="AW10" i="17" s="1"/>
  <c r="AX10" i="17" s="1"/>
  <c r="AX11" i="17" s="1"/>
  <c r="AO22" i="17"/>
  <c r="AP22" i="17" s="1"/>
  <c r="AQ22" i="17" s="1"/>
  <c r="AR22" i="17" s="1"/>
  <c r="AS22" i="17" s="1"/>
  <c r="AT22" i="17" s="1"/>
  <c r="AU22" i="17" s="1"/>
  <c r="AV22" i="17" s="1"/>
  <c r="AW22" i="17" s="1"/>
  <c r="AO21" i="17"/>
  <c r="AP21" i="17" s="1"/>
  <c r="AQ21" i="17" s="1"/>
  <c r="AR21" i="17" s="1"/>
  <c r="AS21" i="17" s="1"/>
  <c r="AT21" i="17" s="1"/>
  <c r="AU21" i="17" s="1"/>
  <c r="AV21" i="17" s="1"/>
  <c r="AW21" i="17" s="1"/>
  <c r="AX21" i="17" s="1"/>
  <c r="AX22" i="17" s="1"/>
  <c r="AB19" i="10"/>
  <c r="AC19" i="10" s="1"/>
  <c r="AD19" i="10" s="1"/>
  <c r="AE19" i="10" s="1"/>
  <c r="AF19" i="10" s="1"/>
  <c r="AG19" i="10" s="1"/>
  <c r="AH19" i="10" s="1"/>
  <c r="AI19" i="10" s="1"/>
  <c r="AJ19" i="10" s="1"/>
  <c r="AJ20" i="10" s="1"/>
  <c r="AI20" i="10" s="1"/>
  <c r="AH20" i="10" s="1"/>
  <c r="AG20" i="10" s="1"/>
  <c r="AF20" i="10" s="1"/>
  <c r="AE20" i="10" s="1"/>
  <c r="AD20" i="10" s="1"/>
  <c r="AC20" i="10" s="1"/>
  <c r="AB20" i="10" s="1"/>
  <c r="AA20" i="10" s="1"/>
  <c r="Z20" i="10" s="1"/>
  <c r="B30" i="10" s="1"/>
  <c r="C30" i="10" s="1"/>
  <c r="AB5" i="10"/>
  <c r="AC5" i="10" s="1"/>
  <c r="AD5" i="10" s="1"/>
  <c r="AE5" i="10" s="1"/>
  <c r="AF5" i="10" s="1"/>
  <c r="AG5" i="10" s="1"/>
  <c r="AH5" i="10" s="1"/>
  <c r="AI5" i="10" s="1"/>
  <c r="AJ5" i="10" s="1"/>
  <c r="AJ6" i="10" s="1"/>
  <c r="AI6" i="10" s="1"/>
  <c r="AH6" i="10" s="1"/>
  <c r="AG6" i="10" s="1"/>
  <c r="AF6" i="10" s="1"/>
  <c r="AE6" i="10" s="1"/>
  <c r="AD6" i="10" s="1"/>
  <c r="AC6" i="10" s="1"/>
  <c r="AB6" i="10" s="1"/>
  <c r="AA6" i="10" s="1"/>
  <c r="Z6" i="10" s="1"/>
  <c r="B28" i="10" s="1"/>
  <c r="C28" i="10" s="1"/>
  <c r="AO10" i="10"/>
  <c r="AP10" i="10" s="1"/>
  <c r="AQ10" i="10" s="1"/>
  <c r="AR10" i="10" s="1"/>
  <c r="AS10" i="10" s="1"/>
  <c r="AT10" i="10" s="1"/>
  <c r="AU10" i="10" s="1"/>
  <c r="AV10" i="10" s="1"/>
  <c r="AW10" i="10" s="1"/>
  <c r="AA16" i="10"/>
  <c r="AB16" i="10" s="1"/>
  <c r="AC16" i="10" s="1"/>
  <c r="AD16" i="10" s="1"/>
  <c r="AE16" i="10" s="1"/>
  <c r="AF16" i="10" s="1"/>
  <c r="AG16" i="10" s="1"/>
  <c r="AH16" i="10" s="1"/>
  <c r="AI16" i="10" s="1"/>
  <c r="AJ16" i="10" s="1"/>
  <c r="AA2" i="10"/>
  <c r="AB2" i="10" s="1"/>
  <c r="AC2" i="10" s="1"/>
  <c r="AD2" i="10" s="1"/>
  <c r="AE2" i="10" s="1"/>
  <c r="AF2" i="10" s="1"/>
  <c r="AG2" i="10" s="1"/>
  <c r="AH2" i="10" s="1"/>
  <c r="AI2" i="10" s="1"/>
  <c r="AJ2" i="10" s="1"/>
  <c r="AO32" i="10"/>
  <c r="AP32" i="10" s="1"/>
  <c r="AQ32" i="10" s="1"/>
  <c r="AR32" i="10" s="1"/>
  <c r="AS32" i="10" s="1"/>
  <c r="AT32" i="10" s="1"/>
  <c r="AU32" i="10" s="1"/>
  <c r="AV32" i="10" s="1"/>
  <c r="AW32" i="10" s="1"/>
  <c r="AO10" i="16"/>
  <c r="AP10" i="16" s="1"/>
  <c r="AQ10" i="16" s="1"/>
  <c r="AR10" i="16" s="1"/>
  <c r="AS10" i="16" s="1"/>
  <c r="AT10" i="16" s="1"/>
  <c r="AU10" i="16" s="1"/>
  <c r="AV10" i="16" s="1"/>
  <c r="AW10" i="16" s="1"/>
  <c r="AX10" i="16" s="1"/>
  <c r="AX11" i="16" s="1"/>
  <c r="AO11" i="16"/>
  <c r="AO33" i="16"/>
  <c r="AP33" i="16" s="1"/>
  <c r="AQ33" i="16" s="1"/>
  <c r="AR33" i="16" s="1"/>
  <c r="AS33" i="16" s="1"/>
  <c r="AT33" i="16" s="1"/>
  <c r="AU33" i="16" s="1"/>
  <c r="AV33" i="16" s="1"/>
  <c r="AW33" i="16" s="1"/>
  <c r="AO32" i="16"/>
  <c r="AP32" i="16" s="1"/>
  <c r="AQ32" i="16" s="1"/>
  <c r="AR32" i="16" s="1"/>
  <c r="AS32" i="16" s="1"/>
  <c r="AT32" i="16" s="1"/>
  <c r="AU32" i="16" s="1"/>
  <c r="AV32" i="16" s="1"/>
  <c r="AW32" i="16" s="1"/>
  <c r="AX32" i="16" s="1"/>
  <c r="AX33" i="16" s="1"/>
  <c r="AO22" i="16"/>
  <c r="AO21" i="16"/>
  <c r="AP21" i="16" s="1"/>
  <c r="AQ21" i="16" s="1"/>
  <c r="AR21" i="16" s="1"/>
  <c r="AS21" i="16" s="1"/>
  <c r="AT21" i="16" s="1"/>
  <c r="AU21" i="16" s="1"/>
  <c r="AV21" i="16" s="1"/>
  <c r="AW21" i="16" s="1"/>
  <c r="AX21" i="16" s="1"/>
  <c r="AX22" i="16" s="1"/>
  <c r="AM2" i="7"/>
  <c r="AO9" i="7" s="1"/>
  <c r="AP9" i="7" s="1"/>
  <c r="AQ9" i="7" s="1"/>
  <c r="AR9" i="7" s="1"/>
  <c r="AS9" i="7" s="1"/>
  <c r="AT9" i="7" s="1"/>
  <c r="AU9" i="7" s="1"/>
  <c r="AV9" i="7" s="1"/>
  <c r="AW9" i="7" s="1"/>
  <c r="AX9" i="7" s="1"/>
  <c r="AX10" i="7" s="1"/>
  <c r="AM25" i="15"/>
  <c r="AA17" i="15"/>
  <c r="AB17" i="15" s="1"/>
  <c r="AC17" i="15" s="1"/>
  <c r="AD17" i="15" s="1"/>
  <c r="AE17" i="15" s="1"/>
  <c r="AF17" i="15" s="1"/>
  <c r="AG17" i="15" s="1"/>
  <c r="AH17" i="15" s="1"/>
  <c r="AI17" i="15" s="1"/>
  <c r="AJ17" i="15" s="1"/>
  <c r="AB20" i="15"/>
  <c r="AC20" i="15" s="1"/>
  <c r="AD20" i="15" s="1"/>
  <c r="AE20" i="15" s="1"/>
  <c r="AF20" i="15" s="1"/>
  <c r="AG20" i="15" s="1"/>
  <c r="AH20" i="15" s="1"/>
  <c r="AI20" i="15" s="1"/>
  <c r="AJ20" i="15" s="1"/>
  <c r="AJ21" i="15" s="1"/>
  <c r="AI21" i="15" s="1"/>
  <c r="AH21" i="15" s="1"/>
  <c r="AG21" i="15" s="1"/>
  <c r="AF21" i="15" s="1"/>
  <c r="AE21" i="15" s="1"/>
  <c r="AD21" i="15" s="1"/>
  <c r="AC21" i="15" s="1"/>
  <c r="AB21" i="15" s="1"/>
  <c r="AA21" i="15" s="1"/>
  <c r="Z21" i="15" s="1"/>
  <c r="B31" i="15" s="1"/>
  <c r="C31" i="15" s="1"/>
  <c r="AA10" i="15"/>
  <c r="AB10" i="15" s="1"/>
  <c r="AC10" i="15" s="1"/>
  <c r="AD10" i="15" s="1"/>
  <c r="AE10" i="15" s="1"/>
  <c r="AF10" i="15" s="1"/>
  <c r="AG10" i="15" s="1"/>
  <c r="AH10" i="15" s="1"/>
  <c r="AI10" i="15" s="1"/>
  <c r="AJ10" i="15" s="1"/>
  <c r="AM14" i="15"/>
  <c r="AM2" i="15"/>
  <c r="AB5" i="15"/>
  <c r="AC5" i="15" s="1"/>
  <c r="AD5" i="15" s="1"/>
  <c r="AE5" i="15" s="1"/>
  <c r="AF5" i="15" s="1"/>
  <c r="AG5" i="15" s="1"/>
  <c r="AH5" i="15" s="1"/>
  <c r="AI5" i="15" s="1"/>
  <c r="AJ5" i="15" s="1"/>
  <c r="AJ6" i="15" s="1"/>
  <c r="AI6" i="15" s="1"/>
  <c r="AH6" i="15" s="1"/>
  <c r="AG6" i="15" s="1"/>
  <c r="AF6" i="15" s="1"/>
  <c r="AE6" i="15" s="1"/>
  <c r="AD6" i="15" s="1"/>
  <c r="AC6" i="15" s="1"/>
  <c r="AB6" i="15" s="1"/>
  <c r="AA6" i="15" s="1"/>
  <c r="Z6" i="15" s="1"/>
  <c r="B29" i="15" s="1"/>
  <c r="C29" i="15" s="1"/>
  <c r="AA2" i="15"/>
  <c r="AB2" i="15" s="1"/>
  <c r="AC2" i="15" s="1"/>
  <c r="AD2" i="15" s="1"/>
  <c r="AE2" i="15" s="1"/>
  <c r="AF2" i="15" s="1"/>
  <c r="AG2" i="15" s="1"/>
  <c r="AH2" i="15" s="1"/>
  <c r="AI2" i="15" s="1"/>
  <c r="AJ2" i="15" s="1"/>
  <c r="AA2" i="8"/>
  <c r="AB2" i="8" s="1"/>
  <c r="AC2" i="8" s="1"/>
  <c r="AD2" i="8" s="1"/>
  <c r="AE2" i="8" s="1"/>
  <c r="AF2" i="8" s="1"/>
  <c r="AG2" i="8" s="1"/>
  <c r="AH2" i="8" s="1"/>
  <c r="AI2" i="8" s="1"/>
  <c r="AJ2" i="8" s="1"/>
  <c r="AO21" i="8"/>
  <c r="AP21" i="8" s="1"/>
  <c r="AQ21" i="8" s="1"/>
  <c r="AR21" i="8" s="1"/>
  <c r="AS21" i="8" s="1"/>
  <c r="AT21" i="8" s="1"/>
  <c r="AU21" i="8" s="1"/>
  <c r="AV21" i="8" s="1"/>
  <c r="AW21" i="8" s="1"/>
  <c r="AA9" i="8"/>
  <c r="AB9" i="8" s="1"/>
  <c r="AC9" i="8" s="1"/>
  <c r="AD9" i="8" s="1"/>
  <c r="AE9" i="8" s="1"/>
  <c r="AF9" i="8" s="1"/>
  <c r="AG9" i="8" s="1"/>
  <c r="AH9" i="8" s="1"/>
  <c r="AI9" i="8" s="1"/>
  <c r="AJ9" i="8" s="1"/>
  <c r="AB5" i="8"/>
  <c r="AC5" i="8" s="1"/>
  <c r="AD5" i="8" s="1"/>
  <c r="AE5" i="8" s="1"/>
  <c r="AF5" i="8" s="1"/>
  <c r="AG5" i="8" s="1"/>
  <c r="AH5" i="8" s="1"/>
  <c r="AI5" i="8" s="1"/>
  <c r="AJ5" i="8" s="1"/>
  <c r="AJ6" i="8" s="1"/>
  <c r="AI6" i="8" s="1"/>
  <c r="AH6" i="8" s="1"/>
  <c r="AG6" i="8" s="1"/>
  <c r="AF6" i="8" s="1"/>
  <c r="AE6" i="8" s="1"/>
  <c r="AD6" i="8" s="1"/>
  <c r="AC6" i="8" s="1"/>
  <c r="AB6" i="8" s="1"/>
  <c r="AA6" i="8" s="1"/>
  <c r="Z6" i="8" s="1"/>
  <c r="B28" i="8" s="1"/>
  <c r="C28" i="8" s="1"/>
  <c r="AO10" i="8"/>
  <c r="AP10" i="8" s="1"/>
  <c r="AQ10" i="8" s="1"/>
  <c r="AR10" i="8" s="1"/>
  <c r="AS10" i="8" s="1"/>
  <c r="AT10" i="8" s="1"/>
  <c r="AU10" i="8" s="1"/>
  <c r="AV10" i="8" s="1"/>
  <c r="AW10" i="8" s="1"/>
  <c r="AM25" i="14"/>
  <c r="AA17" i="14"/>
  <c r="AB17" i="14" s="1"/>
  <c r="AC17" i="14" s="1"/>
  <c r="AD17" i="14" s="1"/>
  <c r="AE17" i="14" s="1"/>
  <c r="AF17" i="14" s="1"/>
  <c r="AG17" i="14" s="1"/>
  <c r="AH17" i="14" s="1"/>
  <c r="AI17" i="14" s="1"/>
  <c r="AJ17" i="14" s="1"/>
  <c r="AM2" i="14"/>
  <c r="AB5" i="14"/>
  <c r="AC5" i="14" s="1"/>
  <c r="AD5" i="14" s="1"/>
  <c r="AE5" i="14" s="1"/>
  <c r="AF5" i="14" s="1"/>
  <c r="AG5" i="14" s="1"/>
  <c r="AH5" i="14" s="1"/>
  <c r="AI5" i="14" s="1"/>
  <c r="AJ5" i="14" s="1"/>
  <c r="AJ6" i="14" s="1"/>
  <c r="AI6" i="14" s="1"/>
  <c r="AH6" i="14" s="1"/>
  <c r="AG6" i="14" s="1"/>
  <c r="AF6" i="14" s="1"/>
  <c r="AE6" i="14" s="1"/>
  <c r="AD6" i="14" s="1"/>
  <c r="AC6" i="14" s="1"/>
  <c r="AB6" i="14" s="1"/>
  <c r="AA6" i="14" s="1"/>
  <c r="Z6" i="14" s="1"/>
  <c r="B29" i="14" s="1"/>
  <c r="C29" i="14" s="1"/>
  <c r="AA2" i="14"/>
  <c r="AB2" i="14" s="1"/>
  <c r="AC2" i="14" s="1"/>
  <c r="AD2" i="14" s="1"/>
  <c r="AE2" i="14" s="1"/>
  <c r="AF2" i="14" s="1"/>
  <c r="AG2" i="14" s="1"/>
  <c r="AH2" i="14" s="1"/>
  <c r="AI2" i="14" s="1"/>
  <c r="AJ2" i="14" s="1"/>
  <c r="AB20" i="14"/>
  <c r="AC20" i="14" s="1"/>
  <c r="AD20" i="14" s="1"/>
  <c r="AE20" i="14" s="1"/>
  <c r="AF20" i="14" s="1"/>
  <c r="AG20" i="14" s="1"/>
  <c r="AH20" i="14" s="1"/>
  <c r="AI20" i="14" s="1"/>
  <c r="AJ20" i="14" s="1"/>
  <c r="AJ21" i="14" s="1"/>
  <c r="AI21" i="14" s="1"/>
  <c r="AH21" i="14" s="1"/>
  <c r="AG21" i="14" s="1"/>
  <c r="AF21" i="14" s="1"/>
  <c r="AE21" i="14" s="1"/>
  <c r="AD21" i="14" s="1"/>
  <c r="AC21" i="14" s="1"/>
  <c r="AB21" i="14" s="1"/>
  <c r="AA21" i="14" s="1"/>
  <c r="Z21" i="14" s="1"/>
  <c r="B31" i="14" s="1"/>
  <c r="C31" i="14" s="1"/>
  <c r="AA10" i="14"/>
  <c r="AB10" i="14" s="1"/>
  <c r="AC10" i="14" s="1"/>
  <c r="AD10" i="14" s="1"/>
  <c r="AE10" i="14" s="1"/>
  <c r="AF10" i="14" s="1"/>
  <c r="AG10" i="14" s="1"/>
  <c r="AH10" i="14" s="1"/>
  <c r="AI10" i="14" s="1"/>
  <c r="AJ10" i="14" s="1"/>
  <c r="AM14" i="14"/>
  <c r="AM2" i="13"/>
  <c r="AA2" i="13"/>
  <c r="AB2" i="13" s="1"/>
  <c r="AC2" i="13" s="1"/>
  <c r="AD2" i="13" s="1"/>
  <c r="AE2" i="13" s="1"/>
  <c r="AF2" i="13" s="1"/>
  <c r="AG2" i="13" s="1"/>
  <c r="AH2" i="13" s="1"/>
  <c r="AI2" i="13" s="1"/>
  <c r="AJ2" i="13" s="1"/>
  <c r="AA10" i="13"/>
  <c r="AB10" i="13" s="1"/>
  <c r="AC10" i="13" s="1"/>
  <c r="AD10" i="13" s="1"/>
  <c r="AE10" i="13" s="1"/>
  <c r="AF10" i="13" s="1"/>
  <c r="AG10" i="13" s="1"/>
  <c r="AH10" i="13" s="1"/>
  <c r="AI10" i="13" s="1"/>
  <c r="AJ10" i="13" s="1"/>
  <c r="AM14" i="13"/>
  <c r="AM25" i="13"/>
  <c r="AA17" i="13"/>
  <c r="AB17" i="13" s="1"/>
  <c r="AC17" i="13" s="1"/>
  <c r="AD17" i="13" s="1"/>
  <c r="AE17" i="13" s="1"/>
  <c r="AF17" i="13" s="1"/>
  <c r="AG17" i="13" s="1"/>
  <c r="AH17" i="13" s="1"/>
  <c r="AI17" i="13" s="1"/>
  <c r="AJ17" i="13" s="1"/>
  <c r="AB5" i="13"/>
  <c r="AC5" i="13" s="1"/>
  <c r="AD5" i="13" s="1"/>
  <c r="AE5" i="13" s="1"/>
  <c r="AF5" i="13" s="1"/>
  <c r="AG5" i="13" s="1"/>
  <c r="AH5" i="13" s="1"/>
  <c r="AI5" i="13" s="1"/>
  <c r="AJ5" i="13" s="1"/>
  <c r="AJ6" i="13" s="1"/>
  <c r="AI6" i="13" s="1"/>
  <c r="AH6" i="13" s="1"/>
  <c r="AG6" i="13" s="1"/>
  <c r="AF6" i="13" s="1"/>
  <c r="AE6" i="13" s="1"/>
  <c r="AD6" i="13" s="1"/>
  <c r="AC6" i="13" s="1"/>
  <c r="AB6" i="13" s="1"/>
  <c r="AA6" i="13" s="1"/>
  <c r="Z6" i="13" s="1"/>
  <c r="B29" i="13" s="1"/>
  <c r="C29" i="13" s="1"/>
  <c r="AO21" i="7"/>
  <c r="AP21" i="7" s="1"/>
  <c r="AQ21" i="7" s="1"/>
  <c r="AR21" i="7" s="1"/>
  <c r="AS21" i="7" s="1"/>
  <c r="AT21" i="7" s="1"/>
  <c r="AU21" i="7" s="1"/>
  <c r="AV21" i="7" s="1"/>
  <c r="AW21" i="7" s="1"/>
  <c r="AA9" i="7"/>
  <c r="AB9" i="7" s="1"/>
  <c r="AC9" i="7" s="1"/>
  <c r="AD9" i="7" s="1"/>
  <c r="AE9" i="7" s="1"/>
  <c r="AF9" i="7" s="1"/>
  <c r="AG9" i="7" s="1"/>
  <c r="AH9" i="7" s="1"/>
  <c r="AI9" i="7" s="1"/>
  <c r="AJ9" i="7" s="1"/>
  <c r="AM24" i="7"/>
  <c r="AO31" i="7" s="1"/>
  <c r="AP31" i="7" s="1"/>
  <c r="AQ31" i="7" s="1"/>
  <c r="AR31" i="7" s="1"/>
  <c r="AS31" i="7" s="1"/>
  <c r="AT31" i="7" s="1"/>
  <c r="AU31" i="7" s="1"/>
  <c r="AV31" i="7" s="1"/>
  <c r="AW31" i="7" s="1"/>
  <c r="AX31" i="7" s="1"/>
  <c r="AX32" i="7" s="1"/>
  <c r="AB19" i="7"/>
  <c r="AC19" i="7" s="1"/>
  <c r="AD19" i="7" s="1"/>
  <c r="AE19" i="7" s="1"/>
  <c r="AF19" i="7" s="1"/>
  <c r="AG19" i="7" s="1"/>
  <c r="AH19" i="7" s="1"/>
  <c r="AI19" i="7" s="1"/>
  <c r="AJ19" i="7" s="1"/>
  <c r="AJ20" i="7" s="1"/>
  <c r="AI20" i="7" s="1"/>
  <c r="AH20" i="7" s="1"/>
  <c r="AG20" i="7" s="1"/>
  <c r="AF20" i="7" s="1"/>
  <c r="AE20" i="7" s="1"/>
  <c r="AD20" i="7" s="1"/>
  <c r="AC20" i="7" s="1"/>
  <c r="AB20" i="7" s="1"/>
  <c r="AA20" i="7" s="1"/>
  <c r="Z20" i="7" s="1"/>
  <c r="B30" i="7" s="1"/>
  <c r="C30" i="7" s="1"/>
  <c r="AB12" i="7"/>
  <c r="AC12" i="7" s="1"/>
  <c r="AD12" i="7" s="1"/>
  <c r="AE12" i="7" s="1"/>
  <c r="AF12" i="7" s="1"/>
  <c r="AG12" i="7" s="1"/>
  <c r="AH12" i="7" s="1"/>
  <c r="AI12" i="7" s="1"/>
  <c r="AJ12" i="7" s="1"/>
  <c r="AJ13" i="7" s="1"/>
  <c r="AI13" i="7" s="1"/>
  <c r="AH13" i="7" s="1"/>
  <c r="AG13" i="7" s="1"/>
  <c r="AF13" i="7" s="1"/>
  <c r="AE13" i="7" s="1"/>
  <c r="AD13" i="7" s="1"/>
  <c r="AC13" i="7" s="1"/>
  <c r="AB13" i="7" s="1"/>
  <c r="AA13" i="7" s="1"/>
  <c r="Z13" i="7" s="1"/>
  <c r="B29" i="7" s="1"/>
  <c r="C29" i="7" s="1"/>
  <c r="AA9" i="12"/>
  <c r="AB9" i="12" s="1"/>
  <c r="AC9" i="12" s="1"/>
  <c r="AD9" i="12" s="1"/>
  <c r="AE9" i="12" s="1"/>
  <c r="AF9" i="12" s="1"/>
  <c r="AG9" i="12" s="1"/>
  <c r="AH9" i="12" s="1"/>
  <c r="AI9" i="12" s="1"/>
  <c r="AJ9" i="12" s="1"/>
  <c r="AM13" i="12"/>
  <c r="AM2" i="12"/>
  <c r="AA2" i="12"/>
  <c r="AB2" i="12" s="1"/>
  <c r="AC2" i="12" s="1"/>
  <c r="AD2" i="12" s="1"/>
  <c r="AE2" i="12" s="1"/>
  <c r="AF2" i="12" s="1"/>
  <c r="AG2" i="12" s="1"/>
  <c r="AH2" i="12" s="1"/>
  <c r="AI2" i="12" s="1"/>
  <c r="AJ2" i="12" s="1"/>
  <c r="AM24" i="12"/>
  <c r="AA16" i="12"/>
  <c r="AB16" i="12" s="1"/>
  <c r="AC16" i="12" s="1"/>
  <c r="AD16" i="12" s="1"/>
  <c r="AE16" i="12" s="1"/>
  <c r="AF16" i="12" s="1"/>
  <c r="AG16" i="12" s="1"/>
  <c r="AH16" i="12" s="1"/>
  <c r="AI16" i="12" s="1"/>
  <c r="AJ16" i="12" s="1"/>
  <c r="AB12" i="12"/>
  <c r="AC12" i="12" s="1"/>
  <c r="AD12" i="12" s="1"/>
  <c r="AE12" i="12" s="1"/>
  <c r="AF12" i="12" s="1"/>
  <c r="AG12" i="12" s="1"/>
  <c r="AH12" i="12" s="1"/>
  <c r="AI12" i="12" s="1"/>
  <c r="AJ12" i="12" s="1"/>
  <c r="AJ13" i="12" s="1"/>
  <c r="AI13" i="12" s="1"/>
  <c r="AH13" i="12" s="1"/>
  <c r="AG13" i="12" s="1"/>
  <c r="AF13" i="12" s="1"/>
  <c r="AE13" i="12" s="1"/>
  <c r="AD13" i="12" s="1"/>
  <c r="AC13" i="12" s="1"/>
  <c r="AB13" i="12" s="1"/>
  <c r="AA13" i="12" s="1"/>
  <c r="Z13" i="12" s="1"/>
  <c r="B29" i="12" s="1"/>
  <c r="C29" i="12" s="1"/>
  <c r="AA9" i="11"/>
  <c r="AB9" i="11" s="1"/>
  <c r="AC9" i="11" s="1"/>
  <c r="AD9" i="11" s="1"/>
  <c r="AE9" i="11" s="1"/>
  <c r="AF9" i="11" s="1"/>
  <c r="AG9" i="11" s="1"/>
  <c r="AH9" i="11" s="1"/>
  <c r="AI9" i="11" s="1"/>
  <c r="AJ9" i="11" s="1"/>
  <c r="AM13" i="11"/>
  <c r="AM2" i="11"/>
  <c r="AA2" i="11"/>
  <c r="AB2" i="11" s="1"/>
  <c r="AC2" i="11" s="1"/>
  <c r="AD2" i="11" s="1"/>
  <c r="AE2" i="11" s="1"/>
  <c r="AF2" i="11" s="1"/>
  <c r="AG2" i="11" s="1"/>
  <c r="AH2" i="11" s="1"/>
  <c r="AI2" i="11" s="1"/>
  <c r="AJ2" i="11" s="1"/>
  <c r="AM24" i="11"/>
  <c r="AB19" i="11"/>
  <c r="AC19" i="11" s="1"/>
  <c r="AD19" i="11" s="1"/>
  <c r="AE19" i="11" s="1"/>
  <c r="AF19" i="11" s="1"/>
  <c r="AG19" i="11" s="1"/>
  <c r="AH19" i="11" s="1"/>
  <c r="AI19" i="11" s="1"/>
  <c r="AJ19" i="11" s="1"/>
  <c r="AJ20" i="11" s="1"/>
  <c r="AI20" i="11" s="1"/>
  <c r="AH20" i="11" s="1"/>
  <c r="AG20" i="11" s="1"/>
  <c r="AF20" i="11" s="1"/>
  <c r="AE20" i="11" s="1"/>
  <c r="AD20" i="11" s="1"/>
  <c r="AC20" i="11" s="1"/>
  <c r="AB20" i="11" s="1"/>
  <c r="AA20" i="11" s="1"/>
  <c r="Z20" i="11" s="1"/>
  <c r="B30" i="11" s="1"/>
  <c r="C30" i="11" s="1"/>
  <c r="AA16" i="11"/>
  <c r="AB16" i="11" s="1"/>
  <c r="AC16" i="11" s="1"/>
  <c r="AD16" i="11" s="1"/>
  <c r="AE16" i="11" s="1"/>
  <c r="AF16" i="11" s="1"/>
  <c r="AG16" i="11" s="1"/>
  <c r="AH16" i="11" s="1"/>
  <c r="AI16" i="11" s="1"/>
  <c r="AJ16" i="11" s="1"/>
  <c r="AB12" i="11"/>
  <c r="AC12" i="11" s="1"/>
  <c r="AD12" i="11" s="1"/>
  <c r="AE12" i="11" s="1"/>
  <c r="AF12" i="11" s="1"/>
  <c r="AG12" i="11" s="1"/>
  <c r="AH12" i="11" s="1"/>
  <c r="AI12" i="11" s="1"/>
  <c r="AJ12" i="11" s="1"/>
  <c r="AJ13" i="11" s="1"/>
  <c r="AI13" i="11" s="1"/>
  <c r="AH13" i="11" s="1"/>
  <c r="AG13" i="11" s="1"/>
  <c r="AF13" i="11" s="1"/>
  <c r="AE13" i="11" s="1"/>
  <c r="AD13" i="11" s="1"/>
  <c r="AC13" i="11" s="1"/>
  <c r="AB13" i="11" s="1"/>
  <c r="AA13" i="11" s="1"/>
  <c r="Z13" i="11" s="1"/>
  <c r="B29" i="11" s="1"/>
  <c r="C29" i="11" s="1"/>
  <c r="AM2" i="6"/>
  <c r="AO10" i="6" s="1"/>
  <c r="AP10" i="6" s="1"/>
  <c r="AQ10" i="6" s="1"/>
  <c r="AR10" i="6" s="1"/>
  <c r="AS10" i="6" s="1"/>
  <c r="AT10" i="6" s="1"/>
  <c r="AU10" i="6" s="1"/>
  <c r="AV10" i="6" s="1"/>
  <c r="AW10" i="6" s="1"/>
  <c r="AO21" i="6"/>
  <c r="AP21" i="6" s="1"/>
  <c r="AQ21" i="6" s="1"/>
  <c r="AR21" i="6" s="1"/>
  <c r="AS21" i="6" s="1"/>
  <c r="AT21" i="6" s="1"/>
  <c r="AU21" i="6" s="1"/>
  <c r="AV21" i="6" s="1"/>
  <c r="AW21" i="6" s="1"/>
  <c r="AB12" i="6"/>
  <c r="AC12" i="6" s="1"/>
  <c r="AD12" i="6" s="1"/>
  <c r="AE12" i="6" s="1"/>
  <c r="AF12" i="6" s="1"/>
  <c r="AG12" i="6" s="1"/>
  <c r="AH12" i="6" s="1"/>
  <c r="AI12" i="6" s="1"/>
  <c r="AJ12" i="6" s="1"/>
  <c r="AJ13" i="6" s="1"/>
  <c r="AI13" i="6" s="1"/>
  <c r="AH13" i="6" s="1"/>
  <c r="AG13" i="6" s="1"/>
  <c r="AF13" i="6" s="1"/>
  <c r="AE13" i="6" s="1"/>
  <c r="AD13" i="6" s="1"/>
  <c r="AC13" i="6" s="1"/>
  <c r="AB13" i="6" s="1"/>
  <c r="AA13" i="6" s="1"/>
  <c r="Z13" i="6" s="1"/>
  <c r="B29" i="6" s="1"/>
  <c r="C29" i="6" s="1"/>
  <c r="AB5" i="6"/>
  <c r="AC5" i="6" s="1"/>
  <c r="AD5" i="6" s="1"/>
  <c r="AE5" i="6" s="1"/>
  <c r="AF5" i="6" s="1"/>
  <c r="AG5" i="6" s="1"/>
  <c r="AH5" i="6" s="1"/>
  <c r="AI5" i="6" s="1"/>
  <c r="AJ5" i="6" s="1"/>
  <c r="AJ6" i="6" s="1"/>
  <c r="AI6" i="6" s="1"/>
  <c r="AH6" i="6" s="1"/>
  <c r="AG6" i="6" s="1"/>
  <c r="AF6" i="6" s="1"/>
  <c r="AE6" i="6" s="1"/>
  <c r="AD6" i="6" s="1"/>
  <c r="AC6" i="6" s="1"/>
  <c r="AB6" i="6" s="1"/>
  <c r="AA6" i="6" s="1"/>
  <c r="Z6" i="6" s="1"/>
  <c r="B28" i="6" s="1"/>
  <c r="C28" i="6" s="1"/>
  <c r="AB19" i="6"/>
  <c r="AC19" i="6" s="1"/>
  <c r="AD19" i="6" s="1"/>
  <c r="AE19" i="6" s="1"/>
  <c r="AF19" i="6" s="1"/>
  <c r="AG19" i="6" s="1"/>
  <c r="AH19" i="6" s="1"/>
  <c r="AI19" i="6" s="1"/>
  <c r="AJ19" i="6" s="1"/>
  <c r="AJ20" i="6" s="1"/>
  <c r="AI20" i="6" s="1"/>
  <c r="AH20" i="6" s="1"/>
  <c r="AG20" i="6" s="1"/>
  <c r="AF20" i="6" s="1"/>
  <c r="AE20" i="6" s="1"/>
  <c r="AD20" i="6" s="1"/>
  <c r="AC20" i="6" s="1"/>
  <c r="AB20" i="6" s="1"/>
  <c r="AA20" i="6" s="1"/>
  <c r="Z20" i="6" s="1"/>
  <c r="B30" i="6" s="1"/>
  <c r="C30" i="6" s="1"/>
  <c r="AA16" i="8"/>
  <c r="AB16" i="8" s="1"/>
  <c r="AC16" i="8" s="1"/>
  <c r="AD16" i="8" s="1"/>
  <c r="AE16" i="8" s="1"/>
  <c r="AF16" i="8" s="1"/>
  <c r="AG16" i="8" s="1"/>
  <c r="AH16" i="8" s="1"/>
  <c r="AI16" i="8" s="1"/>
  <c r="AJ16" i="8" s="1"/>
  <c r="AB19" i="8"/>
  <c r="AC19" i="8" s="1"/>
  <c r="AD19" i="8" s="1"/>
  <c r="AE19" i="8" s="1"/>
  <c r="AF19" i="8" s="1"/>
  <c r="AG19" i="8" s="1"/>
  <c r="AH19" i="8" s="1"/>
  <c r="AI19" i="8" s="1"/>
  <c r="AJ19" i="8" s="1"/>
  <c r="AJ20" i="8" s="1"/>
  <c r="AI20" i="8" s="1"/>
  <c r="AH20" i="8" s="1"/>
  <c r="AG20" i="8" s="1"/>
  <c r="AF20" i="8" s="1"/>
  <c r="AE20" i="8" s="1"/>
  <c r="AD20" i="8" s="1"/>
  <c r="AC20" i="8" s="1"/>
  <c r="AB20" i="8" s="1"/>
  <c r="AA20" i="8" s="1"/>
  <c r="Z20" i="8" s="1"/>
  <c r="B30" i="8" s="1"/>
  <c r="C30" i="8" s="1"/>
  <c r="AA9" i="6"/>
  <c r="AB9" i="6" s="1"/>
  <c r="AC9" i="6" s="1"/>
  <c r="AD9" i="6" s="1"/>
  <c r="AE9" i="6" s="1"/>
  <c r="AF9" i="6" s="1"/>
  <c r="AG9" i="6" s="1"/>
  <c r="AH9" i="6" s="1"/>
  <c r="AI9" i="6" s="1"/>
  <c r="AJ9" i="6" s="1"/>
  <c r="AB5" i="7"/>
  <c r="AC5" i="7" s="1"/>
  <c r="AD5" i="7" s="1"/>
  <c r="AE5" i="7" s="1"/>
  <c r="AF5" i="7" s="1"/>
  <c r="AG5" i="7" s="1"/>
  <c r="AH5" i="7" s="1"/>
  <c r="AI5" i="7" s="1"/>
  <c r="AJ5" i="7" s="1"/>
  <c r="AJ6" i="7" s="1"/>
  <c r="AI6" i="7" s="1"/>
  <c r="AH6" i="7" s="1"/>
  <c r="AG6" i="7" s="1"/>
  <c r="AF6" i="7" s="1"/>
  <c r="AE6" i="7" s="1"/>
  <c r="AD6" i="7" s="1"/>
  <c r="AC6" i="7" s="1"/>
  <c r="AB6" i="7" s="1"/>
  <c r="AA6" i="7" s="1"/>
  <c r="Z6" i="7" s="1"/>
  <c r="B28" i="7" s="1"/>
  <c r="C28" i="7" s="1"/>
  <c r="AB12" i="8"/>
  <c r="AC12" i="8" s="1"/>
  <c r="AD12" i="8" s="1"/>
  <c r="AE12" i="8" s="1"/>
  <c r="AF12" i="8" s="1"/>
  <c r="AG12" i="8" s="1"/>
  <c r="AH12" i="8" s="1"/>
  <c r="AI12" i="8" s="1"/>
  <c r="AJ12" i="8" s="1"/>
  <c r="AJ13" i="8" s="1"/>
  <c r="AI13" i="8" s="1"/>
  <c r="AH13" i="8" s="1"/>
  <c r="AG13" i="8" s="1"/>
  <c r="AF13" i="8" s="1"/>
  <c r="AE13" i="8" s="1"/>
  <c r="AD13" i="8" s="1"/>
  <c r="AC13" i="8" s="1"/>
  <c r="AB13" i="8" s="1"/>
  <c r="AA13" i="8" s="1"/>
  <c r="Z13" i="8" s="1"/>
  <c r="B29" i="8" s="1"/>
  <c r="C29" i="8" s="1"/>
  <c r="AO21" i="10"/>
  <c r="AP21" i="10" s="1"/>
  <c r="AQ21" i="10" s="1"/>
  <c r="AR21" i="10" s="1"/>
  <c r="AS21" i="10" s="1"/>
  <c r="AT21" i="10" s="1"/>
  <c r="AU21" i="10" s="1"/>
  <c r="AV21" i="10" s="1"/>
  <c r="AW21" i="10" s="1"/>
  <c r="AP10" i="9"/>
  <c r="AQ10" i="9" s="1"/>
  <c r="AR10" i="9" s="1"/>
  <c r="AS10" i="9" s="1"/>
  <c r="AT10" i="9" s="1"/>
  <c r="AU10" i="9" s="1"/>
  <c r="AV10" i="9" s="1"/>
  <c r="AW10" i="9" s="1"/>
  <c r="AY32" i="9"/>
  <c r="AZ32" i="9" s="1"/>
  <c r="BA32" i="9" s="1"/>
  <c r="D30" i="9" s="1"/>
  <c r="E30" i="9" s="1"/>
  <c r="F30" i="9" s="1"/>
  <c r="AO21" i="9"/>
  <c r="AO20" i="9"/>
  <c r="AP20" i="9" s="1"/>
  <c r="AQ20" i="9" s="1"/>
  <c r="AR20" i="9" s="1"/>
  <c r="AS20" i="9" s="1"/>
  <c r="AT20" i="9" s="1"/>
  <c r="AU20" i="9" s="1"/>
  <c r="AV20" i="9" s="1"/>
  <c r="AW20" i="9" s="1"/>
  <c r="AX20" i="9" s="1"/>
  <c r="AX21" i="9" s="1"/>
  <c r="AM24" i="6"/>
  <c r="AO31" i="6" s="1"/>
  <c r="AP31" i="6" s="1"/>
  <c r="AQ31" i="6" s="1"/>
  <c r="AR31" i="6" s="1"/>
  <c r="AS31" i="6" s="1"/>
  <c r="AT31" i="6" s="1"/>
  <c r="AU31" i="6" s="1"/>
  <c r="AV31" i="6" s="1"/>
  <c r="AW31" i="6" s="1"/>
  <c r="AX31" i="6" s="1"/>
  <c r="AX32" i="6" s="1"/>
  <c r="AO32" i="8"/>
  <c r="AP32" i="8" s="1"/>
  <c r="AQ32" i="8" s="1"/>
  <c r="AR32" i="8" s="1"/>
  <c r="AS32" i="8" s="1"/>
  <c r="AT32" i="8" s="1"/>
  <c r="AU32" i="8" s="1"/>
  <c r="AV32" i="8" s="1"/>
  <c r="AW32" i="8" s="1"/>
  <c r="AY21" i="7"/>
  <c r="AZ21" i="7" s="1"/>
  <c r="BA21" i="7" s="1"/>
  <c r="D29" i="7" s="1"/>
  <c r="E29" i="7" s="1"/>
  <c r="AO9" i="6"/>
  <c r="AP9" i="6" s="1"/>
  <c r="AQ9" i="6" s="1"/>
  <c r="AR9" i="6" s="1"/>
  <c r="AS9" i="6" s="1"/>
  <c r="AT9" i="6" s="1"/>
  <c r="AU9" i="6" s="1"/>
  <c r="AV9" i="6" s="1"/>
  <c r="AW9" i="6" s="1"/>
  <c r="AX9" i="6" s="1"/>
  <c r="AX10" i="6" s="1"/>
  <c r="AA2" i="5"/>
  <c r="AB2" i="5" s="1"/>
  <c r="AC2" i="5" s="1"/>
  <c r="AD2" i="5" s="1"/>
  <c r="AE2" i="5" s="1"/>
  <c r="AF2" i="5" s="1"/>
  <c r="AG2" i="5" s="1"/>
  <c r="AH2" i="5" s="1"/>
  <c r="AI2" i="5" s="1"/>
  <c r="AJ2" i="5" s="1"/>
  <c r="AM2" i="5"/>
  <c r="AB5" i="5"/>
  <c r="AC5" i="5" s="1"/>
  <c r="AD5" i="5" s="1"/>
  <c r="AE5" i="5" s="1"/>
  <c r="AF5" i="5" s="1"/>
  <c r="AG5" i="5" s="1"/>
  <c r="AH5" i="5" s="1"/>
  <c r="AI5" i="5" s="1"/>
  <c r="AJ5" i="5" s="1"/>
  <c r="AJ6" i="5" s="1"/>
  <c r="AI6" i="5" s="1"/>
  <c r="AH6" i="5" s="1"/>
  <c r="AG6" i="5" s="1"/>
  <c r="AF6" i="5" s="1"/>
  <c r="AE6" i="5" s="1"/>
  <c r="AD6" i="5" s="1"/>
  <c r="AC6" i="5" s="1"/>
  <c r="AB6" i="5" s="1"/>
  <c r="AA6" i="5" s="1"/>
  <c r="AA9" i="5"/>
  <c r="AB9" i="5" s="1"/>
  <c r="AC9" i="5" s="1"/>
  <c r="AD9" i="5" s="1"/>
  <c r="AE9" i="5" s="1"/>
  <c r="AF9" i="5" s="1"/>
  <c r="AG9" i="5" s="1"/>
  <c r="AH9" i="5" s="1"/>
  <c r="AI9" i="5" s="1"/>
  <c r="AJ9" i="5" s="1"/>
  <c r="AM13" i="5"/>
  <c r="AB12" i="5"/>
  <c r="AC12" i="5" s="1"/>
  <c r="AD12" i="5" s="1"/>
  <c r="AE12" i="5" s="1"/>
  <c r="AF12" i="5" s="1"/>
  <c r="AG12" i="5" s="1"/>
  <c r="AH12" i="5" s="1"/>
  <c r="AI12" i="5" s="1"/>
  <c r="AJ12" i="5" s="1"/>
  <c r="AJ13" i="5" s="1"/>
  <c r="AI13" i="5" s="1"/>
  <c r="AH13" i="5" s="1"/>
  <c r="AG13" i="5" s="1"/>
  <c r="AF13" i="5" s="1"/>
  <c r="AE13" i="5" s="1"/>
  <c r="AD13" i="5" s="1"/>
  <c r="AC13" i="5" s="1"/>
  <c r="AB13" i="5" s="1"/>
  <c r="AA13" i="5" s="1"/>
  <c r="Z13" i="5" s="1"/>
  <c r="B28" i="5" s="1"/>
  <c r="C28" i="5" s="1"/>
  <c r="AA16" i="5"/>
  <c r="AB16" i="5" s="1"/>
  <c r="AC16" i="5" s="1"/>
  <c r="AD16" i="5" s="1"/>
  <c r="AE16" i="5" s="1"/>
  <c r="AF16" i="5" s="1"/>
  <c r="AG16" i="5" s="1"/>
  <c r="AH16" i="5" s="1"/>
  <c r="AI16" i="5" s="1"/>
  <c r="AJ16" i="5" s="1"/>
  <c r="AM26" i="5"/>
  <c r="AB19" i="5"/>
  <c r="AC19" i="5" s="1"/>
  <c r="AD19" i="5" s="1"/>
  <c r="AE19" i="5" s="1"/>
  <c r="AF19" i="5" s="1"/>
  <c r="AG19" i="5" s="1"/>
  <c r="AH19" i="5" s="1"/>
  <c r="AI19" i="5" s="1"/>
  <c r="AJ19" i="5" s="1"/>
  <c r="AJ20" i="5" s="1"/>
  <c r="AI20" i="5" s="1"/>
  <c r="AH20" i="5" s="1"/>
  <c r="AG20" i="5" s="1"/>
  <c r="AF20" i="5" s="1"/>
  <c r="AE20" i="5" s="1"/>
  <c r="AD20" i="5" s="1"/>
  <c r="AC20" i="5" s="1"/>
  <c r="AB20" i="5" s="1"/>
  <c r="AA20" i="5" s="1"/>
  <c r="Z20" i="5" s="1"/>
  <c r="B29" i="5" s="1"/>
  <c r="C29" i="5" s="1"/>
  <c r="AM13" i="3"/>
  <c r="AA9" i="3"/>
  <c r="AB9" i="3" s="1"/>
  <c r="AC9" i="3" s="1"/>
  <c r="AD9" i="3" s="1"/>
  <c r="AE9" i="3" s="1"/>
  <c r="AF9" i="3" s="1"/>
  <c r="AG9" i="3" s="1"/>
  <c r="AH9" i="3" s="1"/>
  <c r="AI9" i="3" s="1"/>
  <c r="AJ9" i="3" s="1"/>
  <c r="AA16" i="3"/>
  <c r="AB16" i="3" s="1"/>
  <c r="AC16" i="3" s="1"/>
  <c r="AD16" i="3" s="1"/>
  <c r="AE16" i="3" s="1"/>
  <c r="AF16" i="3" s="1"/>
  <c r="AG16" i="3" s="1"/>
  <c r="AH16" i="3" s="1"/>
  <c r="AI16" i="3" s="1"/>
  <c r="AJ16" i="3" s="1"/>
  <c r="AM24" i="3"/>
  <c r="AA2" i="3"/>
  <c r="AB2" i="3" s="1"/>
  <c r="AC2" i="3" s="1"/>
  <c r="AD2" i="3" s="1"/>
  <c r="AE2" i="3" s="1"/>
  <c r="AF2" i="3" s="1"/>
  <c r="AG2" i="3" s="1"/>
  <c r="AH2" i="3" s="1"/>
  <c r="AI2" i="3" s="1"/>
  <c r="AJ2" i="3" s="1"/>
  <c r="AM2" i="3"/>
  <c r="AA2" i="2"/>
  <c r="AB2" i="2" s="1"/>
  <c r="AC2" i="2" s="1"/>
  <c r="AD2" i="2" s="1"/>
  <c r="AE2" i="2" s="1"/>
  <c r="AF2" i="2" s="1"/>
  <c r="AG2" i="2" s="1"/>
  <c r="AH2" i="2" s="1"/>
  <c r="AI2" i="2" s="1"/>
  <c r="AJ2" i="2" s="1"/>
  <c r="AM2" i="2"/>
  <c r="AA16" i="2"/>
  <c r="AB16" i="2" s="1"/>
  <c r="AC16" i="2" s="1"/>
  <c r="AD16" i="2" s="1"/>
  <c r="AE16" i="2" s="1"/>
  <c r="AF16" i="2" s="1"/>
  <c r="AG16" i="2" s="1"/>
  <c r="AH16" i="2" s="1"/>
  <c r="AI16" i="2" s="1"/>
  <c r="AJ16" i="2" s="1"/>
  <c r="AM24" i="2"/>
  <c r="AB5" i="2"/>
  <c r="AC5" i="2" s="1"/>
  <c r="AD5" i="2" s="1"/>
  <c r="AE5" i="2" s="1"/>
  <c r="AF5" i="2" s="1"/>
  <c r="AG5" i="2" s="1"/>
  <c r="AH5" i="2" s="1"/>
  <c r="AI5" i="2" s="1"/>
  <c r="AJ5" i="2" s="1"/>
  <c r="AJ6" i="2" s="1"/>
  <c r="AI6" i="2" s="1"/>
  <c r="AH6" i="2" s="1"/>
  <c r="AG6" i="2" s="1"/>
  <c r="AF6" i="2" s="1"/>
  <c r="AE6" i="2" s="1"/>
  <c r="AD6" i="2" s="1"/>
  <c r="AC6" i="2" s="1"/>
  <c r="AB6" i="2" s="1"/>
  <c r="AA6" i="2" s="1"/>
  <c r="Z6" i="2" s="1"/>
  <c r="B25" i="2" s="1"/>
  <c r="C25" i="2" s="1"/>
  <c r="AB19" i="2"/>
  <c r="AC19" i="2" s="1"/>
  <c r="AD19" i="2" s="1"/>
  <c r="AE19" i="2" s="1"/>
  <c r="AF19" i="2" s="1"/>
  <c r="AG19" i="2" s="1"/>
  <c r="AH19" i="2" s="1"/>
  <c r="AI19" i="2" s="1"/>
  <c r="AJ19" i="2" s="1"/>
  <c r="AJ20" i="2" s="1"/>
  <c r="AI20" i="2" s="1"/>
  <c r="AH20" i="2" s="1"/>
  <c r="AG20" i="2" s="1"/>
  <c r="AF20" i="2" s="1"/>
  <c r="AE20" i="2" s="1"/>
  <c r="AD20" i="2" s="1"/>
  <c r="AC20" i="2" s="1"/>
  <c r="AB20" i="2" s="1"/>
  <c r="AA20" i="2" s="1"/>
  <c r="Z20" i="2" s="1"/>
  <c r="B27" i="2" s="1"/>
  <c r="C27" i="2" s="1"/>
  <c r="AM13" i="2"/>
  <c r="AA9" i="2"/>
  <c r="AB9" i="2" s="1"/>
  <c r="AC9" i="2" s="1"/>
  <c r="AD9" i="2" s="1"/>
  <c r="AE9" i="2" s="1"/>
  <c r="AF9" i="2" s="1"/>
  <c r="AG9" i="2" s="1"/>
  <c r="AH9" i="2" s="1"/>
  <c r="AI9" i="2" s="1"/>
  <c r="AJ9" i="2" s="1"/>
  <c r="AP33" i="24" l="1"/>
  <c r="AQ33" i="24" s="1"/>
  <c r="AR33" i="24" s="1"/>
  <c r="AS33" i="24" s="1"/>
  <c r="AT33" i="24" s="1"/>
  <c r="AU33" i="24" s="1"/>
  <c r="AV33" i="24" s="1"/>
  <c r="AW33" i="24" s="1"/>
  <c r="AP11" i="24"/>
  <c r="AQ11" i="24" s="1"/>
  <c r="AR11" i="24" s="1"/>
  <c r="AS11" i="24" s="1"/>
  <c r="AT11" i="24" s="1"/>
  <c r="AU11" i="24" s="1"/>
  <c r="AV11" i="24" s="1"/>
  <c r="AW11" i="24" s="1"/>
  <c r="AP22" i="24"/>
  <c r="AQ22" i="24" s="1"/>
  <c r="AR22" i="24" s="1"/>
  <c r="AS22" i="24" s="1"/>
  <c r="AT22" i="24" s="1"/>
  <c r="AU22" i="24" s="1"/>
  <c r="AV22" i="24" s="1"/>
  <c r="AW22" i="24" s="1"/>
  <c r="AP11" i="23"/>
  <c r="AQ11" i="23" s="1"/>
  <c r="AR11" i="23" s="1"/>
  <c r="AS11" i="23" s="1"/>
  <c r="AT11" i="23" s="1"/>
  <c r="AU11" i="23" s="1"/>
  <c r="AV11" i="23" s="1"/>
  <c r="AW11" i="23" s="1"/>
  <c r="AY33" i="23"/>
  <c r="AZ33" i="23" s="1"/>
  <c r="BA33" i="23" s="1"/>
  <c r="D31" i="23" s="1"/>
  <c r="E31" i="23" s="1"/>
  <c r="F31" i="23" s="1"/>
  <c r="AP22" i="23"/>
  <c r="AQ22" i="23" s="1"/>
  <c r="AR22" i="23" s="1"/>
  <c r="AS22" i="23" s="1"/>
  <c r="AT22" i="23" s="1"/>
  <c r="AU22" i="23" s="1"/>
  <c r="AV22" i="23" s="1"/>
  <c r="AW22" i="23" s="1"/>
  <c r="F29" i="7"/>
  <c r="AY32" i="10"/>
  <c r="AZ32" i="10" s="1"/>
  <c r="BA32" i="10" s="1"/>
  <c r="D30" i="10" s="1"/>
  <c r="E30" i="10" s="1"/>
  <c r="F30" i="10" s="1"/>
  <c r="AY11" i="22"/>
  <c r="AZ11" i="22" s="1"/>
  <c r="BA11" i="22" s="1"/>
  <c r="AP33" i="22"/>
  <c r="AQ33" i="22" s="1"/>
  <c r="AR33" i="22" s="1"/>
  <c r="AS33" i="22" s="1"/>
  <c r="AT33" i="22" s="1"/>
  <c r="AU33" i="22" s="1"/>
  <c r="AV33" i="22" s="1"/>
  <c r="AW33" i="22" s="1"/>
  <c r="AP22" i="22"/>
  <c r="AQ22" i="22" s="1"/>
  <c r="AR22" i="22" s="1"/>
  <c r="AS22" i="22" s="1"/>
  <c r="AT22" i="22" s="1"/>
  <c r="AU22" i="22" s="1"/>
  <c r="AV22" i="22" s="1"/>
  <c r="AW22" i="22" s="1"/>
  <c r="AO32" i="7"/>
  <c r="AP32" i="7" s="1"/>
  <c r="AQ32" i="7" s="1"/>
  <c r="AR32" i="7" s="1"/>
  <c r="AS32" i="7" s="1"/>
  <c r="AT32" i="7" s="1"/>
  <c r="AU32" i="7" s="1"/>
  <c r="AV32" i="7" s="1"/>
  <c r="AW32" i="7" s="1"/>
  <c r="AO10" i="7"/>
  <c r="AP10" i="7" s="1"/>
  <c r="AQ10" i="7" s="1"/>
  <c r="AR10" i="7" s="1"/>
  <c r="AS10" i="7" s="1"/>
  <c r="AT10" i="7" s="1"/>
  <c r="AU10" i="7" s="1"/>
  <c r="AV10" i="7" s="1"/>
  <c r="AW10" i="7" s="1"/>
  <c r="AP11" i="21"/>
  <c r="AQ11" i="21" s="1"/>
  <c r="AR11" i="21" s="1"/>
  <c r="AS11" i="21" s="1"/>
  <c r="AT11" i="21" s="1"/>
  <c r="AU11" i="21" s="1"/>
  <c r="AV11" i="21" s="1"/>
  <c r="AW11" i="21" s="1"/>
  <c r="AY22" i="21"/>
  <c r="AZ22" i="21" s="1"/>
  <c r="BA22" i="21" s="1"/>
  <c r="D30" i="21" s="1"/>
  <c r="E30" i="21" s="1"/>
  <c r="F30" i="21" s="1"/>
  <c r="AY33" i="21"/>
  <c r="AZ33" i="21" s="1"/>
  <c r="BA33" i="21" s="1"/>
  <c r="D31" i="21" s="1"/>
  <c r="E31" i="21" s="1"/>
  <c r="F31" i="21" s="1"/>
  <c r="AP11" i="20"/>
  <c r="AQ11" i="20" s="1"/>
  <c r="AR11" i="20" s="1"/>
  <c r="AS11" i="20" s="1"/>
  <c r="AT11" i="20" s="1"/>
  <c r="AU11" i="20" s="1"/>
  <c r="AV11" i="20" s="1"/>
  <c r="AW11" i="20" s="1"/>
  <c r="AY22" i="20"/>
  <c r="AZ22" i="20" s="1"/>
  <c r="BA22" i="20" s="1"/>
  <c r="D30" i="20" s="1"/>
  <c r="E30" i="20" s="1"/>
  <c r="F30" i="20" s="1"/>
  <c r="AY33" i="20"/>
  <c r="AZ33" i="20" s="1"/>
  <c r="BA33" i="20" s="1"/>
  <c r="D31" i="20" s="1"/>
  <c r="E31" i="20" s="1"/>
  <c r="F31" i="20" s="1"/>
  <c r="AY10" i="10"/>
  <c r="AZ10" i="10" s="1"/>
  <c r="BA10" i="10" s="1"/>
  <c r="D28" i="10" s="1"/>
  <c r="E28" i="10" s="1"/>
  <c r="F28" i="10" s="1"/>
  <c r="AY10" i="8"/>
  <c r="AZ10" i="8" s="1"/>
  <c r="BA10" i="8" s="1"/>
  <c r="D28" i="8" s="1"/>
  <c r="E28" i="8" s="1"/>
  <c r="F28" i="8" s="1"/>
  <c r="AP11" i="19"/>
  <c r="AQ11" i="19" s="1"/>
  <c r="AR11" i="19" s="1"/>
  <c r="AS11" i="19" s="1"/>
  <c r="AT11" i="19" s="1"/>
  <c r="AU11" i="19" s="1"/>
  <c r="AV11" i="19" s="1"/>
  <c r="AW11" i="19" s="1"/>
  <c r="AY22" i="19"/>
  <c r="AZ22" i="19" s="1"/>
  <c r="BA22" i="19" s="1"/>
  <c r="D30" i="19" s="1"/>
  <c r="E30" i="19" s="1"/>
  <c r="F30" i="19" s="1"/>
  <c r="AY33" i="19"/>
  <c r="AZ33" i="19" s="1"/>
  <c r="BA33" i="19" s="1"/>
  <c r="D31" i="19" s="1"/>
  <c r="E31" i="19" s="1"/>
  <c r="F31" i="19" s="1"/>
  <c r="AP11" i="18"/>
  <c r="AQ11" i="18" s="1"/>
  <c r="AR11" i="18" s="1"/>
  <c r="AS11" i="18" s="1"/>
  <c r="AT11" i="18" s="1"/>
  <c r="AU11" i="18" s="1"/>
  <c r="AV11" i="18" s="1"/>
  <c r="AW11" i="18" s="1"/>
  <c r="AP22" i="18"/>
  <c r="AQ22" i="18" s="1"/>
  <c r="AR22" i="18" s="1"/>
  <c r="AS22" i="18" s="1"/>
  <c r="AT22" i="18" s="1"/>
  <c r="AU22" i="18" s="1"/>
  <c r="AV22" i="18" s="1"/>
  <c r="AW22" i="18" s="1"/>
  <c r="AY33" i="18"/>
  <c r="AZ33" i="18" s="1"/>
  <c r="BA33" i="18" s="1"/>
  <c r="D31" i="18" s="1"/>
  <c r="E31" i="18" s="1"/>
  <c r="F31" i="18" s="1"/>
  <c r="AY22" i="17"/>
  <c r="AZ22" i="17" s="1"/>
  <c r="BA22" i="17" s="1"/>
  <c r="D30" i="17" s="1"/>
  <c r="E30" i="17" s="1"/>
  <c r="F30" i="17" s="1"/>
  <c r="AP11" i="17"/>
  <c r="AQ11" i="17" s="1"/>
  <c r="AR11" i="17" s="1"/>
  <c r="AS11" i="17" s="1"/>
  <c r="AT11" i="17" s="1"/>
  <c r="AU11" i="17" s="1"/>
  <c r="AV11" i="17" s="1"/>
  <c r="AW11" i="17" s="1"/>
  <c r="AY33" i="17"/>
  <c r="AZ33" i="17" s="1"/>
  <c r="BA33" i="17" s="1"/>
  <c r="D31" i="17" s="1"/>
  <c r="E31" i="17" s="1"/>
  <c r="F31" i="17" s="1"/>
  <c r="AP11" i="16"/>
  <c r="AQ11" i="16" s="1"/>
  <c r="AR11" i="16" s="1"/>
  <c r="AS11" i="16" s="1"/>
  <c r="AT11" i="16" s="1"/>
  <c r="AU11" i="16" s="1"/>
  <c r="AV11" i="16" s="1"/>
  <c r="AW11" i="16" s="1"/>
  <c r="AP22" i="16"/>
  <c r="AQ22" i="16" s="1"/>
  <c r="AR22" i="16" s="1"/>
  <c r="AS22" i="16" s="1"/>
  <c r="AT22" i="16" s="1"/>
  <c r="AU22" i="16" s="1"/>
  <c r="AV22" i="16" s="1"/>
  <c r="AW22" i="16" s="1"/>
  <c r="AY33" i="16"/>
  <c r="AZ33" i="16" s="1"/>
  <c r="BA33" i="16" s="1"/>
  <c r="D31" i="16" s="1"/>
  <c r="E31" i="16" s="1"/>
  <c r="F31" i="16" s="1"/>
  <c r="AO22" i="15"/>
  <c r="AO21" i="15"/>
  <c r="AP21" i="15" s="1"/>
  <c r="AQ21" i="15" s="1"/>
  <c r="AR21" i="15" s="1"/>
  <c r="AS21" i="15" s="1"/>
  <c r="AT21" i="15" s="1"/>
  <c r="AU21" i="15" s="1"/>
  <c r="AV21" i="15" s="1"/>
  <c r="AW21" i="15" s="1"/>
  <c r="AX21" i="15" s="1"/>
  <c r="AX22" i="15" s="1"/>
  <c r="AO33" i="15"/>
  <c r="AP33" i="15" s="1"/>
  <c r="AQ33" i="15" s="1"/>
  <c r="AR33" i="15" s="1"/>
  <c r="AS33" i="15" s="1"/>
  <c r="AT33" i="15" s="1"/>
  <c r="AU33" i="15" s="1"/>
  <c r="AV33" i="15" s="1"/>
  <c r="AW33" i="15" s="1"/>
  <c r="AO32" i="15"/>
  <c r="AP32" i="15" s="1"/>
  <c r="AQ32" i="15" s="1"/>
  <c r="AR32" i="15" s="1"/>
  <c r="AS32" i="15" s="1"/>
  <c r="AT32" i="15" s="1"/>
  <c r="AU32" i="15" s="1"/>
  <c r="AV32" i="15" s="1"/>
  <c r="AW32" i="15" s="1"/>
  <c r="AX32" i="15" s="1"/>
  <c r="AX33" i="15" s="1"/>
  <c r="AO11" i="15"/>
  <c r="AP11" i="15" s="1"/>
  <c r="AQ11" i="15" s="1"/>
  <c r="AR11" i="15" s="1"/>
  <c r="AS11" i="15" s="1"/>
  <c r="AT11" i="15" s="1"/>
  <c r="AU11" i="15" s="1"/>
  <c r="AV11" i="15" s="1"/>
  <c r="AW11" i="15" s="1"/>
  <c r="AO10" i="15"/>
  <c r="AP10" i="15" s="1"/>
  <c r="AQ10" i="15" s="1"/>
  <c r="AR10" i="15" s="1"/>
  <c r="AS10" i="15" s="1"/>
  <c r="AT10" i="15" s="1"/>
  <c r="AU10" i="15" s="1"/>
  <c r="AV10" i="15" s="1"/>
  <c r="AW10" i="15" s="1"/>
  <c r="AX10" i="15" s="1"/>
  <c r="AX11" i="15" s="1"/>
  <c r="AY21" i="8"/>
  <c r="AZ21" i="8" s="1"/>
  <c r="BA21" i="8" s="1"/>
  <c r="D29" i="8" s="1"/>
  <c r="E29" i="8" s="1"/>
  <c r="F29" i="8" s="1"/>
  <c r="AO22" i="14"/>
  <c r="AO21" i="14"/>
  <c r="AP21" i="14" s="1"/>
  <c r="AQ21" i="14" s="1"/>
  <c r="AR21" i="14" s="1"/>
  <c r="AS21" i="14" s="1"/>
  <c r="AT21" i="14" s="1"/>
  <c r="AU21" i="14" s="1"/>
  <c r="AV21" i="14" s="1"/>
  <c r="AW21" i="14" s="1"/>
  <c r="AX21" i="14" s="1"/>
  <c r="AX22" i="14" s="1"/>
  <c r="AO11" i="14"/>
  <c r="AP11" i="14" s="1"/>
  <c r="AQ11" i="14" s="1"/>
  <c r="AR11" i="14" s="1"/>
  <c r="AS11" i="14" s="1"/>
  <c r="AT11" i="14" s="1"/>
  <c r="AU11" i="14" s="1"/>
  <c r="AV11" i="14" s="1"/>
  <c r="AW11" i="14" s="1"/>
  <c r="AO10" i="14"/>
  <c r="AP10" i="14" s="1"/>
  <c r="AQ10" i="14" s="1"/>
  <c r="AR10" i="14" s="1"/>
  <c r="AS10" i="14" s="1"/>
  <c r="AT10" i="14" s="1"/>
  <c r="AU10" i="14" s="1"/>
  <c r="AV10" i="14" s="1"/>
  <c r="AW10" i="14" s="1"/>
  <c r="AX10" i="14" s="1"/>
  <c r="AX11" i="14" s="1"/>
  <c r="AO33" i="14"/>
  <c r="AO32" i="14"/>
  <c r="AP32" i="14" s="1"/>
  <c r="AQ32" i="14" s="1"/>
  <c r="AR32" i="14" s="1"/>
  <c r="AS32" i="14" s="1"/>
  <c r="AT32" i="14" s="1"/>
  <c r="AU32" i="14" s="1"/>
  <c r="AV32" i="14" s="1"/>
  <c r="AW32" i="14" s="1"/>
  <c r="AX32" i="14" s="1"/>
  <c r="AX33" i="14" s="1"/>
  <c r="AO22" i="13"/>
  <c r="AO21" i="13"/>
  <c r="AP21" i="13" s="1"/>
  <c r="AQ21" i="13" s="1"/>
  <c r="AR21" i="13" s="1"/>
  <c r="AS21" i="13" s="1"/>
  <c r="AT21" i="13" s="1"/>
  <c r="AU21" i="13" s="1"/>
  <c r="AV21" i="13" s="1"/>
  <c r="AW21" i="13" s="1"/>
  <c r="AX21" i="13" s="1"/>
  <c r="AX22" i="13" s="1"/>
  <c r="AO11" i="13"/>
  <c r="AO10" i="13"/>
  <c r="AP10" i="13" s="1"/>
  <c r="AQ10" i="13" s="1"/>
  <c r="AR10" i="13" s="1"/>
  <c r="AS10" i="13" s="1"/>
  <c r="AT10" i="13" s="1"/>
  <c r="AU10" i="13" s="1"/>
  <c r="AV10" i="13" s="1"/>
  <c r="AW10" i="13" s="1"/>
  <c r="AX10" i="13" s="1"/>
  <c r="AX11" i="13" s="1"/>
  <c r="AO33" i="13"/>
  <c r="AP33" i="13" s="1"/>
  <c r="AQ33" i="13" s="1"/>
  <c r="AR33" i="13" s="1"/>
  <c r="AS33" i="13" s="1"/>
  <c r="AT33" i="13" s="1"/>
  <c r="AU33" i="13" s="1"/>
  <c r="AV33" i="13" s="1"/>
  <c r="AW33" i="13" s="1"/>
  <c r="AO32" i="13"/>
  <c r="AP32" i="13" s="1"/>
  <c r="AQ32" i="13" s="1"/>
  <c r="AR32" i="13" s="1"/>
  <c r="AS32" i="13" s="1"/>
  <c r="AT32" i="13" s="1"/>
  <c r="AU32" i="13" s="1"/>
  <c r="AV32" i="13" s="1"/>
  <c r="AW32" i="13" s="1"/>
  <c r="AX32" i="13" s="1"/>
  <c r="AX33" i="13" s="1"/>
  <c r="AY21" i="6"/>
  <c r="AZ21" i="6" s="1"/>
  <c r="BA21" i="6" s="1"/>
  <c r="D29" i="6" s="1"/>
  <c r="E29" i="6" s="1"/>
  <c r="F29" i="6" s="1"/>
  <c r="AO21" i="12"/>
  <c r="AO20" i="12"/>
  <c r="AP20" i="12" s="1"/>
  <c r="AQ20" i="12" s="1"/>
  <c r="AR20" i="12" s="1"/>
  <c r="AS20" i="12" s="1"/>
  <c r="AT20" i="12" s="1"/>
  <c r="AU20" i="12" s="1"/>
  <c r="AV20" i="12" s="1"/>
  <c r="AW20" i="12" s="1"/>
  <c r="AX20" i="12" s="1"/>
  <c r="AX21" i="12" s="1"/>
  <c r="AO32" i="12"/>
  <c r="AP32" i="12" s="1"/>
  <c r="AQ32" i="12" s="1"/>
  <c r="AR32" i="12" s="1"/>
  <c r="AS32" i="12" s="1"/>
  <c r="AT32" i="12" s="1"/>
  <c r="AU32" i="12" s="1"/>
  <c r="AV32" i="12" s="1"/>
  <c r="AW32" i="12" s="1"/>
  <c r="AO31" i="12"/>
  <c r="AP31" i="12" s="1"/>
  <c r="AQ31" i="12" s="1"/>
  <c r="AR31" i="12" s="1"/>
  <c r="AS31" i="12" s="1"/>
  <c r="AT31" i="12" s="1"/>
  <c r="AU31" i="12" s="1"/>
  <c r="AV31" i="12" s="1"/>
  <c r="AW31" i="12" s="1"/>
  <c r="AX31" i="12" s="1"/>
  <c r="AX32" i="12" s="1"/>
  <c r="AO10" i="12"/>
  <c r="AO9" i="12"/>
  <c r="AP9" i="12" s="1"/>
  <c r="AQ9" i="12" s="1"/>
  <c r="AR9" i="12" s="1"/>
  <c r="AS9" i="12" s="1"/>
  <c r="AT9" i="12" s="1"/>
  <c r="AU9" i="12" s="1"/>
  <c r="AV9" i="12" s="1"/>
  <c r="AW9" i="12" s="1"/>
  <c r="AX9" i="12" s="1"/>
  <c r="AX10" i="12" s="1"/>
  <c r="AO32" i="11"/>
  <c r="AP32" i="11" s="1"/>
  <c r="AQ32" i="11" s="1"/>
  <c r="AR32" i="11" s="1"/>
  <c r="AS32" i="11" s="1"/>
  <c r="AT32" i="11" s="1"/>
  <c r="AU32" i="11" s="1"/>
  <c r="AV32" i="11" s="1"/>
  <c r="AW32" i="11" s="1"/>
  <c r="AO31" i="11"/>
  <c r="AP31" i="11" s="1"/>
  <c r="AQ31" i="11" s="1"/>
  <c r="AR31" i="11" s="1"/>
  <c r="AS31" i="11" s="1"/>
  <c r="AT31" i="11" s="1"/>
  <c r="AU31" i="11" s="1"/>
  <c r="AV31" i="11" s="1"/>
  <c r="AW31" i="11" s="1"/>
  <c r="AX31" i="11" s="1"/>
  <c r="AX32" i="11" s="1"/>
  <c r="AO9" i="11"/>
  <c r="AP9" i="11" s="1"/>
  <c r="AQ9" i="11" s="1"/>
  <c r="AR9" i="11" s="1"/>
  <c r="AS9" i="11" s="1"/>
  <c r="AT9" i="11" s="1"/>
  <c r="AU9" i="11" s="1"/>
  <c r="AV9" i="11" s="1"/>
  <c r="AW9" i="11" s="1"/>
  <c r="AX9" i="11" s="1"/>
  <c r="AX10" i="11" s="1"/>
  <c r="AO10" i="11"/>
  <c r="AO21" i="11"/>
  <c r="AO20" i="11"/>
  <c r="AP20" i="11" s="1"/>
  <c r="AQ20" i="11" s="1"/>
  <c r="AR20" i="11" s="1"/>
  <c r="AS20" i="11" s="1"/>
  <c r="AT20" i="11" s="1"/>
  <c r="AU20" i="11" s="1"/>
  <c r="AV20" i="11" s="1"/>
  <c r="AW20" i="11" s="1"/>
  <c r="AX20" i="11" s="1"/>
  <c r="AX21" i="11" s="1"/>
  <c r="AO32" i="6"/>
  <c r="AP32" i="6" s="1"/>
  <c r="AQ32" i="6" s="1"/>
  <c r="AR32" i="6" s="1"/>
  <c r="AS32" i="6" s="1"/>
  <c r="AT32" i="6" s="1"/>
  <c r="AU32" i="6" s="1"/>
  <c r="AV32" i="6" s="1"/>
  <c r="AW32" i="6" s="1"/>
  <c r="AY32" i="6" s="1"/>
  <c r="AZ32" i="6" s="1"/>
  <c r="BA32" i="6" s="1"/>
  <c r="D30" i="6" s="1"/>
  <c r="E30" i="6" s="1"/>
  <c r="F30" i="6" s="1"/>
  <c r="AY21" i="10"/>
  <c r="AZ21" i="10" s="1"/>
  <c r="BA21" i="10" s="1"/>
  <c r="D29" i="10" s="1"/>
  <c r="E29" i="10" s="1"/>
  <c r="F29" i="10" s="1"/>
  <c r="AY10" i="9"/>
  <c r="AZ10" i="9" s="1"/>
  <c r="BA10" i="9" s="1"/>
  <c r="D28" i="9" s="1"/>
  <c r="E28" i="9" s="1"/>
  <c r="F28" i="9" s="1"/>
  <c r="AP21" i="9"/>
  <c r="AQ21" i="9" s="1"/>
  <c r="AR21" i="9" s="1"/>
  <c r="AS21" i="9" s="1"/>
  <c r="AT21" i="9" s="1"/>
  <c r="AU21" i="9" s="1"/>
  <c r="AV21" i="9" s="1"/>
  <c r="AW21" i="9" s="1"/>
  <c r="AY32" i="8"/>
  <c r="AZ32" i="8" s="1"/>
  <c r="BA32" i="8" s="1"/>
  <c r="D30" i="8" s="1"/>
  <c r="E30" i="8" s="1"/>
  <c r="F30" i="8" s="1"/>
  <c r="AY32" i="7"/>
  <c r="AZ32" i="7" s="1"/>
  <c r="BA32" i="7" s="1"/>
  <c r="D30" i="7" s="1"/>
  <c r="E30" i="7" s="1"/>
  <c r="F30" i="7" s="1"/>
  <c r="AY10" i="7"/>
  <c r="AZ10" i="7" s="1"/>
  <c r="BA10" i="7" s="1"/>
  <c r="D28" i="7" s="1"/>
  <c r="E28" i="7" s="1"/>
  <c r="F28" i="7" s="1"/>
  <c r="AY10" i="6"/>
  <c r="AZ10" i="6" s="1"/>
  <c r="BA10" i="6" s="1"/>
  <c r="D28" i="6" s="1"/>
  <c r="E28" i="6" s="1"/>
  <c r="F28" i="6" s="1"/>
  <c r="Z6" i="5"/>
  <c r="B27" i="5" s="1"/>
  <c r="C27" i="5" s="1"/>
  <c r="AO34" i="5"/>
  <c r="AP34" i="5" s="1"/>
  <c r="AQ34" i="5" s="1"/>
  <c r="AR34" i="5" s="1"/>
  <c r="AS34" i="5" s="1"/>
  <c r="AT34" i="5" s="1"/>
  <c r="AU34" i="5" s="1"/>
  <c r="AV34" i="5" s="1"/>
  <c r="AW34" i="5" s="1"/>
  <c r="AO33" i="5"/>
  <c r="AP33" i="5" s="1"/>
  <c r="AQ33" i="5" s="1"/>
  <c r="AR33" i="5" s="1"/>
  <c r="AS33" i="5" s="1"/>
  <c r="AT33" i="5" s="1"/>
  <c r="AU33" i="5" s="1"/>
  <c r="AV33" i="5" s="1"/>
  <c r="AW33" i="5" s="1"/>
  <c r="AX33" i="5" s="1"/>
  <c r="AX34" i="5" s="1"/>
  <c r="AO21" i="5"/>
  <c r="AP21" i="5" s="1"/>
  <c r="AQ21" i="5" s="1"/>
  <c r="AR21" i="5" s="1"/>
  <c r="AS21" i="5" s="1"/>
  <c r="AT21" i="5" s="1"/>
  <c r="AU21" i="5" s="1"/>
  <c r="AV21" i="5" s="1"/>
  <c r="AW21" i="5" s="1"/>
  <c r="AO20" i="5"/>
  <c r="AP20" i="5" s="1"/>
  <c r="AQ20" i="5" s="1"/>
  <c r="AR20" i="5" s="1"/>
  <c r="AS20" i="5" s="1"/>
  <c r="AT20" i="5" s="1"/>
  <c r="AU20" i="5" s="1"/>
  <c r="AV20" i="5" s="1"/>
  <c r="AW20" i="5" s="1"/>
  <c r="AX20" i="5" s="1"/>
  <c r="AX21" i="5" s="1"/>
  <c r="AO10" i="5"/>
  <c r="AP10" i="5" s="1"/>
  <c r="AQ10" i="5" s="1"/>
  <c r="AR10" i="5" s="1"/>
  <c r="AS10" i="5" s="1"/>
  <c r="AT10" i="5" s="1"/>
  <c r="AU10" i="5" s="1"/>
  <c r="AV10" i="5" s="1"/>
  <c r="AW10" i="5" s="1"/>
  <c r="AO9" i="5"/>
  <c r="AP9" i="5" s="1"/>
  <c r="AQ9" i="5" s="1"/>
  <c r="AR9" i="5" s="1"/>
  <c r="AS9" i="5" s="1"/>
  <c r="AT9" i="5" s="1"/>
  <c r="AU9" i="5" s="1"/>
  <c r="AV9" i="5" s="1"/>
  <c r="AW9" i="5" s="1"/>
  <c r="AX9" i="5" s="1"/>
  <c r="AX10" i="5" s="1"/>
  <c r="AO32" i="3"/>
  <c r="AP32" i="3" s="1"/>
  <c r="AQ32" i="3" s="1"/>
  <c r="AR32" i="3" s="1"/>
  <c r="AS32" i="3" s="1"/>
  <c r="AT32" i="3" s="1"/>
  <c r="AU32" i="3" s="1"/>
  <c r="AV32" i="3" s="1"/>
  <c r="AW32" i="3" s="1"/>
  <c r="AO31" i="3"/>
  <c r="AP31" i="3" s="1"/>
  <c r="AQ31" i="3" s="1"/>
  <c r="AR31" i="3" s="1"/>
  <c r="AS31" i="3" s="1"/>
  <c r="AT31" i="3" s="1"/>
  <c r="AU31" i="3" s="1"/>
  <c r="AV31" i="3" s="1"/>
  <c r="AW31" i="3" s="1"/>
  <c r="AX31" i="3" s="1"/>
  <c r="AX32" i="3" s="1"/>
  <c r="AO21" i="3"/>
  <c r="AO20" i="3"/>
  <c r="AP20" i="3" s="1"/>
  <c r="AQ20" i="3" s="1"/>
  <c r="AR20" i="3" s="1"/>
  <c r="AS20" i="3" s="1"/>
  <c r="AT20" i="3" s="1"/>
  <c r="AU20" i="3" s="1"/>
  <c r="AV20" i="3" s="1"/>
  <c r="AW20" i="3" s="1"/>
  <c r="AX20" i="3" s="1"/>
  <c r="AX21" i="3" s="1"/>
  <c r="AO10" i="3"/>
  <c r="AP10" i="3" s="1"/>
  <c r="AQ10" i="3" s="1"/>
  <c r="AR10" i="3" s="1"/>
  <c r="AS10" i="3" s="1"/>
  <c r="AT10" i="3" s="1"/>
  <c r="AU10" i="3" s="1"/>
  <c r="AV10" i="3" s="1"/>
  <c r="AW10" i="3" s="1"/>
  <c r="AO9" i="3"/>
  <c r="AP9" i="3" s="1"/>
  <c r="AQ9" i="3" s="1"/>
  <c r="AR9" i="3" s="1"/>
  <c r="AS9" i="3" s="1"/>
  <c r="AT9" i="3" s="1"/>
  <c r="AU9" i="3" s="1"/>
  <c r="AV9" i="3" s="1"/>
  <c r="AW9" i="3" s="1"/>
  <c r="AX9" i="3" s="1"/>
  <c r="AX10" i="3" s="1"/>
  <c r="AO32" i="2"/>
  <c r="AP32" i="2" s="1"/>
  <c r="AQ32" i="2" s="1"/>
  <c r="AR32" i="2" s="1"/>
  <c r="AS32" i="2" s="1"/>
  <c r="AT32" i="2" s="1"/>
  <c r="AU32" i="2" s="1"/>
  <c r="AV32" i="2" s="1"/>
  <c r="AW32" i="2" s="1"/>
  <c r="AO31" i="2"/>
  <c r="AP31" i="2" s="1"/>
  <c r="AQ31" i="2" s="1"/>
  <c r="AR31" i="2" s="1"/>
  <c r="AS31" i="2" s="1"/>
  <c r="AT31" i="2" s="1"/>
  <c r="AU31" i="2" s="1"/>
  <c r="AV31" i="2" s="1"/>
  <c r="AW31" i="2" s="1"/>
  <c r="AX31" i="2" s="1"/>
  <c r="AX32" i="2" s="1"/>
  <c r="AO21" i="2"/>
  <c r="AP21" i="2" s="1"/>
  <c r="AQ21" i="2" s="1"/>
  <c r="AR21" i="2" s="1"/>
  <c r="AS21" i="2" s="1"/>
  <c r="AT21" i="2" s="1"/>
  <c r="AU21" i="2" s="1"/>
  <c r="AV21" i="2" s="1"/>
  <c r="AW21" i="2" s="1"/>
  <c r="AO20" i="2"/>
  <c r="AP20" i="2" s="1"/>
  <c r="AQ20" i="2" s="1"/>
  <c r="AR20" i="2" s="1"/>
  <c r="AS20" i="2" s="1"/>
  <c r="AT20" i="2" s="1"/>
  <c r="AU20" i="2" s="1"/>
  <c r="AV20" i="2" s="1"/>
  <c r="AW20" i="2" s="1"/>
  <c r="AX20" i="2" s="1"/>
  <c r="AX21" i="2" s="1"/>
  <c r="AO9" i="2"/>
  <c r="AP9" i="2" s="1"/>
  <c r="AQ9" i="2" s="1"/>
  <c r="AR9" i="2" s="1"/>
  <c r="AS9" i="2" s="1"/>
  <c r="AT9" i="2" s="1"/>
  <c r="AU9" i="2" s="1"/>
  <c r="AV9" i="2" s="1"/>
  <c r="AW9" i="2" s="1"/>
  <c r="AX9" i="2" s="1"/>
  <c r="AX10" i="2" s="1"/>
  <c r="AO10" i="2"/>
  <c r="AY22" i="24" l="1"/>
  <c r="AZ22" i="24" s="1"/>
  <c r="BA22" i="24" s="1"/>
  <c r="D30" i="24" s="1"/>
  <c r="E30" i="24" s="1"/>
  <c r="F30" i="24" s="1"/>
  <c r="AY11" i="24"/>
  <c r="AZ11" i="24" s="1"/>
  <c r="BA11" i="24" s="1"/>
  <c r="D29" i="24" s="1"/>
  <c r="E29" i="24" s="1"/>
  <c r="F29" i="24" s="1"/>
  <c r="AY33" i="24"/>
  <c r="AZ33" i="24" s="1"/>
  <c r="BA33" i="24" s="1"/>
  <c r="D31" i="24" s="1"/>
  <c r="E31" i="24" s="1"/>
  <c r="F31" i="24" s="1"/>
  <c r="AY11" i="23"/>
  <c r="AZ11" i="23" s="1"/>
  <c r="BA11" i="23" s="1"/>
  <c r="D29" i="23" s="1"/>
  <c r="E29" i="23" s="1"/>
  <c r="F29" i="23" s="1"/>
  <c r="AY22" i="23"/>
  <c r="AZ22" i="23" s="1"/>
  <c r="BA22" i="23" s="1"/>
  <c r="D30" i="23" s="1"/>
  <c r="E30" i="23" s="1"/>
  <c r="F30" i="23" s="1"/>
  <c r="D29" i="22"/>
  <c r="E29" i="22" s="1"/>
  <c r="F29" i="22" s="1"/>
  <c r="AY22" i="22"/>
  <c r="AZ22" i="22" s="1"/>
  <c r="BA22" i="22" s="1"/>
  <c r="D30" i="22" s="1"/>
  <c r="E30" i="22" s="1"/>
  <c r="F30" i="22" s="1"/>
  <c r="AY33" i="22"/>
  <c r="AZ33" i="22" s="1"/>
  <c r="BA33" i="22" s="1"/>
  <c r="D31" i="22" s="1"/>
  <c r="E31" i="22" s="1"/>
  <c r="F31" i="22" s="1"/>
  <c r="AY11" i="21"/>
  <c r="AZ11" i="21" s="1"/>
  <c r="BA11" i="21" s="1"/>
  <c r="D29" i="21" s="1"/>
  <c r="E29" i="21" s="1"/>
  <c r="F29" i="21" s="1"/>
  <c r="AY11" i="20"/>
  <c r="AZ11" i="20" s="1"/>
  <c r="BA11" i="20" s="1"/>
  <c r="D29" i="20" s="1"/>
  <c r="E29" i="20" s="1"/>
  <c r="F29" i="20" s="1"/>
  <c r="AY11" i="19"/>
  <c r="AZ11" i="19" s="1"/>
  <c r="BA11" i="19" s="1"/>
  <c r="D29" i="19" s="1"/>
  <c r="E29" i="19" s="1"/>
  <c r="F29" i="19" s="1"/>
  <c r="AY22" i="18"/>
  <c r="AZ22" i="18" s="1"/>
  <c r="BA22" i="18" s="1"/>
  <c r="D30" i="18" s="1"/>
  <c r="E30" i="18" s="1"/>
  <c r="F30" i="18" s="1"/>
  <c r="AY11" i="18"/>
  <c r="AZ11" i="18" s="1"/>
  <c r="BA11" i="18" s="1"/>
  <c r="D29" i="18" s="1"/>
  <c r="E29" i="18" s="1"/>
  <c r="F29" i="18" s="1"/>
  <c r="AY11" i="17"/>
  <c r="AZ11" i="17" s="1"/>
  <c r="BA11" i="17" s="1"/>
  <c r="D29" i="17" s="1"/>
  <c r="E29" i="17" s="1"/>
  <c r="F29" i="17" s="1"/>
  <c r="AY11" i="16"/>
  <c r="AZ11" i="16" s="1"/>
  <c r="BA11" i="16" s="1"/>
  <c r="D29" i="16" s="1"/>
  <c r="E29" i="16" s="1"/>
  <c r="F29" i="16" s="1"/>
  <c r="AY22" i="16"/>
  <c r="AZ22" i="16" s="1"/>
  <c r="BA22" i="16" s="1"/>
  <c r="D30" i="16" s="1"/>
  <c r="E30" i="16" s="1"/>
  <c r="F30" i="16" s="1"/>
  <c r="AP22" i="15"/>
  <c r="AQ22" i="15" s="1"/>
  <c r="AR22" i="15" s="1"/>
  <c r="AS22" i="15" s="1"/>
  <c r="AT22" i="15" s="1"/>
  <c r="AU22" i="15" s="1"/>
  <c r="AV22" i="15" s="1"/>
  <c r="AW22" i="15" s="1"/>
  <c r="AY11" i="15"/>
  <c r="AZ11" i="15" s="1"/>
  <c r="BA11" i="15" s="1"/>
  <c r="D29" i="15" s="1"/>
  <c r="E29" i="15" s="1"/>
  <c r="F29" i="15" s="1"/>
  <c r="AY33" i="15"/>
  <c r="AZ33" i="15" s="1"/>
  <c r="BA33" i="15" s="1"/>
  <c r="D31" i="15" s="1"/>
  <c r="E31" i="15" s="1"/>
  <c r="F31" i="15" s="1"/>
  <c r="AP33" i="14"/>
  <c r="AQ33" i="14" s="1"/>
  <c r="AR33" i="14" s="1"/>
  <c r="AS33" i="14" s="1"/>
  <c r="AT33" i="14" s="1"/>
  <c r="AU33" i="14" s="1"/>
  <c r="AV33" i="14" s="1"/>
  <c r="AW33" i="14" s="1"/>
  <c r="AY11" i="14"/>
  <c r="AZ11" i="14" s="1"/>
  <c r="BA11" i="14" s="1"/>
  <c r="D29" i="14" s="1"/>
  <c r="E29" i="14" s="1"/>
  <c r="F29" i="14" s="1"/>
  <c r="AP22" i="14"/>
  <c r="AQ22" i="14" s="1"/>
  <c r="AR22" i="14" s="1"/>
  <c r="AS22" i="14" s="1"/>
  <c r="AT22" i="14" s="1"/>
  <c r="AU22" i="14" s="1"/>
  <c r="AV22" i="14" s="1"/>
  <c r="AW22" i="14" s="1"/>
  <c r="AY33" i="13"/>
  <c r="AZ33" i="13" s="1"/>
  <c r="BA33" i="13" s="1"/>
  <c r="D31" i="13" s="1"/>
  <c r="E31" i="13" s="1"/>
  <c r="F31" i="13" s="1"/>
  <c r="AP11" i="13"/>
  <c r="AQ11" i="13" s="1"/>
  <c r="AR11" i="13" s="1"/>
  <c r="AS11" i="13" s="1"/>
  <c r="AT11" i="13" s="1"/>
  <c r="AU11" i="13" s="1"/>
  <c r="AV11" i="13" s="1"/>
  <c r="AW11" i="13" s="1"/>
  <c r="AP22" i="13"/>
  <c r="AQ22" i="13" s="1"/>
  <c r="AR22" i="13" s="1"/>
  <c r="AS22" i="13" s="1"/>
  <c r="AT22" i="13" s="1"/>
  <c r="AU22" i="13" s="1"/>
  <c r="AV22" i="13" s="1"/>
  <c r="AW22" i="13" s="1"/>
  <c r="AY32" i="12"/>
  <c r="AZ32" i="12" s="1"/>
  <c r="BA32" i="12" s="1"/>
  <c r="D30" i="12" s="1"/>
  <c r="E30" i="12" s="1"/>
  <c r="F30" i="12" s="1"/>
  <c r="AP21" i="12"/>
  <c r="AQ21" i="12" s="1"/>
  <c r="AR21" i="12" s="1"/>
  <c r="AS21" i="12" s="1"/>
  <c r="AT21" i="12" s="1"/>
  <c r="AU21" i="12" s="1"/>
  <c r="AV21" i="12" s="1"/>
  <c r="AW21" i="12" s="1"/>
  <c r="AP10" i="12"/>
  <c r="AQ10" i="12" s="1"/>
  <c r="AR10" i="12" s="1"/>
  <c r="AS10" i="12" s="1"/>
  <c r="AT10" i="12" s="1"/>
  <c r="AU10" i="12" s="1"/>
  <c r="AV10" i="12" s="1"/>
  <c r="AW10" i="12" s="1"/>
  <c r="AP10" i="11"/>
  <c r="AQ10" i="11" s="1"/>
  <c r="AR10" i="11" s="1"/>
  <c r="AS10" i="11" s="1"/>
  <c r="AT10" i="11" s="1"/>
  <c r="AU10" i="11" s="1"/>
  <c r="AV10" i="11" s="1"/>
  <c r="AW10" i="11" s="1"/>
  <c r="AP21" i="11"/>
  <c r="AQ21" i="11" s="1"/>
  <c r="AR21" i="11" s="1"/>
  <c r="AS21" i="11" s="1"/>
  <c r="AT21" i="11" s="1"/>
  <c r="AU21" i="11" s="1"/>
  <c r="AV21" i="11" s="1"/>
  <c r="AW21" i="11" s="1"/>
  <c r="AY32" i="11"/>
  <c r="AZ32" i="11" s="1"/>
  <c r="BA32" i="11" s="1"/>
  <c r="D30" i="11" s="1"/>
  <c r="E30" i="11" s="1"/>
  <c r="F30" i="11" s="1"/>
  <c r="AY21" i="9"/>
  <c r="AZ21" i="9" s="1"/>
  <c r="BA21" i="9" s="1"/>
  <c r="D29" i="9" s="1"/>
  <c r="E29" i="9" s="1"/>
  <c r="F29" i="9" s="1"/>
  <c r="AY21" i="5"/>
  <c r="AZ21" i="5" s="1"/>
  <c r="BA21" i="5" s="1"/>
  <c r="D28" i="5" s="1"/>
  <c r="E28" i="5" s="1"/>
  <c r="AY10" i="5"/>
  <c r="AZ10" i="5" s="1"/>
  <c r="BA10" i="5" s="1"/>
  <c r="D27" i="5" s="1"/>
  <c r="E27" i="5" s="1"/>
  <c r="AY34" i="5"/>
  <c r="AZ34" i="5" s="1"/>
  <c r="BA34" i="5" s="1"/>
  <c r="AP21" i="3"/>
  <c r="AQ21" i="3" s="1"/>
  <c r="AR21" i="3" s="1"/>
  <c r="AS21" i="3" s="1"/>
  <c r="AT21" i="3" s="1"/>
  <c r="AU21" i="3" s="1"/>
  <c r="AV21" i="3" s="1"/>
  <c r="AW21" i="3" s="1"/>
  <c r="AY10" i="3"/>
  <c r="AZ10" i="3" s="1"/>
  <c r="BA10" i="3" s="1"/>
  <c r="D25" i="3" s="1"/>
  <c r="E25" i="3" s="1"/>
  <c r="AY32" i="3"/>
  <c r="AZ32" i="3" s="1"/>
  <c r="BA32" i="3" s="1"/>
  <c r="AY21" i="2"/>
  <c r="AZ21" i="2" s="1"/>
  <c r="BA21" i="2" s="1"/>
  <c r="D26" i="2" s="1"/>
  <c r="E26" i="2" s="1"/>
  <c r="AP10" i="2"/>
  <c r="AQ10" i="2" s="1"/>
  <c r="AR10" i="2" s="1"/>
  <c r="AS10" i="2" s="1"/>
  <c r="AT10" i="2" s="1"/>
  <c r="AU10" i="2" s="1"/>
  <c r="AV10" i="2" s="1"/>
  <c r="AW10" i="2" s="1"/>
  <c r="AY32" i="2"/>
  <c r="AZ32" i="2" s="1"/>
  <c r="BA32" i="2" s="1"/>
  <c r="AM27" i="1"/>
  <c r="AM28" i="1"/>
  <c r="AM29" i="1"/>
  <c r="AM26" i="1"/>
  <c r="AM24" i="1"/>
  <c r="AN32" i="1" s="1"/>
  <c r="AM16" i="1"/>
  <c r="AM17" i="1"/>
  <c r="AM18" i="1"/>
  <c r="AM15" i="1"/>
  <c r="AM13" i="1"/>
  <c r="AN21" i="1" s="1"/>
  <c r="Z18" i="1"/>
  <c r="AA18" i="1" s="1"/>
  <c r="AB18" i="1" s="1"/>
  <c r="AC18" i="1" s="1"/>
  <c r="AD18" i="1" s="1"/>
  <c r="AE18" i="1" s="1"/>
  <c r="AF18" i="1" s="1"/>
  <c r="AG18" i="1" s="1"/>
  <c r="AH18" i="1" s="1"/>
  <c r="AI18" i="1" s="1"/>
  <c r="AJ18" i="1" s="1"/>
  <c r="Z11" i="1"/>
  <c r="AA11" i="1" s="1"/>
  <c r="AB11" i="1" s="1"/>
  <c r="AC11" i="1" s="1"/>
  <c r="AD11" i="1" s="1"/>
  <c r="AE11" i="1" s="1"/>
  <c r="AF11" i="1" s="1"/>
  <c r="AG11" i="1" s="1"/>
  <c r="AH11" i="1" s="1"/>
  <c r="AI11" i="1" s="1"/>
  <c r="AJ11" i="1" s="1"/>
  <c r="AN10" i="1"/>
  <c r="Z20" i="1"/>
  <c r="AA20" i="1" s="1"/>
  <c r="Z19" i="1"/>
  <c r="AA19" i="1" s="1"/>
  <c r="AB19" i="1" s="1"/>
  <c r="AC19" i="1" s="1"/>
  <c r="AD19" i="1" s="1"/>
  <c r="AE19" i="1" s="1"/>
  <c r="AF19" i="1" s="1"/>
  <c r="AG19" i="1" s="1"/>
  <c r="AH19" i="1" s="1"/>
  <c r="AI19" i="1" s="1"/>
  <c r="AJ19" i="1" s="1"/>
  <c r="Z12" i="1"/>
  <c r="AA12" i="1" s="1"/>
  <c r="AB12" i="1" s="1"/>
  <c r="AC12" i="1" s="1"/>
  <c r="AD12" i="1" s="1"/>
  <c r="AE12" i="1" s="1"/>
  <c r="AF12" i="1" s="1"/>
  <c r="AG12" i="1" s="1"/>
  <c r="AH12" i="1" s="1"/>
  <c r="AI12" i="1" s="1"/>
  <c r="AJ12" i="1" s="1"/>
  <c r="Z13" i="1"/>
  <c r="AA13" i="1" s="1"/>
  <c r="AA5" i="1"/>
  <c r="AA4" i="1"/>
  <c r="AB4" i="1" s="1"/>
  <c r="AC4" i="1" s="1"/>
  <c r="AD4" i="1" s="1"/>
  <c r="AE4" i="1" s="1"/>
  <c r="AF4" i="1" s="1"/>
  <c r="AG4" i="1" s="1"/>
  <c r="AH4" i="1" s="1"/>
  <c r="AI4" i="1" s="1"/>
  <c r="AJ4" i="1" s="1"/>
  <c r="AA3" i="1"/>
  <c r="AB3" i="1" s="1"/>
  <c r="AC3" i="1" s="1"/>
  <c r="AD3" i="1" s="1"/>
  <c r="AE3" i="1" s="1"/>
  <c r="AF3" i="1" s="1"/>
  <c r="AG3" i="1" s="1"/>
  <c r="AH3" i="1" s="1"/>
  <c r="AI3" i="1" s="1"/>
  <c r="AJ3" i="1" s="1"/>
  <c r="E22" i="1"/>
  <c r="W1" i="1"/>
  <c r="V1" i="1" s="1"/>
  <c r="U1" i="1" s="1"/>
  <c r="T1" i="1" s="1"/>
  <c r="S1" i="1" s="1"/>
  <c r="R1" i="1" s="1"/>
  <c r="Q1" i="1" s="1"/>
  <c r="P1" i="1" s="1"/>
  <c r="O1" i="1" s="1"/>
  <c r="N1" i="1" s="1"/>
  <c r="M1" i="1" s="1"/>
  <c r="I3" i="1"/>
  <c r="B17" i="1" s="1"/>
  <c r="K7" i="1"/>
  <c r="D21" i="1" s="1"/>
  <c r="J7" i="1"/>
  <c r="C21" i="1" s="1"/>
  <c r="I7" i="1"/>
  <c r="B21" i="1" s="1"/>
  <c r="K6" i="1"/>
  <c r="D20" i="1" s="1"/>
  <c r="J6" i="1"/>
  <c r="C20" i="1" s="1"/>
  <c r="I6" i="1"/>
  <c r="B20" i="1" s="1"/>
  <c r="K5" i="1"/>
  <c r="D19" i="1" s="1"/>
  <c r="J5" i="1"/>
  <c r="C19" i="1" s="1"/>
  <c r="I5" i="1"/>
  <c r="B19" i="1" s="1"/>
  <c r="K4" i="1"/>
  <c r="D18" i="1" s="1"/>
  <c r="J4" i="1"/>
  <c r="C18" i="1" s="1"/>
  <c r="I4" i="1"/>
  <c r="K3" i="1"/>
  <c r="D17" i="1" s="1"/>
  <c r="J3" i="1"/>
  <c r="C17" i="1" s="1"/>
  <c r="AY22" i="15" l="1"/>
  <c r="AZ22" i="15" s="1"/>
  <c r="BA22" i="15" s="1"/>
  <c r="D30" i="15" s="1"/>
  <c r="E30" i="15" s="1"/>
  <c r="F30" i="15" s="1"/>
  <c r="AY22" i="14"/>
  <c r="AZ22" i="14" s="1"/>
  <c r="BA22" i="14" s="1"/>
  <c r="D30" i="14" s="1"/>
  <c r="E30" i="14" s="1"/>
  <c r="F30" i="14" s="1"/>
  <c r="AY33" i="14"/>
  <c r="AZ33" i="14" s="1"/>
  <c r="BA33" i="14" s="1"/>
  <c r="D31" i="14" s="1"/>
  <c r="E31" i="14" s="1"/>
  <c r="F31" i="14" s="1"/>
  <c r="AY22" i="13"/>
  <c r="AZ22" i="13" s="1"/>
  <c r="BA22" i="13" s="1"/>
  <c r="D30" i="13" s="1"/>
  <c r="E30" i="13" s="1"/>
  <c r="F30" i="13" s="1"/>
  <c r="AY11" i="13"/>
  <c r="AZ11" i="13" s="1"/>
  <c r="BA11" i="13" s="1"/>
  <c r="D29" i="13" s="1"/>
  <c r="E29" i="13" s="1"/>
  <c r="F29" i="13" s="1"/>
  <c r="AY10" i="12"/>
  <c r="AZ10" i="12" s="1"/>
  <c r="BA10" i="12" s="1"/>
  <c r="D28" i="12" s="1"/>
  <c r="E28" i="12" s="1"/>
  <c r="F28" i="12" s="1"/>
  <c r="AY21" i="12"/>
  <c r="AZ21" i="12" s="1"/>
  <c r="BA21" i="12" s="1"/>
  <c r="D29" i="12" s="1"/>
  <c r="E29" i="12" s="1"/>
  <c r="F29" i="12" s="1"/>
  <c r="AY10" i="11"/>
  <c r="AZ10" i="11" s="1"/>
  <c r="BA10" i="11" s="1"/>
  <c r="D28" i="11" s="1"/>
  <c r="E28" i="11" s="1"/>
  <c r="F28" i="11" s="1"/>
  <c r="AY21" i="11"/>
  <c r="AZ21" i="11" s="1"/>
  <c r="BA21" i="11" s="1"/>
  <c r="D29" i="11" s="1"/>
  <c r="E29" i="11" s="1"/>
  <c r="F29" i="11" s="1"/>
  <c r="AY21" i="3"/>
  <c r="AZ21" i="3" s="1"/>
  <c r="BA21" i="3" s="1"/>
  <c r="D26" i="3" s="1"/>
  <c r="E26" i="3" s="1"/>
  <c r="AY10" i="2"/>
  <c r="AZ10" i="2" s="1"/>
  <c r="BA10" i="2" s="1"/>
  <c r="D25" i="2" s="1"/>
  <c r="E25" i="2" s="1"/>
  <c r="AN33" i="1"/>
  <c r="AN22" i="1"/>
  <c r="AN11" i="1"/>
  <c r="B18" i="1"/>
  <c r="A26" i="1" s="1"/>
  <c r="A31" i="1" l="1"/>
  <c r="A30" i="1"/>
  <c r="A29" i="1"/>
  <c r="Z10" i="1"/>
  <c r="AM14" i="1" s="1"/>
  <c r="Z2" i="1"/>
  <c r="AM2" i="1" s="1"/>
  <c r="Z17" i="1"/>
  <c r="AM25" i="1" s="1"/>
  <c r="AA17" i="1" l="1"/>
  <c r="AB17" i="1" s="1"/>
  <c r="AC17" i="1" s="1"/>
  <c r="AD17" i="1" s="1"/>
  <c r="AE17" i="1" s="1"/>
  <c r="AF17" i="1" s="1"/>
  <c r="AG17" i="1" s="1"/>
  <c r="AH17" i="1" s="1"/>
  <c r="AI17" i="1" s="1"/>
  <c r="AJ17" i="1" s="1"/>
  <c r="AB5" i="1"/>
  <c r="AC5" i="1" s="1"/>
  <c r="AD5" i="1" s="1"/>
  <c r="AE5" i="1" s="1"/>
  <c r="AF5" i="1" s="1"/>
  <c r="AG5" i="1" s="1"/>
  <c r="AH5" i="1" s="1"/>
  <c r="AI5" i="1" s="1"/>
  <c r="AJ5" i="1" s="1"/>
  <c r="AJ6" i="1" s="1"/>
  <c r="AI6" i="1" s="1"/>
  <c r="AH6" i="1" s="1"/>
  <c r="AG6" i="1" s="1"/>
  <c r="AF6" i="1" s="1"/>
  <c r="AE6" i="1" s="1"/>
  <c r="AD6" i="1" s="1"/>
  <c r="AC6" i="1" s="1"/>
  <c r="AB6" i="1" s="1"/>
  <c r="AA6" i="1" s="1"/>
  <c r="Z6" i="1" s="1"/>
  <c r="B29" i="1" s="1"/>
  <c r="C29" i="1" s="1"/>
  <c r="AB20" i="1"/>
  <c r="AC20" i="1" s="1"/>
  <c r="AD20" i="1" s="1"/>
  <c r="AE20" i="1" s="1"/>
  <c r="AF20" i="1" s="1"/>
  <c r="AG20" i="1" s="1"/>
  <c r="AH20" i="1" s="1"/>
  <c r="AI20" i="1" s="1"/>
  <c r="AJ20" i="1" s="1"/>
  <c r="AJ21" i="1" s="1"/>
  <c r="AI21" i="1" s="1"/>
  <c r="AH21" i="1" s="1"/>
  <c r="AG21" i="1" s="1"/>
  <c r="AF21" i="1" s="1"/>
  <c r="AE21" i="1" s="1"/>
  <c r="AD21" i="1" s="1"/>
  <c r="AC21" i="1" s="1"/>
  <c r="AB21" i="1" s="1"/>
  <c r="AA21" i="1" s="1"/>
  <c r="Z21" i="1" s="1"/>
  <c r="B31" i="1" s="1"/>
  <c r="C31" i="1" s="1"/>
  <c r="AB13" i="1"/>
  <c r="AC13" i="1" s="1"/>
  <c r="AD13" i="1" s="1"/>
  <c r="AE13" i="1" s="1"/>
  <c r="AF13" i="1" s="1"/>
  <c r="AG13" i="1" s="1"/>
  <c r="AH13" i="1" s="1"/>
  <c r="AI13" i="1" s="1"/>
  <c r="AJ13" i="1" s="1"/>
  <c r="AJ14" i="1" s="1"/>
  <c r="AI14" i="1" s="1"/>
  <c r="AH14" i="1" s="1"/>
  <c r="AG14" i="1" s="1"/>
  <c r="AF14" i="1" s="1"/>
  <c r="AE14" i="1" s="1"/>
  <c r="AD14" i="1" s="1"/>
  <c r="AC14" i="1" s="1"/>
  <c r="AB14" i="1" s="1"/>
  <c r="AA14" i="1" s="1"/>
  <c r="Z14" i="1" s="1"/>
  <c r="B30" i="1" s="1"/>
  <c r="C30" i="1" s="1"/>
  <c r="AA2" i="1"/>
  <c r="AB2" i="1" s="1"/>
  <c r="AC2" i="1" s="1"/>
  <c r="AD2" i="1" s="1"/>
  <c r="AE2" i="1" s="1"/>
  <c r="AF2" i="1" s="1"/>
  <c r="AG2" i="1" s="1"/>
  <c r="AH2" i="1" s="1"/>
  <c r="AI2" i="1" s="1"/>
  <c r="AJ2" i="1" s="1"/>
  <c r="AA10" i="1"/>
  <c r="AB10" i="1" s="1"/>
  <c r="AC10" i="1" s="1"/>
  <c r="AD10" i="1" s="1"/>
  <c r="AE10" i="1" s="1"/>
  <c r="AF10" i="1" s="1"/>
  <c r="AG10" i="1" s="1"/>
  <c r="AH10" i="1" s="1"/>
  <c r="AI10" i="1" s="1"/>
  <c r="AJ10" i="1" s="1"/>
  <c r="AO22" i="1"/>
  <c r="AP22" i="1" s="1"/>
  <c r="AQ22" i="1" s="1"/>
  <c r="AR22" i="1" s="1"/>
  <c r="AS22" i="1" s="1"/>
  <c r="AT22" i="1" s="1"/>
  <c r="AU22" i="1" s="1"/>
  <c r="AV22" i="1" s="1"/>
  <c r="AW22" i="1" s="1"/>
  <c r="AO21" i="1"/>
  <c r="AP21" i="1" s="1"/>
  <c r="AQ21" i="1" s="1"/>
  <c r="AR21" i="1" s="1"/>
  <c r="AS21" i="1" s="1"/>
  <c r="AT21" i="1" s="1"/>
  <c r="AU21" i="1" s="1"/>
  <c r="AV21" i="1" s="1"/>
  <c r="AW21" i="1" s="1"/>
  <c r="AX21" i="1" s="1"/>
  <c r="AX22" i="1" s="1"/>
  <c r="AO32" i="1"/>
  <c r="AP32" i="1" s="1"/>
  <c r="AQ32" i="1" s="1"/>
  <c r="AR32" i="1" s="1"/>
  <c r="AS32" i="1" s="1"/>
  <c r="AT32" i="1" s="1"/>
  <c r="AU32" i="1" s="1"/>
  <c r="AV32" i="1" s="1"/>
  <c r="AW32" i="1" s="1"/>
  <c r="AX32" i="1" s="1"/>
  <c r="AX33" i="1" s="1"/>
  <c r="AO33" i="1"/>
  <c r="AP33" i="1" s="1"/>
  <c r="AQ33" i="1" s="1"/>
  <c r="AR33" i="1" s="1"/>
  <c r="AS33" i="1" s="1"/>
  <c r="AT33" i="1" s="1"/>
  <c r="AU33" i="1" s="1"/>
  <c r="AV33" i="1" s="1"/>
  <c r="AW33" i="1" s="1"/>
  <c r="AO10" i="1"/>
  <c r="AP10" i="1" s="1"/>
  <c r="AQ10" i="1" s="1"/>
  <c r="AR10" i="1" s="1"/>
  <c r="AS10" i="1" s="1"/>
  <c r="AT10" i="1" s="1"/>
  <c r="AU10" i="1" s="1"/>
  <c r="AV10" i="1" s="1"/>
  <c r="AW10" i="1" s="1"/>
  <c r="AX10" i="1" s="1"/>
  <c r="AX11" i="1" s="1"/>
  <c r="AO11" i="1"/>
  <c r="AY22" i="1" l="1"/>
  <c r="AZ22" i="1" s="1"/>
  <c r="BA22" i="1" s="1"/>
  <c r="D30" i="1" s="1"/>
  <c r="E30" i="1" s="1"/>
  <c r="F30" i="1" s="1"/>
  <c r="AY33" i="1"/>
  <c r="AZ33" i="1" s="1"/>
  <c r="BA33" i="1" s="1"/>
  <c r="D31" i="1" s="1"/>
  <c r="E31" i="1" s="1"/>
  <c r="F31" i="1" s="1"/>
  <c r="AP11" i="1"/>
  <c r="AQ11" i="1" s="1"/>
  <c r="AR11" i="1" s="1"/>
  <c r="AS11" i="1" s="1"/>
  <c r="AT11" i="1" s="1"/>
  <c r="AU11" i="1" s="1"/>
  <c r="AV11" i="1" s="1"/>
  <c r="AW11" i="1" s="1"/>
  <c r="AY11" i="1" l="1"/>
  <c r="AZ11" i="1" s="1"/>
  <c r="BA11" i="1" s="1"/>
  <c r="D29" i="1" s="1"/>
  <c r="E29" i="1" l="1"/>
  <c r="F2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tc={46552B9C-02DB-4135-A0A8-ADF02DE6D0DF}</author>
    <author>tc={C41765E5-03AF-4720-9396-2FFC17A01475}</author>
    <author>tc={0558FD3A-1F96-48DB-B90D-5E5F298162D7}</author>
    <author>tc={13D905A1-E411-42C1-A966-76ADB353C7D0}</author>
    <author>tc={480AE1C6-9375-495F-8158-0285A144A9B6}</author>
    <author>tc={F078B20B-C641-4DC9-907C-961036161CD6}</author>
    <author>tc={A1EB6ED1-4DF2-434D-BE73-7BCAE9F23C26}</author>
    <author>tc={B3322854-119C-4CB3-B66B-E5F9D9F3CD33}</author>
    <author>tc={FF3EA551-4C19-4D46-A864-2BBD6F080DFA}</author>
  </authors>
  <commentList>
    <comment ref="Y2"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0" authorId="3"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2"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3" authorId="5"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7" authorId="6"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9" authorId="7"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20" authorId="8"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tc={D1CBB5A9-9EE7-4E14-87D6-471C05483B0E}</author>
    <author>tc={71D77C32-0E70-48FF-B0F7-0A6D543A86FC}</author>
    <author>tc={CE07D08F-CE21-4181-8266-B2532EE7947A}</author>
    <author>tc={A29B63B4-6FBD-40A1-9055-2E0FDFC8B020}</author>
    <author>tc={1C21F7F9-CE0B-4325-A4AF-2AC8961DEB6D}</author>
    <author>tc={34938C6D-0D0D-4C52-9724-6B144D758CD7}</author>
    <author>tc={DEDEFBDA-DED4-4CD0-A19B-060DDA6FF459}</author>
    <author>tc={28BC678A-533E-4B7E-9C34-AC1277108C40}</author>
    <author>tc={1431B19A-FE8C-4FEA-A691-1ED183784716}</author>
  </authors>
  <commentList>
    <comment ref="Y2" authorId="0" shapeId="0" xr:uid="{D1CBB5A9-9EE7-4E14-87D6-471C05483B0E}">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71D77C32-0E70-48FF-B0F7-0A6D543A86FC}">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CE07D08F-CE21-4181-8266-B2532EE7947A}">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0" authorId="3" shapeId="0" xr:uid="{A29B63B4-6FBD-40A1-9055-2E0FDFC8B020}">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2" authorId="4" shapeId="0" xr:uid="{1C21F7F9-CE0B-4325-A4AF-2AC8961DEB6D}">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3" authorId="5" shapeId="0" xr:uid="{34938C6D-0D0D-4C52-9724-6B144D758CD7}">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7" authorId="6" shapeId="0" xr:uid="{DEDEFBDA-DED4-4CD0-A19B-060DDA6FF459}">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9" authorId="7" shapeId="0" xr:uid="{28BC678A-533E-4B7E-9C34-AC1277108C40}">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20" authorId="8" shapeId="0" xr:uid="{1431B19A-FE8C-4FEA-A691-1ED183784716}">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tc={BF503D7B-1476-4D3A-9C02-010C03990DFE}</author>
    <author>tc={EB8AB5FC-CE20-4235-9809-806C797A7346}</author>
    <author>tc={88D73639-4038-4DA5-B4C9-313DEE1B4B2F}</author>
    <author>tc={4C35F764-E97F-44A5-AE52-20A2E67434F5}</author>
    <author>tc={F69829DC-420F-4E0C-AE2F-6976F8344F6C}</author>
    <author>tc={D00ECA5D-9CA1-4212-B91F-4A6EC2959416}</author>
    <author>tc={1E2847C9-8671-4A9E-BA69-FF8AEF0ACC58}</author>
    <author>tc={AC803EC5-F413-46E4-98BC-C0335849BEA4}</author>
    <author>tc={0314B067-D645-48D4-A87F-449A20556AD7}</author>
  </authors>
  <commentList>
    <comment ref="Y2" authorId="0" shapeId="0" xr:uid="{BF503D7B-1476-4D3A-9C02-010C03990DFE}">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EB8AB5FC-CE20-4235-9809-806C797A7346}">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88D73639-4038-4DA5-B4C9-313DEE1B4B2F}">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0" authorId="3" shapeId="0" xr:uid="{4C35F764-E97F-44A5-AE52-20A2E67434F5}">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2" authorId="4" shapeId="0" xr:uid="{F69829DC-420F-4E0C-AE2F-6976F8344F6C}">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3" authorId="5" shapeId="0" xr:uid="{D00ECA5D-9CA1-4212-B91F-4A6EC2959416}">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7" authorId="6" shapeId="0" xr:uid="{1E2847C9-8671-4A9E-BA69-FF8AEF0ACC58}">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9" authorId="7" shapeId="0" xr:uid="{AC803EC5-F413-46E4-98BC-C0335849BEA4}">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20" authorId="8" shapeId="0" xr:uid="{0314B067-D645-48D4-A87F-449A20556AD7}">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tc={968476A1-AA61-4524-BF18-B3D32050E410}</author>
    <author>tc={9F9EE82E-5E60-494B-8D8F-C086535BDA92}</author>
    <author>tc={8ABDEA0D-3EC3-47CC-AC90-78F7E9A15CF7}</author>
    <author>tc={617652C8-185D-47A9-B3D2-51D248926329}</author>
    <author>tc={F8B60085-257D-420C-98C9-8152268C8703}</author>
    <author>tc={99C1DA60-82DE-430D-8869-43AA9465DEB8}</author>
    <author>tc={E285492A-9604-4EDD-8DE2-E1BF2EF45ADF}</author>
    <author>tc={1B6728DC-DA13-4016-A852-038EB59E2D92}</author>
    <author>tc={5641C530-6466-48FE-A8C5-5977D0F28663}</author>
  </authors>
  <commentList>
    <comment ref="Y2" authorId="0" shapeId="0" xr:uid="{968476A1-AA61-4524-BF18-B3D32050E410}">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9F9EE82E-5E60-494B-8D8F-C086535BDA92}">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8ABDEA0D-3EC3-47CC-AC90-78F7E9A15CF7}">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0" authorId="3" shapeId="0" xr:uid="{617652C8-185D-47A9-B3D2-51D248926329}">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2" authorId="4" shapeId="0" xr:uid="{F8B60085-257D-420C-98C9-8152268C8703}">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3" authorId="5" shapeId="0" xr:uid="{99C1DA60-82DE-430D-8869-43AA9465DEB8}">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7" authorId="6" shapeId="0" xr:uid="{E285492A-9604-4EDD-8DE2-E1BF2EF45ADF}">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9" authorId="7" shapeId="0" xr:uid="{1B6728DC-DA13-4016-A852-038EB59E2D92}">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20" authorId="8" shapeId="0" xr:uid="{5641C530-6466-48FE-A8C5-5977D0F28663}">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tc={10A657A5-725C-4C58-85C3-64CA6E82AE4E}</author>
    <author>tc={6D37EE30-2411-49C6-84BC-807CF64ED08B}</author>
    <author>tc={7AA1EB78-883F-4E5F-AADF-E6E559751134}</author>
    <author>tc={2F525D67-5EDC-4A69-9956-64A98B9514AB}</author>
    <author>tc={DF6E6789-3390-410E-8DBF-C096DFBD91BA}</author>
    <author>tc={480AE939-5C02-45AD-9CAF-594C3D69B124}</author>
    <author>tc={C56031B3-193C-427C-848A-2A42F09B751B}</author>
    <author>tc={2EF5E8D8-11AF-4D40-AC0C-F68E4CA0ED9D}</author>
    <author>tc={EF802442-5B47-4F87-B597-96B8973BF0ED}</author>
  </authors>
  <commentList>
    <comment ref="Y2" authorId="0" shapeId="0" xr:uid="{10A657A5-725C-4C58-85C3-64CA6E82AE4E}">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6D37EE30-2411-49C6-84BC-807CF64ED08B}">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7AA1EB78-883F-4E5F-AADF-E6E559751134}">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0" authorId="3" shapeId="0" xr:uid="{2F525D67-5EDC-4A69-9956-64A98B9514AB}">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2" authorId="4" shapeId="0" xr:uid="{DF6E6789-3390-410E-8DBF-C096DFBD91BA}">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3" authorId="5" shapeId="0" xr:uid="{480AE939-5C02-45AD-9CAF-594C3D69B124}">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7" authorId="6" shapeId="0" xr:uid="{C56031B3-193C-427C-848A-2A42F09B751B}">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9" authorId="7" shapeId="0" xr:uid="{2EF5E8D8-11AF-4D40-AC0C-F68E4CA0ED9D}">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20" authorId="8" shapeId="0" xr:uid="{EF802442-5B47-4F87-B597-96B8973BF0ED}">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tc={43534D16-0D77-4AF4-BE43-43F83269A5FD}</author>
    <author>tc={EFAE9212-57EC-44DB-AF4D-C9C363FCF26C}</author>
    <author>tc={02ED4E2A-21D8-470F-8E17-1406E25021FE}</author>
    <author>tc={95B3BA2F-ED79-476D-8509-E2F499171489}</author>
    <author>tc={6510AD3D-5988-44A6-9F60-0D4D4DCBEBCE}</author>
    <author>tc={26A4AFDD-AD1A-48A0-A496-1AB5AA60F700}</author>
    <author>tc={807DE49B-F986-4A4E-821A-029C7C33D2BC}</author>
    <author>tc={D9B8B34B-22B9-448F-BACF-6412683E3E79}</author>
    <author>tc={DEA445ED-9495-4035-9281-4284FB497D20}</author>
  </authors>
  <commentList>
    <comment ref="Y2" authorId="0" shapeId="0" xr:uid="{43534D16-0D77-4AF4-BE43-43F83269A5FD}">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EFAE9212-57EC-44DB-AF4D-C9C363FCF26C}">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02ED4E2A-21D8-470F-8E17-1406E25021FE}">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9" authorId="3" shapeId="0" xr:uid="{95B3BA2F-ED79-476D-8509-E2F499171489}">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1" authorId="4" shapeId="0" xr:uid="{6510AD3D-5988-44A6-9F60-0D4D4DCBEBCE}">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2" authorId="5" shapeId="0" xr:uid="{26A4AFDD-AD1A-48A0-A496-1AB5AA60F700}">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6" authorId="6" shapeId="0" xr:uid="{807DE49B-F986-4A4E-821A-029C7C33D2BC}">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8" authorId="7" shapeId="0" xr:uid="{D9B8B34B-22B9-448F-BACF-6412683E3E79}">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9" authorId="8" shapeId="0" xr:uid="{DEA445ED-9495-4035-9281-4284FB497D20}">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tc={714BD2CC-8114-42E8-B59A-EBE2AB8C119F}</author>
    <author>tc={5C9E6170-B7B4-454A-B7FB-2F8FB267465F}</author>
    <author>tc={BAB2911E-99BF-47B4-B009-37DCA55568CF}</author>
    <author>tc={9F55A96A-DDD4-4107-B1D0-84A5E376F533}</author>
    <author>tc={1589B25C-7675-4DE6-866C-6627833A0146}</author>
    <author>tc={CA8CB314-D581-4C9A-99F0-624C53D4C19B}</author>
    <author>tc={2C151CA1-E2F7-4FB8-BC0E-C055AE7048B6}</author>
    <author>tc={B1EECAB6-C27D-4F19-BFB2-D6FA485100F4}</author>
    <author>tc={F7A0A6AB-61BE-4A9B-912F-248A132D0654}</author>
  </authors>
  <commentList>
    <comment ref="Y2" authorId="0" shapeId="0" xr:uid="{714BD2CC-8114-42E8-B59A-EBE2AB8C119F}">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5C9E6170-B7B4-454A-B7FB-2F8FB267465F}">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BAB2911E-99BF-47B4-B009-37DCA55568CF}">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0" authorId="3" shapeId="0" xr:uid="{9F55A96A-DDD4-4107-B1D0-84A5E376F533}">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2" authorId="4" shapeId="0" xr:uid="{1589B25C-7675-4DE6-866C-6627833A0146}">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3" authorId="5" shapeId="0" xr:uid="{CA8CB314-D581-4C9A-99F0-624C53D4C19B}">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7" authorId="6" shapeId="0" xr:uid="{2C151CA1-E2F7-4FB8-BC0E-C055AE7048B6}">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9" authorId="7" shapeId="0" xr:uid="{B1EECAB6-C27D-4F19-BFB2-D6FA485100F4}">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20" authorId="8" shapeId="0" xr:uid="{F7A0A6AB-61BE-4A9B-912F-248A132D0654}">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tc={E7D9086D-0623-473C-BBE1-70C937D31561}</author>
    <author>tc={A4F82913-DC14-4F71-8C39-676A4E40CC75}</author>
    <author>tc={98CBB229-306F-40D6-9A09-7458CD70C344}</author>
    <author>tc={481C7EC8-32FE-4CAE-AB7A-5C14C5619614}</author>
    <author>tc={F5246133-9986-4E41-A5D8-11E60A7E48F6}</author>
    <author>tc={8DB68B9A-3938-4319-AE8E-6E4462D65063}</author>
    <author>tc={8DBC05D2-8F6E-4E2A-A269-7884BED74EB1}</author>
    <author>tc={BA3B963A-BD03-4BF7-ADE7-FFE30123056F}</author>
    <author>tc={F100CB3B-0CC8-4EA2-A0D5-E94BF6110DEB}</author>
  </authors>
  <commentList>
    <comment ref="Y2" authorId="0" shapeId="0" xr:uid="{E7D9086D-0623-473C-BBE1-70C937D31561}">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A4F82913-DC14-4F71-8C39-676A4E40CC75}">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98CBB229-306F-40D6-9A09-7458CD70C344}">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9" authorId="3" shapeId="0" xr:uid="{481C7EC8-32FE-4CAE-AB7A-5C14C5619614}">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1" authorId="4" shapeId="0" xr:uid="{F5246133-9986-4E41-A5D8-11E60A7E48F6}">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2" authorId="5" shapeId="0" xr:uid="{8DB68B9A-3938-4319-AE8E-6E4462D65063}">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6" authorId="6" shapeId="0" xr:uid="{8DBC05D2-8F6E-4E2A-A269-7884BED74EB1}">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8" authorId="7" shapeId="0" xr:uid="{BA3B963A-BD03-4BF7-ADE7-FFE30123056F}">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9" authorId="8" shapeId="0" xr:uid="{F100CB3B-0CC8-4EA2-A0D5-E94BF6110DEB}">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tc={A77BA8A4-1566-4907-A8B9-A29BDC130E1A}</author>
    <author>tc={FAE32A62-477F-47EF-BE8A-4013905396AF}</author>
    <author>tc={30DE680B-8939-42D0-82F6-B2EC77A2A658}</author>
    <author>tc={51EEBF42-CC5B-4B57-AF92-E48D3E1D54AC}</author>
    <author>tc={83FC6A46-2A54-4A3B-A65F-B66CAB4CF25E}</author>
    <author>tc={BB8BFAB0-133D-47C7-AA00-418A39EDFF3C}</author>
    <author>tc={5A1A736C-715A-4B39-A360-6B86768681EE}</author>
    <author>tc={5DCE3CB6-3AEA-4746-8E43-414933544552}</author>
    <author>tc={F4AFFD08-6F49-42CE-A123-78B53E2D913E}</author>
  </authors>
  <commentList>
    <comment ref="Y2" authorId="0" shapeId="0" xr:uid="{A77BA8A4-1566-4907-A8B9-A29BDC130E1A}">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FAE32A62-477F-47EF-BE8A-4013905396AF}">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30DE680B-8939-42D0-82F6-B2EC77A2A658}">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0" authorId="3" shapeId="0" xr:uid="{51EEBF42-CC5B-4B57-AF92-E48D3E1D54AC}">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2" authorId="4" shapeId="0" xr:uid="{83FC6A46-2A54-4A3B-A65F-B66CAB4CF25E}">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3" authorId="5" shapeId="0" xr:uid="{BB8BFAB0-133D-47C7-AA00-418A39EDFF3C}">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7" authorId="6" shapeId="0" xr:uid="{5A1A736C-715A-4B39-A360-6B86768681EE}">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9" authorId="7" shapeId="0" xr:uid="{5DCE3CB6-3AEA-4746-8E43-414933544552}">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20" authorId="8" shapeId="0" xr:uid="{F4AFFD08-6F49-42CE-A123-78B53E2D913E}">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tc={49A12664-EDF9-41CE-BE63-DF0736FB698D}</author>
    <author>tc={15993D78-D925-4A28-88FD-143448EC6677}</author>
    <author>tc={03972004-F77E-42B1-9EC1-417AA60E7D37}</author>
    <author>tc={86F7562E-AA03-4145-98C1-05D14E2C1936}</author>
    <author>tc={128DE2A3-311A-4FF2-8DC5-11FFF6FB4023}</author>
    <author>tc={89258A9C-E1F6-4AB9-A967-E5780A189D86}</author>
    <author>tc={258853AA-C688-4883-88D6-93504FDDBC3E}</author>
    <author>tc={D5142508-4BAB-4FD4-BC53-3428FDF79909}</author>
    <author>tc={741CA072-215B-4237-96E3-FF5BF180FE07}</author>
  </authors>
  <commentList>
    <comment ref="Y2" authorId="0" shapeId="0" xr:uid="{49A12664-EDF9-41CE-BE63-DF0736FB698D}">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15993D78-D925-4A28-88FD-143448EC6677}">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03972004-F77E-42B1-9EC1-417AA60E7D37}">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9" authorId="3" shapeId="0" xr:uid="{86F7562E-AA03-4145-98C1-05D14E2C1936}">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1" authorId="4" shapeId="0" xr:uid="{128DE2A3-311A-4FF2-8DC5-11FFF6FB4023}">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2" authorId="5" shapeId="0" xr:uid="{89258A9C-E1F6-4AB9-A967-E5780A189D86}">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6" authorId="6" shapeId="0" xr:uid="{258853AA-C688-4883-88D6-93504FDDBC3E}">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8" authorId="7" shapeId="0" xr:uid="{D5142508-4BAB-4FD4-BC53-3428FDF79909}">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9" authorId="8" shapeId="0" xr:uid="{741CA072-215B-4237-96E3-FF5BF180FE07}">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tc={A87BE7EA-14A7-4899-B2FF-B0E97B3F2029}</author>
    <author>tc={5FF2127F-FF26-44EA-A534-69C94ECFE99F}</author>
    <author>tc={ADFE0149-A1C6-4033-B097-3787D115228E}</author>
    <author>tc={12879A5D-A9B2-4ABB-B20A-21FAD2039A95}</author>
    <author>tc={DD6DCD86-651F-43CC-80EF-98A7045B2B2C}</author>
    <author>tc={D30FE36C-021F-416F-BAAF-EA8C3BBE0D28}</author>
    <author>tc={C24F6336-DCB5-469A-A677-3996EB0067A5}</author>
    <author>tc={1C2FEA34-E33A-4B81-B318-42877D030A18}</author>
    <author>tc={A31D9FE9-86BD-46FB-8754-B046B2DCEAB0}</author>
  </authors>
  <commentList>
    <comment ref="Y2" authorId="0" shapeId="0" xr:uid="{A87BE7EA-14A7-4899-B2FF-B0E97B3F2029}">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5FF2127F-FF26-44EA-A534-69C94ECFE99F}">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ADFE0149-A1C6-4033-B097-3787D115228E}">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0" authorId="3" shapeId="0" xr:uid="{12879A5D-A9B2-4ABB-B20A-21FAD2039A95}">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2" authorId="4" shapeId="0" xr:uid="{DD6DCD86-651F-43CC-80EF-98A7045B2B2C}">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3" authorId="5" shapeId="0" xr:uid="{D30FE36C-021F-416F-BAAF-EA8C3BBE0D28}">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7" authorId="6" shapeId="0" xr:uid="{C24F6336-DCB5-469A-A677-3996EB0067A5}">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9" authorId="7" shapeId="0" xr:uid="{1C2FEA34-E33A-4B81-B318-42877D030A18}">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20" authorId="8" shapeId="0" xr:uid="{A31D9FE9-86BD-46FB-8754-B046B2DCEAB0}">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tc={D136D9C8-88AB-4FEA-BCC8-AAD611FBFBCC}</author>
    <author>tc={3295C635-A798-4D3C-B802-A0997FD16EE2}</author>
    <author>tc={E003361E-3E8A-4C7B-B6FE-478A92F4F12C}</author>
    <author>tc={BDC23B2D-7E3E-421D-80C5-78A7DB6EF549}</author>
    <author>tc={5BBBB835-0E1F-419E-843D-1D8FA77E4A9B}</author>
    <author>tc={396D6DCB-7293-47C5-A2CA-491C2CD668B8}</author>
    <author>tc={B7BAFB70-6AC9-4920-9055-2F0F6EAA2FB4}</author>
    <author>tc={FB179F8D-8970-446F-A951-0027E72CCE0C}</author>
    <author>tc={29279332-ED92-47E8-936A-86859628AD30}</author>
  </authors>
  <commentList>
    <comment ref="Y2" authorId="0" shapeId="0" xr:uid="{D136D9C8-88AB-4FEA-BCC8-AAD611FBFBCC}">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3295C635-A798-4D3C-B802-A0997FD16EE2}">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E003361E-3E8A-4C7B-B6FE-478A92F4F12C}">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0" authorId="3" shapeId="0" xr:uid="{BDC23B2D-7E3E-421D-80C5-78A7DB6EF549}">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2" authorId="4" shapeId="0" xr:uid="{5BBBB835-0E1F-419E-843D-1D8FA77E4A9B}">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3" authorId="5" shapeId="0" xr:uid="{396D6DCB-7293-47C5-A2CA-491C2CD668B8}">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7" authorId="6" shapeId="0" xr:uid="{B7BAFB70-6AC9-4920-9055-2F0F6EAA2FB4}">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9" authorId="7" shapeId="0" xr:uid="{FB179F8D-8970-446F-A951-0027E72CCE0C}">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20" authorId="8" shapeId="0" xr:uid="{29279332-ED92-47E8-936A-86859628AD30}">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tc={0C3E96D6-BBDD-4558-BF64-72BC4442F9B6}</author>
    <author>tc={E3A9DEAE-E6EF-4FBC-B328-F972306F2AB4}</author>
    <author>tc={A9FAC41C-D2D1-47A4-AD38-B6EDAB54BB41}</author>
    <author>tc={BDCFF2C1-F5E9-4F97-AB25-EF84D0232E80}</author>
    <author>tc={3F6E542C-4478-4B7D-8967-CB6234058FF9}</author>
    <author>tc={107DC844-CA1C-446E-B63C-EEA22CB17A97}</author>
    <author>tc={DED97648-360D-4B93-8FD6-FB6012D27C4F}</author>
    <author>tc={76A1D6D4-813C-4E81-8211-F015588F08B7}</author>
    <author>tc={48FBFE73-446F-490A-A971-7D7B4D31AEA9}</author>
  </authors>
  <commentList>
    <comment ref="Y2" authorId="0" shapeId="0" xr:uid="{0C3E96D6-BBDD-4558-BF64-72BC4442F9B6}">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E3A9DEAE-E6EF-4FBC-B328-F972306F2AB4}">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A9FAC41C-D2D1-47A4-AD38-B6EDAB54BB41}">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9" authorId="3" shapeId="0" xr:uid="{BDCFF2C1-F5E9-4F97-AB25-EF84D0232E80}">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1" authorId="4" shapeId="0" xr:uid="{3F6E542C-4478-4B7D-8967-CB6234058FF9}">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2" authorId="5" shapeId="0" xr:uid="{107DC844-CA1C-446E-B63C-EEA22CB17A97}">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6" authorId="6" shapeId="0" xr:uid="{DED97648-360D-4B93-8FD6-FB6012D27C4F}">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8" authorId="7" shapeId="0" xr:uid="{76A1D6D4-813C-4E81-8211-F015588F08B7}">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9" authorId="8" shapeId="0" xr:uid="{48FBFE73-446F-490A-A971-7D7B4D31AEA9}">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tc={66C5B9DB-3E8F-4CFF-BBC7-C27938B55E69}</author>
    <author>tc={B641A2A3-7762-43EF-9503-B265476567F9}</author>
    <author>tc={E8DBBF3B-BFAB-4EF2-8C9D-614063C0CAF7}</author>
    <author>tc={13FE5701-1410-474C-ABF2-1E684D04DC97}</author>
    <author>tc={16A322B8-5694-4BC1-B1DE-A74E72E8DF08}</author>
    <author>tc={C080F989-C04F-4D08-B1D2-22B44E79AE36}</author>
    <author>tc={CEA6863A-1DE2-4380-99A5-CD8BCDB79944}</author>
    <author>tc={65F9A26C-06AD-4A2E-927A-644CE3AA1AFA}</author>
    <author>tc={9E16A7ED-3C62-4855-8A15-F31504CC0768}</author>
  </authors>
  <commentList>
    <comment ref="Y2" authorId="0" shapeId="0" xr:uid="{66C5B9DB-3E8F-4CFF-BBC7-C27938B55E69}">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B641A2A3-7762-43EF-9503-B265476567F9}">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E8DBBF3B-BFAB-4EF2-8C9D-614063C0CAF7}">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9" authorId="3" shapeId="0" xr:uid="{13FE5701-1410-474C-ABF2-1E684D04DC97}">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1" authorId="4" shapeId="0" xr:uid="{16A322B8-5694-4BC1-B1DE-A74E72E8DF08}">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2" authorId="5" shapeId="0" xr:uid="{C080F989-C04F-4D08-B1D2-22B44E79AE36}">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6" authorId="6" shapeId="0" xr:uid="{CEA6863A-1DE2-4380-99A5-CD8BCDB79944}">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8" authorId="7" shapeId="0" xr:uid="{65F9A26C-06AD-4A2E-927A-644CE3AA1AFA}">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9" authorId="8" shapeId="0" xr:uid="{9E16A7ED-3C62-4855-8A15-F31504CC0768}">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tc={75DF02D3-F414-4866-931A-A6E635EC7848}</author>
    <author>tc={BCA6F05F-BBC1-4B2B-AC0E-B06C6C9B01C1}</author>
    <author>tc={330722E4-9FAF-4B8A-924D-06D98AFC83DB}</author>
    <author>tc={3B5C2391-52A1-4020-9CA0-0150EE3DB43F}</author>
    <author>tc={BDB2B2B4-D903-41DB-A277-65B5927A0A12}</author>
    <author>tc={3D2D241D-4F1F-4D5C-8707-84C715F85074}</author>
    <author>tc={8F03A71A-3A7A-49DA-9E93-B09E8E450A8D}</author>
    <author>tc={2FBF8C8F-9A5F-4C28-AF26-C0B28D0EBF7F}</author>
    <author>tc={5138B1D2-6385-453C-8D20-133D2D0AAED2}</author>
  </authors>
  <commentList>
    <comment ref="Y2" authorId="0" shapeId="0" xr:uid="{75DF02D3-F414-4866-931A-A6E635EC7848}">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BCA6F05F-BBC1-4B2B-AC0E-B06C6C9B01C1}">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330722E4-9FAF-4B8A-924D-06D98AFC83DB}">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9" authorId="3" shapeId="0" xr:uid="{3B5C2391-52A1-4020-9CA0-0150EE3DB43F}">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1" authorId="4" shapeId="0" xr:uid="{BDB2B2B4-D903-41DB-A277-65B5927A0A12}">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2" authorId="5" shapeId="0" xr:uid="{3D2D241D-4F1F-4D5C-8707-84C715F85074}">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6" authorId="6" shapeId="0" xr:uid="{8F03A71A-3A7A-49DA-9E93-B09E8E450A8D}">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8" authorId="7" shapeId="0" xr:uid="{2FBF8C8F-9A5F-4C28-AF26-C0B28D0EBF7F}">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9" authorId="8" shapeId="0" xr:uid="{5138B1D2-6385-453C-8D20-133D2D0AAED2}">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tc={AD6CCDF3-DEF0-4F8F-902D-BB6ED530F305}</author>
    <author>tc={F9DA200C-72F2-4AD8-A173-197535EB1BF2}</author>
    <author>tc={749525B3-FD22-41DD-B4AB-92BFCA6CB9B0}</author>
    <author>tc={0D56D0BE-497E-4F5B-91E4-50F09C7EC7A9}</author>
    <author>tc={F27C2470-1C25-4535-9E86-74E08C57C3FA}</author>
    <author>tc={4E7355F7-B4D6-4ED5-888B-D8DF93DB0E1F}</author>
    <author>tc={3561C90A-3846-4070-A6E2-B693A3A28C69}</author>
    <author>tc={0A4E814F-1FC4-4206-A91A-FF8605200E34}</author>
    <author>tc={20B1BE0D-A943-463B-BD9D-95CB3E719DA9}</author>
  </authors>
  <commentList>
    <comment ref="Y2" authorId="0" shapeId="0" xr:uid="{AD6CCDF3-DEF0-4F8F-902D-BB6ED530F305}">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F9DA200C-72F2-4AD8-A173-197535EB1BF2}">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749525B3-FD22-41DD-B4AB-92BFCA6CB9B0}">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0" authorId="3" shapeId="0" xr:uid="{0D56D0BE-497E-4F5B-91E4-50F09C7EC7A9}">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2" authorId="4" shapeId="0" xr:uid="{F27C2470-1C25-4535-9E86-74E08C57C3FA}">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3" authorId="5" shapeId="0" xr:uid="{4E7355F7-B4D6-4ED5-888B-D8DF93DB0E1F}">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7" authorId="6" shapeId="0" xr:uid="{3561C90A-3846-4070-A6E2-B693A3A28C69}">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9" authorId="7" shapeId="0" xr:uid="{0A4E814F-1FC4-4206-A91A-FF8605200E34}">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20" authorId="8" shapeId="0" xr:uid="{20B1BE0D-A943-463B-BD9D-95CB3E719DA9}">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tc={75898306-F920-4AC8-89BD-5640135FE6C1}</author>
    <author>tc={69DFBD0E-8099-4999-9A36-08F7A77BC915}</author>
    <author>tc={33C5EBC9-C68C-4C12-98AF-63DCF05A69F9}</author>
    <author>tc={CFB4850B-EECC-4E12-8F92-F32F1EF5E98A}</author>
    <author>tc={82196C7D-1F39-499A-9722-D0175DCD0782}</author>
    <author>tc={7808A408-2502-45A6-8FFB-0023968C9F0D}</author>
    <author>tc={3E06192E-D44D-4144-BF06-AD4C0B1B24E7}</author>
    <author>tc={34533892-867A-4F96-A126-C3FA9EB66F58}</author>
    <author>tc={CC0CA38D-125E-4677-A450-60A55A11A44E}</author>
  </authors>
  <commentList>
    <comment ref="Y2" authorId="0" shapeId="0" xr:uid="{75898306-F920-4AC8-89BD-5640135FE6C1}">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69DFBD0E-8099-4999-9A36-08F7A77BC915}">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33C5EBC9-C68C-4C12-98AF-63DCF05A69F9}">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0" authorId="3" shapeId="0" xr:uid="{CFB4850B-EECC-4E12-8F92-F32F1EF5E98A}">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2" authorId="4" shapeId="0" xr:uid="{82196C7D-1F39-499A-9722-D0175DCD0782}">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3" authorId="5" shapeId="0" xr:uid="{7808A408-2502-45A6-8FFB-0023968C9F0D}">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7" authorId="6" shapeId="0" xr:uid="{3E06192E-D44D-4144-BF06-AD4C0B1B24E7}">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9" authorId="7" shapeId="0" xr:uid="{34533892-867A-4F96-A126-C3FA9EB66F58}">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20" authorId="8" shapeId="0" xr:uid="{CC0CA38D-125E-4677-A450-60A55A11A44E}">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tc={4668719B-AD31-4192-95EF-BB2D26265626}</author>
    <author>tc={891BEEEC-54E2-4A97-AA36-C20468960E65}</author>
    <author>tc={1CAAB96F-5FD4-4E9E-A4F5-B415F2783018}</author>
    <author>tc={8F659FF2-342C-47BB-8A94-CDC2D3BD6D3D}</author>
    <author>tc={95D9256A-9D1C-47E8-A21B-29F3C9222212}</author>
    <author>tc={86571361-A586-4185-9887-79AEFE57BF9F}</author>
    <author>tc={942FB8B0-9E23-4B74-8DC1-202821656564}</author>
    <author>tc={0C1772AA-431D-4D66-9004-F2F7887A9417}</author>
    <author>tc={38210693-116C-4C21-A527-C141F0333AED}</author>
  </authors>
  <commentList>
    <comment ref="Y2" authorId="0" shapeId="0" xr:uid="{4668719B-AD31-4192-95EF-BB2D26265626}">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891BEEEC-54E2-4A97-AA36-C20468960E65}">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1CAAB96F-5FD4-4E9E-A4F5-B415F2783018}">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0" authorId="3" shapeId="0" xr:uid="{8F659FF2-342C-47BB-8A94-CDC2D3BD6D3D}">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2" authorId="4" shapeId="0" xr:uid="{95D9256A-9D1C-47E8-A21B-29F3C9222212}">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3" authorId="5" shapeId="0" xr:uid="{86571361-A586-4185-9887-79AEFE57BF9F}">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7" authorId="6" shapeId="0" xr:uid="{942FB8B0-9E23-4B74-8DC1-202821656564}">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9" authorId="7" shapeId="0" xr:uid="{0C1772AA-431D-4D66-9004-F2F7887A9417}">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20" authorId="8" shapeId="0" xr:uid="{38210693-116C-4C21-A527-C141F0333AED}">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tc={888DE800-3412-4EB4-AABB-308B23D5B2DB}</author>
    <author>tc={27329E15-F8B9-4FCE-BC70-F1EAC607C827}</author>
    <author>tc={FEFFE087-56EC-4B5C-A261-FE0725A1343A}</author>
    <author>tc={47D01F90-8175-409E-93BE-35EC41B2E601}</author>
    <author>tc={572E86DA-026D-46E0-9868-820F5C2B0EBA}</author>
    <author>tc={587D9198-9ED2-463A-978D-58F5CEDB30F9}</author>
    <author>tc={6CACCB08-4C0D-4A0F-9055-4BF205A9BB9A}</author>
    <author>tc={0C48367C-78FC-4E8F-85E0-D427D53885B0}</author>
    <author>tc={D354BA9E-3F20-4C69-8513-BD6EC9785AD0}</author>
  </authors>
  <commentList>
    <comment ref="Y2" authorId="0" shapeId="0" xr:uid="{888DE800-3412-4EB4-AABB-308B23D5B2DB}">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27329E15-F8B9-4FCE-BC70-F1EAC607C827}">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FEFFE087-56EC-4B5C-A261-FE0725A1343A}">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9" authorId="3" shapeId="0" xr:uid="{47D01F90-8175-409E-93BE-35EC41B2E601}">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1" authorId="4" shapeId="0" xr:uid="{572E86DA-026D-46E0-9868-820F5C2B0EBA}">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2" authorId="5" shapeId="0" xr:uid="{587D9198-9ED2-463A-978D-58F5CEDB30F9}">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6" authorId="6" shapeId="0" xr:uid="{6CACCB08-4C0D-4A0F-9055-4BF205A9BB9A}">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8" authorId="7" shapeId="0" xr:uid="{0C48367C-78FC-4E8F-85E0-D427D53885B0}">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9" authorId="8" shapeId="0" xr:uid="{D354BA9E-3F20-4C69-8513-BD6EC9785AD0}">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tc={8B7F63D0-DE47-4FC6-B4D4-2FE27A1969A0}</author>
    <author>tc={28DE99AD-ECA0-4FE9-83A1-703F77A2B150}</author>
    <author>tc={38EA717C-FFE6-4C47-AA06-E6C6DFEB9A1E}</author>
    <author>tc={8B5A8DDF-C8AD-40E4-A044-EAB0EF2FBE39}</author>
    <author>tc={D17CED78-A3BE-45A1-925A-FCBF1E10E123}</author>
    <author>tc={24ABB81E-3425-4FC5-9161-179F7B052BB3}</author>
    <author>tc={884609F6-719C-4BCE-B198-D331B2B66EE2}</author>
    <author>tc={8EB3B612-2BE7-41A8-9430-A2CA0E5CAB5F}</author>
    <author>tc={96C451D8-6286-4389-BFE5-09E6C7ADFCA1}</author>
  </authors>
  <commentList>
    <comment ref="Y2" authorId="0" shapeId="0" xr:uid="{8B7F63D0-DE47-4FC6-B4D4-2FE27A1969A0}">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28DE99AD-ECA0-4FE9-83A1-703F77A2B150}">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38EA717C-FFE6-4C47-AA06-E6C6DFEB9A1E}">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9" authorId="3" shapeId="0" xr:uid="{8B5A8DDF-C8AD-40E4-A044-EAB0EF2FBE39}">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1" authorId="4" shapeId="0" xr:uid="{D17CED78-A3BE-45A1-925A-FCBF1E10E123}">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2" authorId="5" shapeId="0" xr:uid="{24ABB81E-3425-4FC5-9161-179F7B052BB3}">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6" authorId="6" shapeId="0" xr:uid="{884609F6-719C-4BCE-B198-D331B2B66EE2}">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8" authorId="7" shapeId="0" xr:uid="{8EB3B612-2BE7-41A8-9430-A2CA0E5CAB5F}">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9" authorId="8" shapeId="0" xr:uid="{96C451D8-6286-4389-BFE5-09E6C7ADFCA1}">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tc={9395F219-1D91-4AEE-A57F-61CE2CD4F90A}</author>
    <author>tc={78E125BB-C595-4F46-B52C-737FB013BBA7}</author>
    <author>tc={97F97F06-C100-4449-A700-7637877D0EA7}</author>
    <author>tc={99E6B377-7F2D-4327-8CB2-9E5F16175FF7}</author>
    <author>tc={409F3735-3405-44AB-8B45-BB44C908AB97}</author>
    <author>tc={9D61C2B4-578C-4A11-8B15-24D31EF2B173}</author>
    <author>tc={34D3FCCA-FA60-41C3-9E0F-7A88BCEC3953}</author>
    <author>tc={52407E69-31ED-440A-B208-912286FF3D46}</author>
    <author>tc={BD0D69FF-5BF1-4C48-9E51-6FA50F0E4989}</author>
  </authors>
  <commentList>
    <comment ref="Y2" authorId="0" shapeId="0" xr:uid="{9395F219-1D91-4AEE-A57F-61CE2CD4F90A}">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78E125BB-C595-4F46-B52C-737FB013BBA7}">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97F97F06-C100-4449-A700-7637877D0EA7}">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9" authorId="3" shapeId="0" xr:uid="{99E6B377-7F2D-4327-8CB2-9E5F16175FF7}">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1" authorId="4" shapeId="0" xr:uid="{409F3735-3405-44AB-8B45-BB44C908AB97}">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2" authorId="5" shapeId="0" xr:uid="{9D61C2B4-578C-4A11-8B15-24D31EF2B173}">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6" authorId="6" shapeId="0" xr:uid="{34D3FCCA-FA60-41C3-9E0F-7A88BCEC3953}">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8" authorId="7" shapeId="0" xr:uid="{52407E69-31ED-440A-B208-912286FF3D46}">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9" authorId="8" shapeId="0" xr:uid="{BD0D69FF-5BF1-4C48-9E51-6FA50F0E4989}">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tc={537E15E6-F8D2-4CC0-AA36-1E46F2A245C6}</author>
    <author>tc={82F04860-DE85-4F04-87E9-166F2A659610}</author>
    <author>tc={D466E283-E52B-4EBC-BAF7-DBD4E44CC400}</author>
    <author>tc={B010AA52-D3E8-4903-A48B-29FC13CC8056}</author>
    <author>tc={8F81FF75-B8EE-4EE6-B094-D96F6C14315A}</author>
    <author>tc={76186BBB-644D-49AA-A407-8E8C461C2F05}</author>
    <author>tc={177B4077-EBB0-4A31-9D72-591F10C210C2}</author>
    <author>tc={1FF07A8E-E8A5-4276-A42B-7370A053FA13}</author>
    <author>tc={C8CA235C-A8BE-4EA3-8D46-3E2137C61485}</author>
  </authors>
  <commentList>
    <comment ref="Y2" authorId="0" shapeId="0" xr:uid="{537E15E6-F8D2-4CC0-AA36-1E46F2A245C6}">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82F04860-DE85-4F04-87E9-166F2A659610}">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D466E283-E52B-4EBC-BAF7-DBD4E44CC400}">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9" authorId="3" shapeId="0" xr:uid="{B010AA52-D3E8-4903-A48B-29FC13CC8056}">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1" authorId="4" shapeId="0" xr:uid="{8F81FF75-B8EE-4EE6-B094-D96F6C14315A}">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2" authorId="5" shapeId="0" xr:uid="{76186BBB-644D-49AA-A407-8E8C461C2F05}">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6" authorId="6" shapeId="0" xr:uid="{177B4077-EBB0-4A31-9D72-591F10C210C2}">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8" authorId="7" shapeId="0" xr:uid="{1FF07A8E-E8A5-4276-A42B-7370A053FA13}">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9" authorId="8" shapeId="0" xr:uid="{C8CA235C-A8BE-4EA3-8D46-3E2137C61485}">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tc={8B909BBB-C5E4-4BEA-B81A-4675DE2DF651}</author>
    <author>tc={B4762A93-ED4E-4E1F-BAE2-5200448A3ED2}</author>
    <author>tc={21450920-B4F2-41E0-BC0B-80FE5A2C2EF3}</author>
    <author>tc={EB46E929-D654-48B4-A497-7BCF79092CCC}</author>
    <author>tc={406BB21B-F9A6-48C3-ACC3-644B32B10666}</author>
    <author>tc={7E84DA50-1D95-4A54-A7ED-AEC9E36A20C1}</author>
    <author>tc={685818EF-730B-498E-90F1-DCF11491561B}</author>
    <author>tc={CE8A297D-C4A5-49AE-BEC8-2A7787C8F5BC}</author>
    <author>tc={F10B6277-E3F2-491B-8B01-ABA5FFC191FE}</author>
  </authors>
  <commentList>
    <comment ref="Y2" authorId="0" shapeId="0" xr:uid="{8B909BBB-C5E4-4BEA-B81A-4675DE2DF651}">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4" authorId="1" shapeId="0" xr:uid="{B4762A93-ED4E-4E1F-BAE2-5200448A3ED2}">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5" authorId="2" shapeId="0" xr:uid="{21450920-B4F2-41E0-BC0B-80FE5A2C2EF3}">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0" authorId="3" shapeId="0" xr:uid="{EB46E929-D654-48B4-A497-7BCF79092CCC}">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2" authorId="4" shapeId="0" xr:uid="{406BB21B-F9A6-48C3-ACC3-644B32B10666}">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13" authorId="5" shapeId="0" xr:uid="{7E84DA50-1D95-4A54-A7ED-AEC9E36A20C1}">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 ref="Y17" authorId="6" shapeId="0" xr:uid="{685818EF-730B-498E-90F1-DCF11491561B}">
      <text>
        <t>[Threaded comment]
Your version of Excel allows you to read this threaded comment; however, any edits to it will get removed if the file is opened in a newer version of Excel. Learn more: https://go.microsoft.com/fwlink/?linkid=870924
Comment:
    Minimum of Equity Growth Rate of past 10yrs &amp; Analist Growth Rate</t>
      </text>
    </comment>
    <comment ref="Y19" authorId="7" shapeId="0" xr:uid="{CE8A297D-C4A5-49AE-BEC8-2A7787C8F5BC}">
      <text>
        <t>[Threaded comment]
Your version of Excel allows you to read this threaded comment; however, any edits to it will get removed if the file is opened in a newer version of Excel. Learn more: https://go.microsoft.com/fwlink/?linkid=870924
Comment:
    Minimum of 2x Growth Rate &amp; P/E average</t>
      </text>
    </comment>
    <comment ref="Y20" authorId="8" shapeId="0" xr:uid="{F10B6277-E3F2-491B-8B01-ABA5FFC191FE}">
      <text>
        <t>[Threaded comment]
Your version of Excel allows you to read this threaded comment; however, any edits to it will get removed if the file is opened in a newer version of Excel. Learn more: https://go.microsoft.com/fwlink/?linkid=870924
Comment:
    Earnings per Share (EPS) of past year</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futureMetadata>
  <cellMetadata count="1">
    <bk>
      <rc t="1" v="0"/>
    </bk>
  </cellMetadata>
  <valueMetadata count="2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valueMetadata>
</metadata>
</file>

<file path=xl/sharedStrings.xml><?xml version="1.0" encoding="utf-8"?>
<sst xmlns="http://schemas.openxmlformats.org/spreadsheetml/2006/main" count="3241" uniqueCount="169">
  <si>
    <t>10 yr average [%]</t>
  </si>
  <si>
    <t>5yr average [%]</t>
  </si>
  <si>
    <t>1yr average [%]</t>
  </si>
  <si>
    <t>[years]</t>
  </si>
  <si>
    <t>&gt;10%</t>
  </si>
  <si>
    <t xml:space="preserve">&lt; 3 </t>
  </si>
  <si>
    <t>Return On Invested Capitcal (ROIC)</t>
  </si>
  <si>
    <t>N/A</t>
  </si>
  <si>
    <t>Equitiy (or Book Value or BVPS)  growth rate</t>
  </si>
  <si>
    <t>Earnings per Share (EPS) growth rate</t>
  </si>
  <si>
    <t>Sales (or Revenue) growth rate</t>
  </si>
  <si>
    <t>Free Cash Flow (FCF) growth rate</t>
  </si>
  <si>
    <t>Long term debt / Free cash flow per yr</t>
  </si>
  <si>
    <t>Growth Rate</t>
  </si>
  <si>
    <t>Minimum Rate of return</t>
  </si>
  <si>
    <t>P/E Ratio</t>
  </si>
  <si>
    <t>EPS ttm</t>
  </si>
  <si>
    <t>MOAT CALCULATOR</t>
  </si>
  <si>
    <t>Growth rate</t>
  </si>
  <si>
    <t>Fair value</t>
  </si>
  <si>
    <t>Fair Value
Method 1</t>
  </si>
  <si>
    <t>Fair Value 
Method 2</t>
  </si>
  <si>
    <t>MOS 
Method 2</t>
  </si>
  <si>
    <t>ROIC</t>
  </si>
  <si>
    <t>BVPS growth rate</t>
  </si>
  <si>
    <t>EPS growth rate</t>
  </si>
  <si>
    <t>Revenue growth rate</t>
  </si>
  <si>
    <t>FCF growth rate</t>
  </si>
  <si>
    <t>LT debt / FCF ttm</t>
  </si>
  <si>
    <t>Moat valuation</t>
  </si>
  <si>
    <t>Fair price valuation</t>
  </si>
  <si>
    <t>MOS
Method 1</t>
  </si>
  <si>
    <t>Particular</t>
  </si>
  <si>
    <t>Value</t>
  </si>
  <si>
    <t>Date</t>
  </si>
  <si>
    <t xml:space="preserve">Free Cash Flow </t>
  </si>
  <si>
    <t>Free Cash Flow growth rate</t>
  </si>
  <si>
    <t>Discount rate</t>
  </si>
  <si>
    <t>Terminal Value (multiple of FCF)</t>
  </si>
  <si>
    <t>Excess Capital (Cash)</t>
  </si>
  <si>
    <t>Outstanding shares</t>
  </si>
  <si>
    <t>Present Value</t>
  </si>
  <si>
    <t>Free Cash Flow</t>
  </si>
  <si>
    <t>Discounted Cash Flow</t>
  </si>
  <si>
    <t>Price</t>
  </si>
  <si>
    <t>Exchange</t>
  </si>
  <si>
    <t>Sector</t>
  </si>
  <si>
    <t>Region</t>
  </si>
  <si>
    <t>Market Cap</t>
  </si>
  <si>
    <t>Name</t>
  </si>
  <si>
    <t>Ticker</t>
  </si>
  <si>
    <t>General information</t>
  </si>
  <si>
    <t>Benchmark</t>
  </si>
  <si>
    <t>Thor Industries</t>
  </si>
  <si>
    <t>THO</t>
  </si>
  <si>
    <t>NSY</t>
  </si>
  <si>
    <t>Consumer Goods</t>
  </si>
  <si>
    <t>5.91B</t>
  </si>
  <si>
    <t>US, Canada, Europe</t>
  </si>
  <si>
    <t>Low growth</t>
  </si>
  <si>
    <t>Medium growth</t>
  </si>
  <si>
    <t>High growth</t>
  </si>
  <si>
    <t>Fair Value (Market Cap)</t>
  </si>
  <si>
    <t>Fair Value (Share Price)</t>
  </si>
  <si>
    <t>Sector analysis &amp; Outlook</t>
  </si>
  <si>
    <t>Next earnings</t>
  </si>
  <si>
    <t>revenue &amp; growth</t>
  </si>
  <si>
    <t>Salesforce</t>
  </si>
  <si>
    <t>CRM</t>
  </si>
  <si>
    <t>250.1B (Mega)</t>
  </si>
  <si>
    <t>Technology</t>
  </si>
  <si>
    <t>23/2/2022</t>
  </si>
  <si>
    <t>Western world</t>
  </si>
  <si>
    <t>5.91B (Mid)</t>
  </si>
  <si>
    <t>stock</t>
  </si>
  <si>
    <t>moat</t>
  </si>
  <si>
    <t>YES</t>
  </si>
  <si>
    <t>object</t>
  </si>
  <si>
    <t>price now</t>
  </si>
  <si>
    <t>change</t>
  </si>
  <si>
    <t>bought</t>
  </si>
  <si>
    <t>MOS</t>
  </si>
  <si>
    <t>Industry</t>
  </si>
  <si>
    <t>ABEV</t>
  </si>
  <si>
    <t>NO</t>
  </si>
  <si>
    <t>price at date</t>
  </si>
  <si>
    <t>BRK-B</t>
  </si>
  <si>
    <t>FCNCA</t>
  </si>
  <si>
    <t>TBD</t>
  </si>
  <si>
    <t>INMD</t>
  </si>
  <si>
    <t>date</t>
  </si>
  <si>
    <t>ASML</t>
  </si>
  <si>
    <t>MEDP</t>
  </si>
  <si>
    <t>Healthcare</t>
  </si>
  <si>
    <t>MSFT</t>
  </si>
  <si>
    <t>TRI</t>
  </si>
  <si>
    <t>NBIX</t>
  </si>
  <si>
    <t>Europe</t>
  </si>
  <si>
    <t>3.53B(Mid)</t>
  </si>
  <si>
    <t>22/11/2022</t>
  </si>
  <si>
    <t>Paris</t>
  </si>
  <si>
    <t>Low</t>
  </si>
  <si>
    <t>Med</t>
  </si>
  <si>
    <t>High</t>
  </si>
  <si>
    <t>Growth rate_low</t>
  </si>
  <si>
    <t>Growth rate_med</t>
  </si>
  <si>
    <t>Growth rate_high</t>
  </si>
  <si>
    <t>Growth rate_r#1</t>
  </si>
  <si>
    <t>Healtcare</t>
  </si>
  <si>
    <t>Financial</t>
  </si>
  <si>
    <t>Consumer Defensive</t>
  </si>
  <si>
    <t>Consumer Cyclical</t>
  </si>
  <si>
    <t>Energy</t>
  </si>
  <si>
    <t>Materials</t>
  </si>
  <si>
    <t>Industrials</t>
  </si>
  <si>
    <t>FMG</t>
  </si>
  <si>
    <t>BWXT</t>
  </si>
  <si>
    <t>TSM</t>
  </si>
  <si>
    <t>D</t>
  </si>
  <si>
    <t>ADYEN</t>
  </si>
  <si>
    <t>EAM</t>
  </si>
  <si>
    <t>Worldwide</t>
  </si>
  <si>
    <t>MKTX</t>
  </si>
  <si>
    <t>Adyen</t>
  </si>
  <si>
    <t>MarketAxess</t>
  </si>
  <si>
    <t>12.96B</t>
  </si>
  <si>
    <t>Average</t>
  </si>
  <si>
    <t>Veeva Systems</t>
  </si>
  <si>
    <t>VEEV</t>
  </si>
  <si>
    <t>34.03B</t>
  </si>
  <si>
    <t>VEEVA</t>
  </si>
  <si>
    <t>XPEL</t>
  </si>
  <si>
    <t>TSMC</t>
  </si>
  <si>
    <t>31/1/22</t>
  </si>
  <si>
    <t>worldwide</t>
  </si>
  <si>
    <t>600.4B</t>
  </si>
  <si>
    <t>Fortescue</t>
  </si>
  <si>
    <t>Growth rate_yahoo</t>
  </si>
  <si>
    <t>Growth rate_3rd</t>
  </si>
  <si>
    <t>Microsoft</t>
  </si>
  <si>
    <t>Software</t>
  </si>
  <si>
    <t>Leisure</t>
  </si>
  <si>
    <t>2314B</t>
  </si>
  <si>
    <t>25/4/22</t>
  </si>
  <si>
    <t>-</t>
  </si>
  <si>
    <t>ADBE</t>
  </si>
  <si>
    <t>193.56B</t>
  </si>
  <si>
    <t>NFLX</t>
  </si>
  <si>
    <t>Blackrock</t>
  </si>
  <si>
    <t>BLK</t>
  </si>
  <si>
    <t>100B</t>
  </si>
  <si>
    <t>EFX</t>
  </si>
  <si>
    <t>Comcast</t>
  </si>
  <si>
    <t>CMCSA</t>
  </si>
  <si>
    <t>TODO:</t>
  </si>
  <si>
    <t>add another DCF analaysis method</t>
  </si>
  <si>
    <t>CMCA</t>
  </si>
  <si>
    <t>add graphs of moat pars</t>
  </si>
  <si>
    <t>FV graph: change to scatters</t>
  </si>
  <si>
    <t>FV graph put date on x-axis</t>
  </si>
  <si>
    <t>AMAZON</t>
  </si>
  <si>
    <t>AMZN</t>
  </si>
  <si>
    <t>CWEN</t>
  </si>
  <si>
    <t>specify valuation method per type of company</t>
  </si>
  <si>
    <t>Clearway Energy</t>
  </si>
  <si>
    <t>NVIDIA</t>
  </si>
  <si>
    <t>NVDA</t>
  </si>
  <si>
    <t>AMD</t>
  </si>
  <si>
    <t>30-12-22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</si>
</sst>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44" formatCode="_(&quot;$&quot;* #,##0.00_);_(&quot;$&quot;* \(#,##0.00\);_(&quot;$&quot;* &quot;-&quot;??_);_(@_)"/>
    <numFmt numFmtId="164" formatCode="0.0%"/>
    <numFmt numFmtId="165" formatCode="0.0"/>
    <numFmt numFmtId="166" formatCode="_([$€-2]\ * #,##0_);_([$€-2]\ * \(#,##0\);_([$€-2]\ * &quot;-&quot;??_);_(@_)"/>
    <numFmt numFmtId="167" formatCode="_(* #,##0.0_);_(* \(#,##0.0\);_(* &quot;-&quot;??_);_(@_)"/>
    <numFmt numFmtId="168" formatCode="_(* #,##0_);_(* \(#,##0\);_(* &quot;-&quot;??_);_(@_)"/>
    <numFmt numFmtId="169" formatCode="0.000"/>
    <numFmt numFmtId="170" formatCode="[$-409]d\-mmm\-yy;@"/>
  </numFmts>
  <fonts count="16" x14ac:knownFonts="1">
    <font>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
      <u/>
      <sz val="11"/>
      <color theme="1"/>
      <name val="Calibri"/>
      <family val="2"/>
      <scheme val="minor"/>
    </font>
    <font>
      <sz val="8"/>
      <color rgb="FF468847"/>
      <name val="Arial"/>
      <family val="2"/>
    </font>
    <font>
      <sz val="11"/>
      <color rgb="FF9C0006"/>
      <name val="Calibri"/>
      <family val="2"/>
      <scheme val="minor"/>
    </font>
    <font>
      <b/>
      <sz val="8"/>
      <color rgb="FF468847"/>
      <name val="Arial"/>
      <family val="2"/>
    </font>
    <font>
      <b/>
      <sz val="8"/>
      <color rgb="FFF80606"/>
      <name val="Arial"/>
      <family val="2"/>
    </font>
    <font>
      <sz val="8"/>
      <color rgb="FFF80606"/>
      <name val="Arial"/>
      <family val="2"/>
    </font>
    <font>
      <sz val="9"/>
      <color indexed="81"/>
      <name val="Tahoma"/>
      <charset val="1"/>
    </font>
    <font>
      <sz val="9"/>
      <color indexed="81"/>
      <name val="Tahoma"/>
      <family val="2"/>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0" tint="-0.14999847407452621"/>
        <bgColor theme="0" tint="-0.14999847407452621"/>
      </patternFill>
    </fill>
    <fill>
      <patternFill patternType="solid">
        <fgColor rgb="FFF9F9F9"/>
        <bgColor indexed="64"/>
      </patternFill>
    </fill>
    <fill>
      <patternFill patternType="solid">
        <fgColor rgb="FFFFC7CE"/>
      </patternFill>
    </fill>
    <fill>
      <patternFill patternType="solid">
        <fgColor rgb="FFFFFFCC"/>
        <bgColor indexed="64"/>
      </patternFill>
    </fill>
    <fill>
      <patternFill patternType="solid">
        <fgColor rgb="FFFFFFFF"/>
        <bgColor indexed="64"/>
      </patternFill>
    </fill>
  </fills>
  <borders count="2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rgb="FF7F7F7F"/>
      </right>
      <top style="thin">
        <color rgb="FF7F7F7F"/>
      </top>
      <bottom style="thin">
        <color rgb="FF7F7F7F"/>
      </bottom>
      <diagonal/>
    </border>
    <border>
      <left style="thin">
        <color rgb="FF7F7F7F"/>
      </left>
      <right style="thin">
        <color indexed="64"/>
      </right>
      <top style="thin">
        <color rgb="FF7F7F7F"/>
      </top>
      <bottom style="thin">
        <color rgb="FF7F7F7F"/>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rgb="FF7F7F7F"/>
      </bottom>
      <diagonal/>
    </border>
    <border>
      <left style="thin">
        <color indexed="64"/>
      </left>
      <right style="thin">
        <color indexed="64"/>
      </right>
      <top style="thin">
        <color rgb="FF7F7F7F"/>
      </top>
      <bottom style="thin">
        <color rgb="FF7F7F7F"/>
      </bottom>
      <diagonal/>
    </border>
    <border>
      <left style="thin">
        <color indexed="64"/>
      </left>
      <right style="thin">
        <color indexed="64"/>
      </right>
      <top style="thin">
        <color rgb="FF7F7F7F"/>
      </top>
      <bottom style="thin">
        <color indexed="64"/>
      </bottom>
      <diagonal/>
    </border>
    <border>
      <left style="thin">
        <color indexed="64"/>
      </left>
      <right style="thin">
        <color indexed="64"/>
      </right>
      <top style="thin">
        <color rgb="FF3F3F3F"/>
      </top>
      <bottom style="thin">
        <color indexed="64"/>
      </bottom>
      <diagonal/>
    </border>
    <border>
      <left style="thin">
        <color indexed="64"/>
      </left>
      <right style="thin">
        <color indexed="64"/>
      </right>
      <top style="thin">
        <color indexed="64"/>
      </top>
      <bottom/>
      <diagonal/>
    </border>
    <border>
      <left style="thin">
        <color rgb="FF7F7F7F"/>
      </left>
      <right style="thin">
        <color indexed="64"/>
      </right>
      <top style="thin">
        <color indexed="64"/>
      </top>
      <bottom style="thin">
        <color rgb="FF7F7F7F"/>
      </bottom>
      <diagonal/>
    </border>
    <border>
      <left style="thin">
        <color rgb="FF7F7F7F"/>
      </left>
      <right style="thin">
        <color indexed="64"/>
      </right>
      <top style="thin">
        <color rgb="FF7F7F7F"/>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thin">
        <color rgb="FF7F7F7F"/>
      </bottom>
      <diagonal/>
    </border>
    <border>
      <left style="medium">
        <color rgb="FFDDDDDD"/>
      </left>
      <right/>
      <top style="medium">
        <color rgb="FFDDDDDD"/>
      </top>
      <bottom style="medium">
        <color rgb="FFDDDDDD"/>
      </bottom>
      <diagonal/>
    </border>
    <border>
      <left style="medium">
        <color rgb="FFDDDDDD"/>
      </left>
      <right style="medium">
        <color rgb="FFDDDDDD"/>
      </right>
      <top style="medium">
        <color rgb="FFDDDDDD"/>
      </top>
      <bottom style="medium">
        <color rgb="FFDDDDDD"/>
      </bottom>
      <diagonal/>
    </border>
  </borders>
  <cellStyleXfs count="8">
    <xf numFmtId="0" fontId="0" fillId="0" borderId="0"/>
    <xf numFmtId="9" fontId="1" fillId="0" borderId="0" applyFont="0" applyFill="0" applyBorder="0" applyAlignment="0" applyProtection="0"/>
    <xf numFmtId="0" fontId="2" fillId="2" borderId="1" applyNumberFormat="0" applyAlignment="0" applyProtection="0"/>
    <xf numFmtId="0" fontId="3" fillId="3" borderId="2" applyNumberFormat="0" applyAlignment="0" applyProtection="0"/>
    <xf numFmtId="0" fontId="4" fillId="3" borderId="1" applyNumberFormat="0" applyAlignment="0" applyProtection="0"/>
    <xf numFmtId="0" fontId="6" fillId="0" borderId="0" applyNumberFormat="0" applyFill="0" applyBorder="0" applyAlignment="0" applyProtection="0"/>
    <xf numFmtId="44" fontId="1" fillId="0" borderId="0" applyFont="0" applyFill="0" applyBorder="0" applyAlignment="0" applyProtection="0"/>
    <xf numFmtId="0" fontId="10" fillId="6" borderId="0" applyNumberFormat="0" applyBorder="0" applyAlignment="0" applyProtection="0"/>
  </cellStyleXfs>
  <cellXfs count="109">
    <xf numFmtId="0" fontId="0" fillId="0" borderId="0" xfId="0"/>
    <xf numFmtId="0" fontId="0" fillId="0" borderId="3" xfId="0" applyBorder="1"/>
    <xf numFmtId="0" fontId="5" fillId="0" borderId="3" xfId="0" applyFont="1" applyBorder="1"/>
    <xf numFmtId="0" fontId="5" fillId="0" borderId="4" xfId="0" applyFont="1" applyBorder="1"/>
    <xf numFmtId="0" fontId="5" fillId="0" borderId="5" xfId="0" applyFont="1" applyBorder="1"/>
    <xf numFmtId="0" fontId="0" fillId="0" borderId="6" xfId="0" applyBorder="1"/>
    <xf numFmtId="0" fontId="0" fillId="0" borderId="7" xfId="0" applyBorder="1"/>
    <xf numFmtId="0" fontId="0" fillId="0" borderId="8" xfId="0" applyBorder="1"/>
    <xf numFmtId="164" fontId="0" fillId="0" borderId="3" xfId="0" applyNumberFormat="1" applyBorder="1"/>
    <xf numFmtId="164" fontId="0" fillId="0" borderId="4" xfId="0" applyNumberFormat="1" applyBorder="1"/>
    <xf numFmtId="0" fontId="0" fillId="0" borderId="5" xfId="0" applyBorder="1"/>
    <xf numFmtId="10" fontId="2" fillId="2" borderId="9" xfId="2" applyNumberFormat="1" applyBorder="1"/>
    <xf numFmtId="10" fontId="2" fillId="2" borderId="1" xfId="2" applyNumberFormat="1"/>
    <xf numFmtId="10" fontId="2" fillId="2" borderId="10" xfId="2" applyNumberFormat="1" applyBorder="1"/>
    <xf numFmtId="0" fontId="5" fillId="0" borderId="11" xfId="0" applyFont="1" applyBorder="1"/>
    <xf numFmtId="164" fontId="0" fillId="0" borderId="11" xfId="0" applyNumberFormat="1" applyBorder="1"/>
    <xf numFmtId="164" fontId="0" fillId="0" borderId="0" xfId="0" applyNumberFormat="1"/>
    <xf numFmtId="0" fontId="0" fillId="0" borderId="12" xfId="0" applyBorder="1"/>
    <xf numFmtId="0" fontId="0" fillId="0" borderId="11" xfId="0" applyBorder="1"/>
    <xf numFmtId="0" fontId="5" fillId="0" borderId="6" xfId="0" applyFont="1" applyBorder="1"/>
    <xf numFmtId="165" fontId="2" fillId="2" borderId="1" xfId="2" applyNumberFormat="1"/>
    <xf numFmtId="0" fontId="0" fillId="0" borderId="13" xfId="0" applyBorder="1"/>
    <xf numFmtId="0" fontId="0" fillId="0" borderId="14" xfId="0" applyBorder="1"/>
    <xf numFmtId="0" fontId="0" fillId="0" borderId="15" xfId="0" applyBorder="1"/>
    <xf numFmtId="0" fontId="0" fillId="0" borderId="16" xfId="0" applyBorder="1"/>
    <xf numFmtId="164" fontId="0" fillId="0" borderId="5" xfId="0" applyNumberFormat="1" applyBorder="1"/>
    <xf numFmtId="9" fontId="0" fillId="0" borderId="11" xfId="0" applyNumberFormat="1" applyBorder="1"/>
    <xf numFmtId="9" fontId="0" fillId="0" borderId="0" xfId="0" applyNumberFormat="1"/>
    <xf numFmtId="9" fontId="0" fillId="0" borderId="12" xfId="0" applyNumberFormat="1" applyBorder="1"/>
    <xf numFmtId="165" fontId="2" fillId="2" borderId="19" xfId="2" applyNumberFormat="1" applyBorder="1"/>
    <xf numFmtId="165" fontId="0" fillId="0" borderId="6" xfId="1" applyNumberFormat="1" applyFont="1" applyBorder="1"/>
    <xf numFmtId="165" fontId="0" fillId="0" borderId="7" xfId="1" applyNumberFormat="1" applyFont="1" applyBorder="1"/>
    <xf numFmtId="165" fontId="0" fillId="0" borderId="8" xfId="1" applyNumberFormat="1" applyFont="1" applyBorder="1"/>
    <xf numFmtId="2" fontId="2" fillId="2" borderId="17" xfId="2" applyNumberFormat="1" applyBorder="1"/>
    <xf numFmtId="2" fontId="0" fillId="0" borderId="3" xfId="0" applyNumberFormat="1" applyBorder="1"/>
    <xf numFmtId="2" fontId="0" fillId="0" borderId="4" xfId="0" applyNumberFormat="1" applyBorder="1"/>
    <xf numFmtId="2" fontId="0" fillId="0" borderId="5" xfId="0" applyNumberFormat="1" applyBorder="1"/>
    <xf numFmtId="166" fontId="3" fillId="3" borderId="20" xfId="3" applyNumberFormat="1" applyBorder="1"/>
    <xf numFmtId="166" fontId="0" fillId="0" borderId="7" xfId="0" applyNumberFormat="1" applyBorder="1"/>
    <xf numFmtId="166" fontId="0" fillId="0" borderId="8" xfId="0" applyNumberFormat="1" applyBorder="1"/>
    <xf numFmtId="165" fontId="2" fillId="2" borderId="10" xfId="2" applyNumberFormat="1" applyBorder="1"/>
    <xf numFmtId="0" fontId="0" fillId="0" borderId="0" xfId="0" applyAlignment="1">
      <alignment wrapText="1"/>
    </xf>
    <xf numFmtId="0" fontId="0" fillId="0" borderId="4" xfId="0" applyBorder="1"/>
    <xf numFmtId="0" fontId="5" fillId="0" borderId="0" xfId="0" applyFont="1"/>
    <xf numFmtId="167" fontId="2" fillId="2" borderId="22" xfId="2" applyNumberFormat="1" applyBorder="1"/>
    <xf numFmtId="165" fontId="2" fillId="2" borderId="23" xfId="2" applyNumberFormat="1" applyBorder="1"/>
    <xf numFmtId="0" fontId="0" fillId="0" borderId="15" xfId="0" applyBorder="1" applyAlignment="1">
      <alignment wrapText="1"/>
    </xf>
    <xf numFmtId="0" fontId="0" fillId="0" borderId="16" xfId="0" applyBorder="1" applyAlignment="1">
      <alignment wrapText="1"/>
    </xf>
    <xf numFmtId="168" fontId="0" fillId="0" borderId="3" xfId="0" applyNumberFormat="1" applyBorder="1"/>
    <xf numFmtId="168" fontId="0" fillId="0" borderId="4" xfId="0" applyNumberFormat="1" applyBorder="1"/>
    <xf numFmtId="168" fontId="0" fillId="0" borderId="5" xfId="0" applyNumberFormat="1" applyBorder="1"/>
    <xf numFmtId="168" fontId="0" fillId="0" borderId="4" xfId="0" applyNumberFormat="1" applyBorder="1" applyAlignment="1">
      <alignment horizontal="right"/>
    </xf>
    <xf numFmtId="168" fontId="0" fillId="0" borderId="6" xfId="0" applyNumberFormat="1" applyBorder="1"/>
    <xf numFmtId="168" fontId="0" fillId="0" borderId="7" xfId="0" applyNumberFormat="1" applyBorder="1"/>
    <xf numFmtId="168" fontId="0" fillId="0" borderId="8" xfId="0" applyNumberFormat="1" applyBorder="1"/>
    <xf numFmtId="167" fontId="0" fillId="0" borderId="8" xfId="0" applyNumberFormat="1" applyBorder="1"/>
    <xf numFmtId="0" fontId="7" fillId="0" borderId="0" xfId="0" applyFont="1"/>
    <xf numFmtId="165" fontId="0" fillId="0" borderId="0" xfId="0" applyNumberFormat="1"/>
    <xf numFmtId="0" fontId="0" fillId="0" borderId="0" xfId="0" applyAlignment="1">
      <alignment horizontal="right"/>
    </xf>
    <xf numFmtId="14" fontId="0" fillId="0" borderId="0" xfId="0" applyNumberFormat="1" applyAlignment="1">
      <alignment horizontal="right"/>
    </xf>
    <xf numFmtId="164" fontId="4" fillId="3" borderId="1" xfId="4" applyNumberFormat="1"/>
    <xf numFmtId="164" fontId="8" fillId="0" borderId="0" xfId="0" applyNumberFormat="1" applyFont="1"/>
    <xf numFmtId="0" fontId="8" fillId="0" borderId="0" xfId="0" applyFont="1" applyAlignment="1">
      <alignment horizontal="right"/>
    </xf>
    <xf numFmtId="9" fontId="0" fillId="0" borderId="0" xfId="1" applyFont="1" applyBorder="1"/>
    <xf numFmtId="0" fontId="2" fillId="2" borderId="1" xfId="2"/>
    <xf numFmtId="2" fontId="4" fillId="3" borderId="1" xfId="4" applyNumberFormat="1"/>
    <xf numFmtId="168" fontId="0" fillId="0" borderId="0" xfId="0" applyNumberFormat="1" applyAlignment="1">
      <alignment wrapText="1"/>
    </xf>
    <xf numFmtId="9" fontId="4" fillId="3" borderId="1" xfId="4" applyNumberFormat="1"/>
    <xf numFmtId="9" fontId="4" fillId="3" borderId="18" xfId="4" applyNumberFormat="1" applyBorder="1"/>
    <xf numFmtId="0" fontId="0" fillId="0" borderId="24" xfId="0" applyBorder="1"/>
    <xf numFmtId="0" fontId="0" fillId="0" borderId="25" xfId="0" applyBorder="1"/>
    <xf numFmtId="9" fontId="4" fillId="3" borderId="26" xfId="4" applyNumberFormat="1" applyBorder="1"/>
    <xf numFmtId="0" fontId="0" fillId="0" borderId="21" xfId="0" applyBorder="1"/>
    <xf numFmtId="1" fontId="0" fillId="0" borderId="0" xfId="0" applyNumberFormat="1"/>
    <xf numFmtId="0" fontId="6" fillId="0" borderId="0" xfId="5" applyAlignment="1">
      <alignment horizontal="right"/>
    </xf>
    <xf numFmtId="168" fontId="0" fillId="0" borderId="0" xfId="0" applyNumberFormat="1"/>
    <xf numFmtId="167" fontId="0" fillId="0" borderId="0" xfId="0" applyNumberFormat="1"/>
    <xf numFmtId="0" fontId="6" fillId="0" borderId="0" xfId="5"/>
    <xf numFmtId="2" fontId="0" fillId="0" borderId="0" xfId="0" applyNumberFormat="1"/>
    <xf numFmtId="169" fontId="0" fillId="0" borderId="0" xfId="0" applyNumberFormat="1"/>
    <xf numFmtId="9" fontId="0" fillId="0" borderId="0" xfId="1" applyFont="1"/>
    <xf numFmtId="0" fontId="5" fillId="0" borderId="13" xfId="0" applyFont="1" applyBorder="1"/>
    <xf numFmtId="164" fontId="0" fillId="4" borderId="13" xfId="0" applyNumberFormat="1" applyFill="1" applyBorder="1"/>
    <xf numFmtId="164" fontId="8" fillId="0" borderId="13" xfId="0" applyNumberFormat="1" applyFont="1" applyBorder="1"/>
    <xf numFmtId="164" fontId="8" fillId="4" borderId="14" xfId="0" applyNumberFormat="1" applyFont="1" applyFill="1" applyBorder="1"/>
    <xf numFmtId="164" fontId="8" fillId="0" borderId="11" xfId="0" applyNumberFormat="1" applyFont="1" applyBorder="1"/>
    <xf numFmtId="164" fontId="8" fillId="4" borderId="11" xfId="0" applyNumberFormat="1" applyFont="1" applyFill="1" applyBorder="1"/>
    <xf numFmtId="14" fontId="0" fillId="0" borderId="0" xfId="6" applyNumberFormat="1" applyFont="1" applyAlignment="1">
      <alignment horizontal="right"/>
    </xf>
    <xf numFmtId="0" fontId="9" fillId="5" borderId="27" xfId="0" applyFont="1" applyFill="1" applyBorder="1" applyAlignment="1">
      <alignment horizontal="center"/>
    </xf>
    <xf numFmtId="0" fontId="9" fillId="5" borderId="28" xfId="0" applyFont="1" applyFill="1" applyBorder="1" applyAlignment="1">
      <alignment horizontal="center"/>
    </xf>
    <xf numFmtId="15" fontId="0" fillId="0" borderId="0" xfId="0" applyNumberFormat="1"/>
    <xf numFmtId="6" fontId="0" fillId="0" borderId="0" xfId="0" applyNumberFormat="1"/>
    <xf numFmtId="170" fontId="0" fillId="0" borderId="0" xfId="0" applyNumberFormat="1" applyAlignment="1">
      <alignment horizontal="right"/>
    </xf>
    <xf numFmtId="0" fontId="0" fillId="0" borderId="4" xfId="0" applyBorder="1" applyAlignment="1">
      <alignment wrapText="1"/>
    </xf>
    <xf numFmtId="0" fontId="0" fillId="0" borderId="5" xfId="0" applyBorder="1" applyAlignment="1">
      <alignment wrapText="1"/>
    </xf>
    <xf numFmtId="9" fontId="0" fillId="0" borderId="0" xfId="1" applyFont="1" applyAlignment="1">
      <alignment horizontal="right"/>
    </xf>
    <xf numFmtId="9" fontId="0" fillId="0" borderId="0" xfId="1" applyFont="1" applyAlignment="1">
      <alignment horizontal="left"/>
    </xf>
    <xf numFmtId="4" fontId="12" fillId="7" borderId="27" xfId="0" applyNumberFormat="1" applyFont="1" applyFill="1" applyBorder="1" applyAlignment="1">
      <alignment horizontal="center"/>
    </xf>
    <xf numFmtId="4" fontId="11" fillId="7" borderId="27" xfId="0" applyNumberFormat="1" applyFont="1" applyFill="1" applyBorder="1" applyAlignment="1">
      <alignment horizontal="center"/>
    </xf>
    <xf numFmtId="0" fontId="12" fillId="7" borderId="28" xfId="0" applyFont="1" applyFill="1" applyBorder="1" applyAlignment="1">
      <alignment horizontal="center"/>
    </xf>
    <xf numFmtId="165" fontId="10" fillId="6" borderId="1" xfId="7" applyNumberFormat="1" applyBorder="1"/>
    <xf numFmtId="165" fontId="10" fillId="6" borderId="0" xfId="7" applyNumberFormat="1"/>
    <xf numFmtId="0" fontId="9" fillId="8" borderId="27" xfId="0" applyFont="1" applyFill="1" applyBorder="1" applyAlignment="1">
      <alignment horizontal="center"/>
    </xf>
    <xf numFmtId="0" fontId="13" fillId="8" borderId="27" xfId="0" applyFont="1" applyFill="1" applyBorder="1" applyAlignment="1">
      <alignment horizontal="center"/>
    </xf>
    <xf numFmtId="0" fontId="9" fillId="8" borderId="28" xfId="0" applyFont="1" applyFill="1" applyBorder="1" applyAlignment="1">
      <alignment horizontal="center"/>
    </xf>
    <xf numFmtId="0" fontId="5" fillId="0" borderId="4" xfId="0" applyFont="1" applyBorder="1" applyAlignment="1">
      <alignment horizontal="center" vertical="center"/>
    </xf>
    <xf numFmtId="0" fontId="5" fillId="0" borderId="7" xfId="0" applyFont="1" applyBorder="1" applyAlignment="1">
      <alignment horizontal="center" vertical="center"/>
    </xf>
    <xf numFmtId="0" fontId="5" fillId="0" borderId="5" xfId="0" applyFont="1" applyBorder="1" applyAlignment="1">
      <alignment horizontal="center" vertical="center"/>
    </xf>
    <xf numFmtId="0" fontId="5" fillId="0" borderId="8" xfId="0" applyFont="1" applyBorder="1" applyAlignment="1">
      <alignment horizontal="center" vertical="center"/>
    </xf>
  </cellXfs>
  <cellStyles count="8">
    <cellStyle name="Bad" xfId="7" builtinId="27"/>
    <cellStyle name="Calculation" xfId="4" builtinId="22"/>
    <cellStyle name="Currency" xfId="6" builtinId="4"/>
    <cellStyle name="Hyperlink" xfId="5" builtinId="8"/>
    <cellStyle name="Input" xfId="2" builtinId="20"/>
    <cellStyle name="Normal" xfId="0" builtinId="0"/>
    <cellStyle name="Output" xfId="3" builtinId="21"/>
    <cellStyle name="Percent" xfId="1" builtinId="5"/>
  </cellStyles>
  <dxfs count="835">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indexed="64"/>
        </left>
        <right style="thin">
          <color indexed="64"/>
        </right>
        <top style="thin">
          <color indexed="64"/>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border diagonalUp="0" diagonalDown="0">
        <left style="thin">
          <color indexed="64"/>
        </left>
        <right style="thin">
          <color indexed="64"/>
        </right>
        <top style="thin">
          <color indexed="64"/>
        </top>
        <bottom style="thin">
          <color indexed="64"/>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indexed="64"/>
        </left>
        <right style="thin">
          <color indexed="64"/>
        </right>
        <top style="thin">
          <color indexed="64"/>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indexed="64"/>
        </left>
        <right style="thin">
          <color indexed="64"/>
        </right>
        <top style="thin">
          <color indexed="64"/>
        </top>
        <bottom style="thin">
          <color indexed="64"/>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rgb="FF000000"/>
        </left>
        <right style="thin">
          <color rgb="FF000000"/>
        </right>
        <top style="thin">
          <color rgb="FF000000"/>
        </top>
        <bottom style="thin">
          <color rgb="FF000000"/>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rgb="FF000000"/>
        </left>
        <right style="thin">
          <color rgb="FF000000"/>
        </right>
        <top style="thin">
          <color rgb="FF000000"/>
        </top>
        <bottom style="thin">
          <color rgb="FF000000"/>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ertAlign val="baseline"/>
        <sz val="11"/>
        <color theme="1"/>
        <name val="Calibri"/>
        <family val="2"/>
        <scheme val="minor"/>
      </font>
      <numFmt numFmtId="164" formatCode="0.0%"/>
      <border diagonalUp="0" diagonalDown="0">
        <left style="thin">
          <color indexed="64"/>
        </left>
        <right/>
        <top/>
        <bottom/>
        <vertical/>
        <horizontal/>
      </border>
    </dxf>
    <dxf>
      <font>
        <b val="0"/>
        <i val="0"/>
        <strike val="0"/>
        <condense val="0"/>
        <extend val="0"/>
        <outline val="0"/>
        <shadow val="0"/>
        <u/>
        <vertAlign val="baseline"/>
        <sz val="11"/>
        <color theme="1"/>
        <name val="Calibri"/>
        <family val="2"/>
        <scheme val="minor"/>
      </font>
      <numFmt numFmtId="164" formatCode="0.0%"/>
      <fill>
        <patternFill patternType="solid">
          <fgColor theme="0" tint="-0.14999847407452621"/>
          <bgColor theme="0" tint="-0.14999847407452621"/>
        </patternFill>
      </fill>
      <border diagonalUp="0" diagonalDown="0">
        <left style="thin">
          <color indexed="64"/>
        </left>
        <right/>
        <top/>
        <bottom/>
        <vertical/>
        <horizontal/>
      </border>
    </dxf>
    <dxf>
      <numFmt numFmtId="164" formatCode="0.0%"/>
    </dxf>
    <dxf>
      <border diagonalUp="0" diagonalDown="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numFmt numFmtId="164" formatCode="0.0%"/>
    </dxf>
    <dxf>
      <numFmt numFmtId="164" formatCode="0.0%"/>
    </dxf>
    <dxf>
      <numFmt numFmtId="164" formatCode="0.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dxf>
    <dxf>
      <border outline="0">
        <left style="thin">
          <color indexed="64"/>
        </left>
        <right style="thin">
          <color indexed="64"/>
        </right>
        <top style="thin">
          <color indexed="64"/>
        </top>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66" formatCode="_([$€-2]\ * #,##0_);_([$€-2]\ * \(#,##0\);_([$€-2]\ * &quot;-&quot;??_);_(@_)"/>
    </dxf>
    <dxf>
      <numFmt numFmtId="1" formatCode="0"/>
    </dxf>
    <dxf>
      <numFmt numFmtId="164" formatCode="0.0%"/>
    </dxf>
    <dxf>
      <border diagonalUp="0" diagonalDown="0">
        <left style="thin">
          <color indexed="64"/>
        </left>
        <right style="thin">
          <color indexed="64"/>
        </right>
        <top style="thin">
          <color indexed="64"/>
        </top>
        <bottom style="thin">
          <color indexed="64"/>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numFmt numFmtId="1" formatCode="0"/>
    </dxf>
    <dxf>
      <numFmt numFmtId="1" formatCode="0"/>
    </dxf>
    <dxf>
      <alignment horizontal="right"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microsoft.com/office/2017/06/relationships/rdRichValueStructure" Target="richData/rdrichvaluestructure.xml"/><Relationship Id="rId35" Type="http://schemas.microsoft.com/office/2017/10/relationships/person" Target="persons/perso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2"/>
          <c:order val="2"/>
          <c:tx>
            <c:strRef>
              <c:f>Template!$A$6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(Template!$B$6,Template!$B$6)</c:f>
              <c:numCache>
                <c:formatCode>General</c:formatCode>
                <c:ptCount val="2"/>
                <c:pt idx="0">
                  <c:v>106.32</c:v>
                </c:pt>
                <c:pt idx="1">
                  <c:v>106.32</c:v>
                </c:pt>
              </c:numCache>
            </c:numRef>
          </c:yVal>
          <c:smooth val="1"/>
          <c:extLst>
            <c:ext xmlns:c16="http://schemas.microsoft.com/office/drawing/2014/chart" uri="{C3380CC4-5D6E-409C-BE32-E72D297353CC}">
              <c16:uniqueId val="{00000003-C45D-4B68-9278-5081EC8AC894}"/>
            </c:ext>
          </c:extLst>
        </c:ser>
        <c:dLbls>
          <c:showLegendKey val="0"/>
          <c:showVal val="0"/>
          <c:showCatName val="0"/>
          <c:showSerName val="0"/>
          <c:showPercent val="0"/>
          <c:showBubbleSize val="0"/>
        </c:dLbls>
        <c:axId val="188383360"/>
        <c:axId val="188384192"/>
      </c:scatterChart>
      <c:scatterChart>
        <c:scatterStyle val="lineMarker"/>
        <c:varyColors val="0"/>
        <c:ser>
          <c:idx val="0"/>
          <c:order val="0"/>
          <c:tx>
            <c:strRef>
              <c:f>Template!$B$28</c:f>
              <c:strCache>
                <c:ptCount val="1"/>
                <c:pt idx="0">
                  <c:v>Fair Value
Method 1</c:v>
                </c:pt>
              </c:strCache>
            </c:strRef>
          </c:tx>
          <c:spPr>
            <a:ln w="25400" cap="rnd">
              <a:noFill/>
              <a:round/>
            </a:ln>
            <a:effectLst/>
          </c:spPr>
          <c:marker>
            <c:symbol val="circle"/>
            <c:size val="5"/>
            <c:spPr>
              <a:solidFill>
                <a:schemeClr val="accent1"/>
              </a:solidFill>
              <a:ln w="9525">
                <a:solidFill>
                  <a:schemeClr val="accent1"/>
                </a:solidFill>
              </a:ln>
              <a:effectLst/>
            </c:spPr>
          </c:marker>
          <c:yVal>
            <c:numRef>
              <c:f>Template!$B$29:$B$31</c:f>
              <c:numCache>
                <c:formatCode>0</c:formatCode>
                <c:ptCount val="3"/>
                <c:pt idx="0">
                  <c:v>211.75828688526474</c:v>
                </c:pt>
                <c:pt idx="1">
                  <c:v>244.96852819564387</c:v>
                </c:pt>
                <c:pt idx="2">
                  <c:v>292.04915123840959</c:v>
                </c:pt>
              </c:numCache>
            </c:numRef>
          </c:yVal>
          <c:smooth val="0"/>
          <c:extLst>
            <c:ext xmlns:c16="http://schemas.microsoft.com/office/drawing/2014/chart" uri="{C3380CC4-5D6E-409C-BE32-E72D297353CC}">
              <c16:uniqueId val="{00000000-C45D-4B68-9278-5081EC8AC894}"/>
            </c:ext>
          </c:extLst>
        </c:ser>
        <c:ser>
          <c:idx val="1"/>
          <c:order val="1"/>
          <c:tx>
            <c:strRef>
              <c:f>Template!$D$28</c:f>
              <c:strCache>
                <c:ptCount val="1"/>
                <c:pt idx="0">
                  <c:v>Fair Value 
Method 2</c:v>
                </c:pt>
              </c:strCache>
            </c:strRef>
          </c:tx>
          <c:spPr>
            <a:ln w="25400" cap="rnd">
              <a:noFill/>
              <a:round/>
            </a:ln>
            <a:effectLst/>
          </c:spPr>
          <c:marker>
            <c:symbol val="circle"/>
            <c:size val="5"/>
            <c:spPr>
              <a:solidFill>
                <a:schemeClr val="accent2"/>
              </a:solidFill>
              <a:ln w="9525">
                <a:solidFill>
                  <a:schemeClr val="accent2"/>
                </a:solidFill>
              </a:ln>
              <a:effectLst/>
            </c:spPr>
          </c:marker>
          <c:yVal>
            <c:numRef>
              <c:f>Template!$D$29:$D$31</c:f>
              <c:numCache>
                <c:formatCode>_(* #,##0_);_(* \(#,##0\);_(* "-"??_);_(@_)</c:formatCode>
                <c:ptCount val="3"/>
                <c:pt idx="0">
                  <c:v>379.39492946755183</c:v>
                </c:pt>
                <c:pt idx="1">
                  <c:v>423.90162967009684</c:v>
                </c:pt>
                <c:pt idx="2">
                  <c:v>486.26021259522241</c:v>
                </c:pt>
              </c:numCache>
            </c:numRef>
          </c:yVal>
          <c:smooth val="0"/>
          <c:extLst>
            <c:ext xmlns:c16="http://schemas.microsoft.com/office/drawing/2014/chart" uri="{C3380CC4-5D6E-409C-BE32-E72D297353CC}">
              <c16:uniqueId val="{00000002-C45D-4B68-9278-5081EC8AC894}"/>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ADBE!$B$28</c:f>
              <c:strCache>
                <c:ptCount val="1"/>
                <c:pt idx="0">
                  <c:v>Fair Value
Method 1</c:v>
                </c:pt>
              </c:strCache>
            </c:strRef>
          </c:tx>
          <c:spPr>
            <a:ln w="19050" cap="rnd">
              <a:solidFill>
                <a:schemeClr val="accent1"/>
              </a:solidFill>
              <a:round/>
            </a:ln>
            <a:effectLst/>
          </c:spPr>
          <c:marker>
            <c:symbol val="none"/>
          </c:marker>
          <c:yVal>
            <c:numRef>
              <c:f>ADBE!$B$29:$B$31</c:f>
              <c:numCache>
                <c:formatCode>0</c:formatCode>
                <c:ptCount val="3"/>
                <c:pt idx="0">
                  <c:v>306.95825669201446</c:v>
                </c:pt>
                <c:pt idx="1">
                  <c:v>415.28187265910259</c:v>
                </c:pt>
                <c:pt idx="2">
                  <c:v>543.8490277832218</c:v>
                </c:pt>
              </c:numCache>
            </c:numRef>
          </c:yVal>
          <c:smooth val="1"/>
          <c:extLst>
            <c:ext xmlns:c16="http://schemas.microsoft.com/office/drawing/2014/chart" uri="{C3380CC4-5D6E-409C-BE32-E72D297353CC}">
              <c16:uniqueId val="{00000000-95DB-41D2-BCD6-27C6FDDF6D88}"/>
            </c:ext>
          </c:extLst>
        </c:ser>
        <c:ser>
          <c:idx val="1"/>
          <c:order val="1"/>
          <c:tx>
            <c:strRef>
              <c:f>ADBE!$D$28</c:f>
              <c:strCache>
                <c:ptCount val="1"/>
                <c:pt idx="0">
                  <c:v>Fair Value 
Method 2</c:v>
                </c:pt>
              </c:strCache>
            </c:strRef>
          </c:tx>
          <c:spPr>
            <a:ln w="19050" cap="rnd">
              <a:solidFill>
                <a:schemeClr val="accent2"/>
              </a:solidFill>
              <a:round/>
            </a:ln>
            <a:effectLst/>
          </c:spPr>
          <c:marker>
            <c:symbol val="none"/>
          </c:marker>
          <c:yVal>
            <c:numRef>
              <c:f>ADBE!$D$29:$D$31</c:f>
              <c:numCache>
                <c:formatCode>_(* #,##0_);_(* \(#,##0\);_(* "-"??_);_(@_)</c:formatCode>
                <c:ptCount val="3"/>
                <c:pt idx="0">
                  <c:v>238.46564645245755</c:v>
                </c:pt>
                <c:pt idx="1">
                  <c:v>299.31269013853182</c:v>
                </c:pt>
                <c:pt idx="2">
                  <c:v>369.96659228834022</c:v>
                </c:pt>
              </c:numCache>
            </c:numRef>
          </c:yVal>
          <c:smooth val="1"/>
          <c:extLst>
            <c:ext xmlns:c16="http://schemas.microsoft.com/office/drawing/2014/chart" uri="{C3380CC4-5D6E-409C-BE32-E72D297353CC}">
              <c16:uniqueId val="{00000001-95DB-41D2-BCD6-27C6FDDF6D88}"/>
            </c:ext>
          </c:extLst>
        </c:ser>
        <c:ser>
          <c:idx val="2"/>
          <c:order val="2"/>
          <c:tx>
            <c:strRef>
              <c:f>ADBE!$A$6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(ADBE!$B$6,ADBE!$B$6)</c:f>
              <c:numCache>
                <c:formatCode>General</c:formatCode>
                <c:ptCount val="2"/>
                <c:pt idx="0">
                  <c:v>399.09</c:v>
                </c:pt>
                <c:pt idx="1">
                  <c:v>399.09</c:v>
                </c:pt>
              </c:numCache>
            </c:numRef>
          </c:yVal>
          <c:smooth val="1"/>
          <c:extLst>
            <c:ext xmlns:c16="http://schemas.microsoft.com/office/drawing/2014/chart" uri="{C3380CC4-5D6E-409C-BE32-E72D297353CC}">
              <c16:uniqueId val="{00000002-95DB-41D2-BCD6-27C6FDDF6D88}"/>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2"/>
          <c:order val="2"/>
          <c:tx>
            <c:strRef>
              <c:f>AMD!$A$6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(AMD!$B$6,AMD!$B$6)</c:f>
              <c:numCache>
                <c:formatCode>General</c:formatCode>
                <c:ptCount val="2"/>
                <c:pt idx="0">
                  <c:v>62.57</c:v>
                </c:pt>
                <c:pt idx="1">
                  <c:v>62.57</c:v>
                </c:pt>
              </c:numCache>
            </c:numRef>
          </c:yVal>
          <c:smooth val="1"/>
          <c:extLst>
            <c:ext xmlns:c16="http://schemas.microsoft.com/office/drawing/2014/chart" uri="{C3380CC4-5D6E-409C-BE32-E72D297353CC}">
              <c16:uniqueId val="{00000000-520B-48BD-BB23-DEC77F08CC93}"/>
            </c:ext>
          </c:extLst>
        </c:ser>
        <c:dLbls>
          <c:showLegendKey val="0"/>
          <c:showVal val="0"/>
          <c:showCatName val="0"/>
          <c:showSerName val="0"/>
          <c:showPercent val="0"/>
          <c:showBubbleSize val="0"/>
        </c:dLbls>
        <c:axId val="188383360"/>
        <c:axId val="188384192"/>
      </c:scatterChart>
      <c:scatterChart>
        <c:scatterStyle val="lineMarker"/>
        <c:varyColors val="0"/>
        <c:ser>
          <c:idx val="0"/>
          <c:order val="0"/>
          <c:tx>
            <c:strRef>
              <c:f>AMD!$B$28</c:f>
              <c:strCache>
                <c:ptCount val="1"/>
                <c:pt idx="0">
                  <c:v>Fair Value
Method 1</c:v>
                </c:pt>
              </c:strCache>
            </c:strRef>
          </c:tx>
          <c:spPr>
            <a:ln w="25400" cap="rnd">
              <a:noFill/>
              <a:round/>
            </a:ln>
            <a:effectLst/>
          </c:spPr>
          <c:marker>
            <c:symbol val="circle"/>
            <c:size val="5"/>
            <c:spPr>
              <a:solidFill>
                <a:schemeClr val="accent1"/>
              </a:solidFill>
              <a:ln w="9525">
                <a:solidFill>
                  <a:schemeClr val="accent1"/>
                </a:solidFill>
              </a:ln>
              <a:effectLst/>
            </c:spPr>
          </c:marker>
          <c:yVal>
            <c:numRef>
              <c:f>AMD!$B$29:$B$31</c:f>
              <c:numCache>
                <c:formatCode>0</c:formatCode>
                <c:ptCount val="3"/>
                <c:pt idx="0">
                  <c:v>50.601052281844275</c:v>
                </c:pt>
                <c:pt idx="1">
                  <c:v>76.33763215213348</c:v>
                </c:pt>
                <c:pt idx="2">
                  <c:v>141.54335255090132</c:v>
                </c:pt>
              </c:numCache>
            </c:numRef>
          </c:yVal>
          <c:smooth val="0"/>
          <c:extLst>
            <c:ext xmlns:c16="http://schemas.microsoft.com/office/drawing/2014/chart" uri="{C3380CC4-5D6E-409C-BE32-E72D297353CC}">
              <c16:uniqueId val="{00000001-520B-48BD-BB23-DEC77F08CC93}"/>
            </c:ext>
          </c:extLst>
        </c:ser>
        <c:ser>
          <c:idx val="1"/>
          <c:order val="1"/>
          <c:tx>
            <c:strRef>
              <c:f>AMD!$D$28</c:f>
              <c:strCache>
                <c:ptCount val="1"/>
                <c:pt idx="0">
                  <c:v>Fair Value 
Method 2</c:v>
                </c:pt>
              </c:strCache>
            </c:strRef>
          </c:tx>
          <c:spPr>
            <a:ln w="25400" cap="rnd">
              <a:noFill/>
              <a:round/>
            </a:ln>
            <a:effectLst/>
          </c:spPr>
          <c:marker>
            <c:symbol val="circle"/>
            <c:size val="5"/>
            <c:spPr>
              <a:solidFill>
                <a:schemeClr val="accent2"/>
              </a:solidFill>
              <a:ln w="9525">
                <a:solidFill>
                  <a:schemeClr val="accent2"/>
                </a:solidFill>
              </a:ln>
              <a:effectLst/>
            </c:spPr>
          </c:marker>
          <c:yVal>
            <c:numRef>
              <c:f>AMD!$D$29:$D$31</c:f>
              <c:numCache>
                <c:formatCode>_(* #,##0_);_(* \(#,##0\);_(* "-"??_);_(@_)</c:formatCode>
                <c:ptCount val="3"/>
                <c:pt idx="0">
                  <c:v>59.373691863244957</c:v>
                </c:pt>
                <c:pt idx="1">
                  <c:v>82.276256714500761</c:v>
                </c:pt>
                <c:pt idx="2">
                  <c:v>138.46174503406428</c:v>
                </c:pt>
              </c:numCache>
            </c:numRef>
          </c:yVal>
          <c:smooth val="0"/>
          <c:extLst>
            <c:ext xmlns:c16="http://schemas.microsoft.com/office/drawing/2014/chart" uri="{C3380CC4-5D6E-409C-BE32-E72D297353CC}">
              <c16:uniqueId val="{00000002-520B-48BD-BB23-DEC77F08CC93}"/>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AMZN!$B$28</c:f>
              <c:strCache>
                <c:ptCount val="1"/>
                <c:pt idx="0">
                  <c:v>Fair Value
Method 1</c:v>
                </c:pt>
              </c:strCache>
            </c:strRef>
          </c:tx>
          <c:spPr>
            <a:ln w="19050" cap="rnd">
              <a:solidFill>
                <a:schemeClr val="accent1"/>
              </a:solidFill>
              <a:round/>
            </a:ln>
            <a:effectLst/>
          </c:spPr>
          <c:marker>
            <c:symbol val="none"/>
          </c:marker>
          <c:yVal>
            <c:numRef>
              <c:f>AMZN!$B$29:$B$31</c:f>
              <c:numCache>
                <c:formatCode>0</c:formatCode>
                <c:ptCount val="3"/>
                <c:pt idx="0">
                  <c:v>8046.3800798960219</c:v>
                </c:pt>
                <c:pt idx="1">
                  <c:v>14507.284795194533</c:v>
                </c:pt>
                <c:pt idx="2">
                  <c:v>30420.327326875522</c:v>
                </c:pt>
              </c:numCache>
            </c:numRef>
          </c:yVal>
          <c:smooth val="1"/>
          <c:extLst>
            <c:ext xmlns:c16="http://schemas.microsoft.com/office/drawing/2014/chart" uri="{C3380CC4-5D6E-409C-BE32-E72D297353CC}">
              <c16:uniqueId val="{00000000-BC56-4B10-B3C6-1FD3F0059BA4}"/>
            </c:ext>
          </c:extLst>
        </c:ser>
        <c:ser>
          <c:idx val="1"/>
          <c:order val="1"/>
          <c:tx>
            <c:strRef>
              <c:f>AMZN!$D$28</c:f>
              <c:strCache>
                <c:ptCount val="1"/>
                <c:pt idx="0">
                  <c:v>Fair Value 
Method 2</c:v>
                </c:pt>
              </c:strCache>
            </c:strRef>
          </c:tx>
          <c:spPr>
            <a:ln w="19050" cap="rnd">
              <a:solidFill>
                <a:schemeClr val="accent2"/>
              </a:solidFill>
              <a:round/>
            </a:ln>
            <a:effectLst/>
          </c:spPr>
          <c:marker>
            <c:symbol val="none"/>
          </c:marker>
          <c:yVal>
            <c:numRef>
              <c:f>AMZN!$D$29:$D$31</c:f>
              <c:numCache>
                <c:formatCode>_(* #,##0_);_(* \(#,##0\);_(* "-"??_);_(@_)</c:formatCode>
                <c:ptCount val="3"/>
                <c:pt idx="0">
                  <c:v>1318.0445916029378</c:v>
                </c:pt>
                <c:pt idx="1">
                  <c:v>2147.3766923797284</c:v>
                </c:pt>
                <c:pt idx="2">
                  <c:v>4126.4694283221097</c:v>
                </c:pt>
              </c:numCache>
            </c:numRef>
          </c:yVal>
          <c:smooth val="1"/>
          <c:extLst>
            <c:ext xmlns:c16="http://schemas.microsoft.com/office/drawing/2014/chart" uri="{C3380CC4-5D6E-409C-BE32-E72D297353CC}">
              <c16:uniqueId val="{00000001-BC56-4B10-B3C6-1FD3F0059BA4}"/>
            </c:ext>
          </c:extLst>
        </c:ser>
        <c:ser>
          <c:idx val="2"/>
          <c:order val="2"/>
          <c:tx>
            <c:strRef>
              <c:f>AMZN!$A$6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(AMZN!$B$6,AMZN!$B$6)</c:f>
              <c:numCache>
                <c:formatCode>General</c:formatCode>
                <c:ptCount val="2"/>
                <c:pt idx="0">
                  <c:v>2447</c:v>
                </c:pt>
                <c:pt idx="1">
                  <c:v>2447</c:v>
                </c:pt>
              </c:numCache>
            </c:numRef>
          </c:yVal>
          <c:smooth val="1"/>
          <c:extLst>
            <c:ext xmlns:c16="http://schemas.microsoft.com/office/drawing/2014/chart" uri="{C3380CC4-5D6E-409C-BE32-E72D297353CC}">
              <c16:uniqueId val="{00000002-BC56-4B10-B3C6-1FD3F0059BA4}"/>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ASML!$B$28</c:f>
              <c:strCache>
                <c:ptCount val="1"/>
                <c:pt idx="0">
                  <c:v>Fair Value
Method 1</c:v>
                </c:pt>
              </c:strCache>
            </c:strRef>
          </c:tx>
          <c:spPr>
            <a:ln w="19050" cap="rnd">
              <a:solidFill>
                <a:schemeClr val="accent1"/>
              </a:solidFill>
              <a:round/>
            </a:ln>
            <a:effectLst/>
          </c:spPr>
          <c:marker>
            <c:symbol val="none"/>
          </c:marker>
          <c:yVal>
            <c:numRef>
              <c:f>ASML!$B$29:$B$31</c:f>
              <c:numCache>
                <c:formatCode>0</c:formatCode>
                <c:ptCount val="3"/>
                <c:pt idx="0">
                  <c:v>507.45586520442663</c:v>
                </c:pt>
                <c:pt idx="1">
                  <c:v>976.50395844312175</c:v>
                </c:pt>
                <c:pt idx="2">
                  <c:v>2046.3600923464976</c:v>
                </c:pt>
              </c:numCache>
            </c:numRef>
          </c:yVal>
          <c:smooth val="1"/>
          <c:extLst>
            <c:ext xmlns:c16="http://schemas.microsoft.com/office/drawing/2014/chart" uri="{C3380CC4-5D6E-409C-BE32-E72D297353CC}">
              <c16:uniqueId val="{00000000-033B-44CC-AF62-CD4BC669DD98}"/>
            </c:ext>
          </c:extLst>
        </c:ser>
        <c:ser>
          <c:idx val="1"/>
          <c:order val="1"/>
          <c:tx>
            <c:strRef>
              <c:f>ASML!$D$28</c:f>
              <c:strCache>
                <c:ptCount val="1"/>
                <c:pt idx="0">
                  <c:v>Fair Value 
Method 2</c:v>
                </c:pt>
              </c:strCache>
            </c:strRef>
          </c:tx>
          <c:spPr>
            <a:ln w="19050" cap="rnd">
              <a:solidFill>
                <a:schemeClr val="accent2"/>
              </a:solidFill>
              <a:round/>
            </a:ln>
            <a:effectLst/>
          </c:spPr>
          <c:marker>
            <c:symbol val="none"/>
          </c:marker>
          <c:yVal>
            <c:numRef>
              <c:f>ASML!$D$29:$D$31</c:f>
              <c:numCache>
                <c:formatCode>_(* #,##0_);_(* \(#,##0\);_(* "-"??_);_(@_)</c:formatCode>
                <c:ptCount val="3"/>
                <c:pt idx="0">
                  <c:v>430.53998978925489</c:v>
                </c:pt>
                <c:pt idx="1">
                  <c:v>715.84506013020814</c:v>
                </c:pt>
                <c:pt idx="2">
                  <c:v>1338.4189345404648</c:v>
                </c:pt>
              </c:numCache>
            </c:numRef>
          </c:yVal>
          <c:smooth val="1"/>
          <c:extLst>
            <c:ext xmlns:c16="http://schemas.microsoft.com/office/drawing/2014/chart" uri="{C3380CC4-5D6E-409C-BE32-E72D297353CC}">
              <c16:uniqueId val="{00000001-033B-44CC-AF62-CD4BC669DD98}"/>
            </c:ext>
          </c:extLst>
        </c:ser>
        <c:ser>
          <c:idx val="2"/>
          <c:order val="2"/>
          <c:tx>
            <c:strRef>
              <c:f>ASML!$A$6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(ASML!$B$6,ASML!$B$6)</c:f>
              <c:numCache>
                <c:formatCode>General</c:formatCode>
                <c:ptCount val="2"/>
                <c:pt idx="0">
                  <c:v>567</c:v>
                </c:pt>
                <c:pt idx="1">
                  <c:v>567</c:v>
                </c:pt>
              </c:numCache>
            </c:numRef>
          </c:yVal>
          <c:smooth val="1"/>
          <c:extLst>
            <c:ext xmlns:c16="http://schemas.microsoft.com/office/drawing/2014/chart" uri="{C3380CC4-5D6E-409C-BE32-E72D297353CC}">
              <c16:uniqueId val="{00000002-033B-44CC-AF62-CD4BC669DD98}"/>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BLK!$B$28</c:f>
              <c:strCache>
                <c:ptCount val="1"/>
                <c:pt idx="0">
                  <c:v>Fair Value
Method 1</c:v>
                </c:pt>
              </c:strCache>
            </c:strRef>
          </c:tx>
          <c:spPr>
            <a:ln w="19050" cap="rnd">
              <a:solidFill>
                <a:schemeClr val="accent1"/>
              </a:solidFill>
              <a:round/>
            </a:ln>
            <a:effectLst/>
          </c:spPr>
          <c:marker>
            <c:symbol val="none"/>
          </c:marker>
          <c:yVal>
            <c:numRef>
              <c:f>BLK!$B$29:$B$31</c:f>
              <c:numCache>
                <c:formatCode>0</c:formatCode>
                <c:ptCount val="3"/>
                <c:pt idx="0">
                  <c:v>319.14271848711684</c:v>
                </c:pt>
                <c:pt idx="1">
                  <c:v>347.1479846875074</c:v>
                </c:pt>
                <c:pt idx="2">
                  <c:v>388.92035460416804</c:v>
                </c:pt>
              </c:numCache>
            </c:numRef>
          </c:yVal>
          <c:smooth val="1"/>
          <c:extLst>
            <c:ext xmlns:c16="http://schemas.microsoft.com/office/drawing/2014/chart" uri="{C3380CC4-5D6E-409C-BE32-E72D297353CC}">
              <c16:uniqueId val="{00000000-D35B-4CE3-85D8-47D0EF9E9F6F}"/>
            </c:ext>
          </c:extLst>
        </c:ser>
        <c:ser>
          <c:idx val="1"/>
          <c:order val="1"/>
          <c:tx>
            <c:strRef>
              <c:f>BLK!$D$28</c:f>
              <c:strCache>
                <c:ptCount val="1"/>
                <c:pt idx="0">
                  <c:v>Fair Value 
Method 2</c:v>
                </c:pt>
              </c:strCache>
            </c:strRef>
          </c:tx>
          <c:spPr>
            <a:ln w="19050" cap="rnd">
              <a:solidFill>
                <a:schemeClr val="accent2"/>
              </a:solidFill>
              <a:round/>
            </a:ln>
            <a:effectLst/>
          </c:spPr>
          <c:marker>
            <c:symbol val="none"/>
          </c:marker>
          <c:yVal>
            <c:numRef>
              <c:f>BLK!$D$29:$D$31</c:f>
              <c:numCache>
                <c:formatCode>_(* #,##0_);_(* \(#,##0\);_(* "-"??_);_(@_)</c:formatCode>
                <c:ptCount val="3"/>
                <c:pt idx="0">
                  <c:v>426.5250516338088</c:v>
                </c:pt>
                <c:pt idx="1">
                  <c:v>449.4061949721671</c:v>
                </c:pt>
                <c:pt idx="2">
                  <c:v>483.20400096461657</c:v>
                </c:pt>
              </c:numCache>
            </c:numRef>
          </c:yVal>
          <c:smooth val="1"/>
          <c:extLst>
            <c:ext xmlns:c16="http://schemas.microsoft.com/office/drawing/2014/chart" uri="{C3380CC4-5D6E-409C-BE32-E72D297353CC}">
              <c16:uniqueId val="{00000001-D35B-4CE3-85D8-47D0EF9E9F6F}"/>
            </c:ext>
          </c:extLst>
        </c:ser>
        <c:ser>
          <c:idx val="2"/>
          <c:order val="2"/>
          <c:tx>
            <c:strRef>
              <c:f>BLK!$A$6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(BLK!$B$6,BLK!$B$6)</c:f>
              <c:numCache>
                <c:formatCode>General</c:formatCode>
                <c:ptCount val="2"/>
                <c:pt idx="0">
                  <c:v>671</c:v>
                </c:pt>
                <c:pt idx="1">
                  <c:v>671</c:v>
                </c:pt>
              </c:numCache>
            </c:numRef>
          </c:yVal>
          <c:smooth val="1"/>
          <c:extLst>
            <c:ext xmlns:c16="http://schemas.microsoft.com/office/drawing/2014/chart" uri="{C3380CC4-5D6E-409C-BE32-E72D297353CC}">
              <c16:uniqueId val="{00000002-D35B-4CE3-85D8-47D0EF9E9F6F}"/>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BWXT!$B$27</c:f>
              <c:strCache>
                <c:ptCount val="1"/>
                <c:pt idx="0">
                  <c:v>Fair Value
Method 1</c:v>
                </c:pt>
              </c:strCache>
            </c:strRef>
          </c:tx>
          <c:spPr>
            <a:ln w="19050" cap="rnd">
              <a:solidFill>
                <a:schemeClr val="accent1"/>
              </a:solidFill>
              <a:round/>
            </a:ln>
            <a:effectLst/>
          </c:spPr>
          <c:marker>
            <c:symbol val="none"/>
          </c:marker>
          <c:yVal>
            <c:numRef>
              <c:f>BWXT!$B$28:$B$30</c:f>
              <c:numCache>
                <c:formatCode>0</c:formatCode>
                <c:ptCount val="3"/>
                <c:pt idx="0">
                  <c:v>50.190417627081459</c:v>
                </c:pt>
                <c:pt idx="1">
                  <c:v>75.485906517943278</c:v>
                </c:pt>
                <c:pt idx="2">
                  <c:v>141.15341251810699</c:v>
                </c:pt>
              </c:numCache>
            </c:numRef>
          </c:yVal>
          <c:smooth val="1"/>
          <c:extLst>
            <c:ext xmlns:c16="http://schemas.microsoft.com/office/drawing/2014/chart" uri="{C3380CC4-5D6E-409C-BE32-E72D297353CC}">
              <c16:uniqueId val="{00000000-14B5-4243-93EC-A801E0051AA1}"/>
            </c:ext>
          </c:extLst>
        </c:ser>
        <c:ser>
          <c:idx val="1"/>
          <c:order val="1"/>
          <c:tx>
            <c:strRef>
              <c:f>BWXT!$D$27</c:f>
              <c:strCache>
                <c:ptCount val="1"/>
                <c:pt idx="0">
                  <c:v>Fair Value 
Method 2</c:v>
                </c:pt>
              </c:strCache>
            </c:strRef>
          </c:tx>
          <c:spPr>
            <a:ln w="19050" cap="rnd">
              <a:solidFill>
                <a:schemeClr val="accent2"/>
              </a:solidFill>
              <a:round/>
            </a:ln>
            <a:effectLst/>
          </c:spPr>
          <c:marker>
            <c:symbol val="none"/>
          </c:marker>
          <c:yVal>
            <c:numRef>
              <c:f>BWXT!$D$28:$D$30</c:f>
              <c:numCache>
                <c:formatCode>_(* #,##0_);_(* \(#,##0\);_(* "-"??_);_(@_)</c:formatCode>
                <c:ptCount val="3"/>
                <c:pt idx="0">
                  <c:v>13.249243025675376</c:v>
                </c:pt>
                <c:pt idx="1">
                  <c:v>17.606336111598516</c:v>
                </c:pt>
                <c:pt idx="2">
                  <c:v>28.392780356991651</c:v>
                </c:pt>
              </c:numCache>
            </c:numRef>
          </c:yVal>
          <c:smooth val="1"/>
          <c:extLst>
            <c:ext xmlns:c16="http://schemas.microsoft.com/office/drawing/2014/chart" uri="{C3380CC4-5D6E-409C-BE32-E72D297353CC}">
              <c16:uniqueId val="{00000001-14B5-4243-93EC-A801E0051AA1}"/>
            </c:ext>
          </c:extLst>
        </c:ser>
        <c:ser>
          <c:idx val="2"/>
          <c:order val="2"/>
          <c:tx>
            <c:strRef>
              <c:f>BWXT!$A$6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(BWXT!$B$6,BWXT!$B$6)</c:f>
              <c:numCache>
                <c:formatCode>General</c:formatCode>
                <c:ptCount val="2"/>
                <c:pt idx="0">
                  <c:v>44.24</c:v>
                </c:pt>
                <c:pt idx="1">
                  <c:v>44.24</c:v>
                </c:pt>
              </c:numCache>
            </c:numRef>
          </c:yVal>
          <c:smooth val="1"/>
          <c:extLst>
            <c:ext xmlns:c16="http://schemas.microsoft.com/office/drawing/2014/chart" uri="{C3380CC4-5D6E-409C-BE32-E72D297353CC}">
              <c16:uniqueId val="{00000002-14B5-4243-93EC-A801E0051AA1}"/>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CMCSA!$B$28</c:f>
              <c:strCache>
                <c:ptCount val="1"/>
                <c:pt idx="0">
                  <c:v>Fair Value
Method 1</c:v>
                </c:pt>
              </c:strCache>
            </c:strRef>
          </c:tx>
          <c:spPr>
            <a:ln w="19050" cap="rnd">
              <a:solidFill>
                <a:schemeClr val="accent1"/>
              </a:solidFill>
              <a:round/>
            </a:ln>
            <a:effectLst/>
          </c:spPr>
          <c:marker>
            <c:symbol val="none"/>
          </c:marker>
          <c:yVal>
            <c:numRef>
              <c:f>CMCSA!$B$29:$B$31</c:f>
              <c:numCache>
                <c:formatCode>0</c:formatCode>
                <c:ptCount val="3"/>
                <c:pt idx="0">
                  <c:v>29.86355020817432</c:v>
                </c:pt>
                <c:pt idx="1">
                  <c:v>39.036050375012444</c:v>
                </c:pt>
                <c:pt idx="2">
                  <c:v>44.836181496396946</c:v>
                </c:pt>
              </c:numCache>
            </c:numRef>
          </c:yVal>
          <c:smooth val="1"/>
          <c:extLst>
            <c:ext xmlns:c16="http://schemas.microsoft.com/office/drawing/2014/chart" uri="{C3380CC4-5D6E-409C-BE32-E72D297353CC}">
              <c16:uniqueId val="{00000000-8686-4450-BB0A-300DAD89E206}"/>
            </c:ext>
          </c:extLst>
        </c:ser>
        <c:ser>
          <c:idx val="1"/>
          <c:order val="1"/>
          <c:tx>
            <c:strRef>
              <c:f>CMCSA!$D$28</c:f>
              <c:strCache>
                <c:ptCount val="1"/>
                <c:pt idx="0">
                  <c:v>Fair Value 
Method 2</c:v>
                </c:pt>
              </c:strCache>
            </c:strRef>
          </c:tx>
          <c:spPr>
            <a:ln w="19050" cap="rnd">
              <a:solidFill>
                <a:schemeClr val="accent2"/>
              </a:solidFill>
              <a:round/>
            </a:ln>
            <a:effectLst/>
          </c:spPr>
          <c:marker>
            <c:symbol val="none"/>
          </c:marker>
          <c:yVal>
            <c:numRef>
              <c:f>CMCSA!$D$29:$D$31</c:f>
              <c:numCache>
                <c:formatCode>_(* #,##0_);_(* \(#,##0\);_(* "-"??_);_(@_)</c:formatCode>
                <c:ptCount val="3"/>
                <c:pt idx="0">
                  <c:v>55.063396034635545</c:v>
                </c:pt>
                <c:pt idx="1">
                  <c:v>67.021000335874575</c:v>
                </c:pt>
                <c:pt idx="2">
                  <c:v>74.456601432275605</c:v>
                </c:pt>
              </c:numCache>
            </c:numRef>
          </c:yVal>
          <c:smooth val="1"/>
          <c:extLst>
            <c:ext xmlns:c16="http://schemas.microsoft.com/office/drawing/2014/chart" uri="{C3380CC4-5D6E-409C-BE32-E72D297353CC}">
              <c16:uniqueId val="{00000001-8686-4450-BB0A-300DAD89E206}"/>
            </c:ext>
          </c:extLst>
        </c:ser>
        <c:ser>
          <c:idx val="2"/>
          <c:order val="2"/>
          <c:tx>
            <c:strRef>
              <c:f>CMCSA!$A$6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(CMCSA!$B$6,CMCSA!$B$6)</c:f>
              <c:numCache>
                <c:formatCode>General</c:formatCode>
                <c:ptCount val="2"/>
                <c:pt idx="0">
                  <c:v>42.93</c:v>
                </c:pt>
                <c:pt idx="1">
                  <c:v>42.93</c:v>
                </c:pt>
              </c:numCache>
            </c:numRef>
          </c:yVal>
          <c:smooth val="1"/>
          <c:extLst>
            <c:ext xmlns:c16="http://schemas.microsoft.com/office/drawing/2014/chart" uri="{C3380CC4-5D6E-409C-BE32-E72D297353CC}">
              <c16:uniqueId val="{00000002-8686-4450-BB0A-300DAD89E206}"/>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2"/>
          <c:order val="2"/>
          <c:tx>
            <c:strRef>
              <c:f>CWEN!$A$6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(CWEN!$B$6,CWEN!$B$6)</c:f>
              <c:numCache>
                <c:formatCode>General</c:formatCode>
                <c:ptCount val="2"/>
                <c:pt idx="0">
                  <c:v>35.06</c:v>
                </c:pt>
                <c:pt idx="1">
                  <c:v>35.06</c:v>
                </c:pt>
              </c:numCache>
            </c:numRef>
          </c:yVal>
          <c:smooth val="1"/>
          <c:extLst>
            <c:ext xmlns:c16="http://schemas.microsoft.com/office/drawing/2014/chart" uri="{C3380CC4-5D6E-409C-BE32-E72D297353CC}">
              <c16:uniqueId val="{00000002-5C63-4EEF-BCC1-FB4F06638DF4}"/>
            </c:ext>
          </c:extLst>
        </c:ser>
        <c:dLbls>
          <c:showLegendKey val="0"/>
          <c:showVal val="0"/>
          <c:showCatName val="0"/>
          <c:showSerName val="0"/>
          <c:showPercent val="0"/>
          <c:showBubbleSize val="0"/>
        </c:dLbls>
        <c:axId val="188383360"/>
        <c:axId val="188384192"/>
      </c:scatterChart>
      <c:scatterChart>
        <c:scatterStyle val="lineMarker"/>
        <c:varyColors val="0"/>
        <c:ser>
          <c:idx val="0"/>
          <c:order val="0"/>
          <c:tx>
            <c:strRef>
              <c:f>CWEN!$B$28</c:f>
              <c:strCache>
                <c:ptCount val="1"/>
                <c:pt idx="0">
                  <c:v>Fair Value
Method 1</c:v>
                </c:pt>
              </c:strCache>
            </c:strRef>
          </c:tx>
          <c:spPr>
            <a:ln w="25400" cap="rnd">
              <a:noFill/>
              <a:round/>
            </a:ln>
            <a:effectLst/>
          </c:spPr>
          <c:marker>
            <c:symbol val="circle"/>
            <c:size val="5"/>
            <c:spPr>
              <a:solidFill>
                <a:schemeClr val="accent1"/>
              </a:solidFill>
              <a:ln w="9525">
                <a:solidFill>
                  <a:schemeClr val="accent1"/>
                </a:solidFill>
              </a:ln>
              <a:effectLst/>
            </c:spPr>
          </c:marker>
          <c:yVal>
            <c:numRef>
              <c:f>CWEN!$B$29:$B$31</c:f>
              <c:numCache>
                <c:formatCode>0</c:formatCode>
                <c:ptCount val="3"/>
                <c:pt idx="0">
                  <c:v>6.6167885371775466</c:v>
                </c:pt>
                <c:pt idx="1">
                  <c:v>10.417560679131432</c:v>
                </c:pt>
                <c:pt idx="2">
                  <c:v>16.047940024374054</c:v>
                </c:pt>
              </c:numCache>
            </c:numRef>
          </c:yVal>
          <c:smooth val="0"/>
          <c:extLst>
            <c:ext xmlns:c16="http://schemas.microsoft.com/office/drawing/2014/chart" uri="{C3380CC4-5D6E-409C-BE32-E72D297353CC}">
              <c16:uniqueId val="{00000000-5C63-4EEF-BCC1-FB4F06638DF4}"/>
            </c:ext>
          </c:extLst>
        </c:ser>
        <c:ser>
          <c:idx val="1"/>
          <c:order val="1"/>
          <c:tx>
            <c:strRef>
              <c:f>CWEN!$D$28</c:f>
              <c:strCache>
                <c:ptCount val="1"/>
                <c:pt idx="0">
                  <c:v>Fair Value 
Method 2</c:v>
                </c:pt>
              </c:strCache>
            </c:strRef>
          </c:tx>
          <c:spPr>
            <a:ln w="25400" cap="rnd">
              <a:noFill/>
              <a:round/>
            </a:ln>
            <a:effectLst/>
          </c:spPr>
          <c:marker>
            <c:symbol val="circle"/>
            <c:size val="5"/>
            <c:spPr>
              <a:solidFill>
                <a:schemeClr val="accent2"/>
              </a:solidFill>
              <a:ln w="9525">
                <a:solidFill>
                  <a:schemeClr val="accent2"/>
                </a:solidFill>
              </a:ln>
              <a:effectLst/>
            </c:spPr>
          </c:marker>
          <c:yVal>
            <c:numRef>
              <c:f>CWEN!$D$29:$D$31</c:f>
              <c:numCache>
                <c:formatCode>_(* #,##0_);_(* \(#,##0\);_(* "-"??_);_(@_)</c:formatCode>
                <c:ptCount val="3"/>
                <c:pt idx="0">
                  <c:v>35.438981347742391</c:v>
                </c:pt>
                <c:pt idx="1">
                  <c:v>46.637755409824244</c:v>
                </c:pt>
                <c:pt idx="2">
                  <c:v>62.373731298580665</c:v>
                </c:pt>
              </c:numCache>
            </c:numRef>
          </c:yVal>
          <c:smooth val="0"/>
          <c:extLst>
            <c:ext xmlns:c16="http://schemas.microsoft.com/office/drawing/2014/chart" uri="{C3380CC4-5D6E-409C-BE32-E72D297353CC}">
              <c16:uniqueId val="{00000001-5C63-4EEF-BCC1-FB4F06638DF4}"/>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EFX!$B$28</c:f>
              <c:strCache>
                <c:ptCount val="1"/>
                <c:pt idx="0">
                  <c:v>Fair Value
Method 1</c:v>
                </c:pt>
              </c:strCache>
            </c:strRef>
          </c:tx>
          <c:spPr>
            <a:ln w="19050" cap="rnd">
              <a:solidFill>
                <a:schemeClr val="accent1"/>
              </a:solidFill>
              <a:round/>
            </a:ln>
            <a:effectLst/>
          </c:spPr>
          <c:marker>
            <c:symbol val="none"/>
          </c:marker>
          <c:yVal>
            <c:numRef>
              <c:f>EFX!$B$29:$B$31</c:f>
              <c:numCache>
                <c:formatCode>0</c:formatCode>
                <c:ptCount val="3"/>
                <c:pt idx="0">
                  <c:v>107.9470704096728</c:v>
                </c:pt>
                <c:pt idx="1">
                  <c:v>171.53667580368341</c:v>
                </c:pt>
                <c:pt idx="2">
                  <c:v>237.83053437972396</c:v>
                </c:pt>
              </c:numCache>
            </c:numRef>
          </c:yVal>
          <c:smooth val="1"/>
          <c:extLst>
            <c:ext xmlns:c16="http://schemas.microsoft.com/office/drawing/2014/chart" uri="{C3380CC4-5D6E-409C-BE32-E72D297353CC}">
              <c16:uniqueId val="{00000000-CEA5-4133-8724-620F6D24F4B8}"/>
            </c:ext>
          </c:extLst>
        </c:ser>
        <c:ser>
          <c:idx val="1"/>
          <c:order val="1"/>
          <c:tx>
            <c:strRef>
              <c:f>EFX!$D$28</c:f>
              <c:strCache>
                <c:ptCount val="1"/>
                <c:pt idx="0">
                  <c:v>Fair Value 
Method 2</c:v>
                </c:pt>
              </c:strCache>
            </c:strRef>
          </c:tx>
          <c:spPr>
            <a:ln w="19050" cap="rnd">
              <a:solidFill>
                <a:schemeClr val="accent2"/>
              </a:solidFill>
              <a:round/>
            </a:ln>
            <a:effectLst/>
          </c:spPr>
          <c:marker>
            <c:symbol val="none"/>
          </c:marker>
          <c:yVal>
            <c:numRef>
              <c:f>EFX!$D$29:$D$31</c:f>
              <c:numCache>
                <c:formatCode>_(* #,##0_);_(* \(#,##0\);_(* "-"??_);_(@_)</c:formatCode>
                <c:ptCount val="3"/>
                <c:pt idx="0">
                  <c:v>99.655597621471443</c:v>
                </c:pt>
                <c:pt idx="1">
                  <c:v>141.04627326697667</c:v>
                </c:pt>
                <c:pt idx="2">
                  <c:v>182.8964235631957</c:v>
                </c:pt>
              </c:numCache>
            </c:numRef>
          </c:yVal>
          <c:smooth val="1"/>
          <c:extLst>
            <c:ext xmlns:c16="http://schemas.microsoft.com/office/drawing/2014/chart" uri="{C3380CC4-5D6E-409C-BE32-E72D297353CC}">
              <c16:uniqueId val="{00000001-CEA5-4133-8724-620F6D24F4B8}"/>
            </c:ext>
          </c:extLst>
        </c:ser>
        <c:ser>
          <c:idx val="2"/>
          <c:order val="2"/>
          <c:tx>
            <c:strRef>
              <c:f>EFX!$A$6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(EFX!$B$6,EFX!$B$6)</c:f>
              <c:numCache>
                <c:formatCode>General</c:formatCode>
                <c:ptCount val="2"/>
                <c:pt idx="0">
                  <c:v>200.56</c:v>
                </c:pt>
                <c:pt idx="1">
                  <c:v>200.56</c:v>
                </c:pt>
              </c:numCache>
            </c:numRef>
          </c:yVal>
          <c:smooth val="1"/>
          <c:extLst>
            <c:ext xmlns:c16="http://schemas.microsoft.com/office/drawing/2014/chart" uri="{C3380CC4-5D6E-409C-BE32-E72D297353CC}">
              <c16:uniqueId val="{00000002-CEA5-4133-8724-620F6D24F4B8}"/>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MSFT!$B$27</c:f>
              <c:strCache>
                <c:ptCount val="1"/>
                <c:pt idx="0">
                  <c:v>Fair Value
Method 1</c:v>
                </c:pt>
              </c:strCache>
            </c:strRef>
          </c:tx>
          <c:spPr>
            <a:ln w="19050" cap="rnd">
              <a:solidFill>
                <a:schemeClr val="accent1"/>
              </a:solidFill>
              <a:round/>
            </a:ln>
            <a:effectLst/>
          </c:spPr>
          <c:marker>
            <c:symbol val="none"/>
          </c:marker>
          <c:yVal>
            <c:numRef>
              <c:f>MSFT!$B$28:$B$30</c:f>
              <c:numCache>
                <c:formatCode>0</c:formatCode>
                <c:ptCount val="3"/>
                <c:pt idx="0">
                  <c:v>155.24989983220203</c:v>
                </c:pt>
                <c:pt idx="1">
                  <c:v>193.944767718213</c:v>
                </c:pt>
                <c:pt idx="2">
                  <c:v>261.75317215722913</c:v>
                </c:pt>
              </c:numCache>
            </c:numRef>
          </c:yVal>
          <c:smooth val="1"/>
          <c:extLst>
            <c:ext xmlns:c16="http://schemas.microsoft.com/office/drawing/2014/chart" uri="{C3380CC4-5D6E-409C-BE32-E72D297353CC}">
              <c16:uniqueId val="{00000000-3AD4-47D2-97EF-058DE51266F3}"/>
            </c:ext>
          </c:extLst>
        </c:ser>
        <c:ser>
          <c:idx val="1"/>
          <c:order val="1"/>
          <c:tx>
            <c:strRef>
              <c:f>MSFT!$D$27</c:f>
              <c:strCache>
                <c:ptCount val="1"/>
                <c:pt idx="0">
                  <c:v>Fair Value 
Method 2</c:v>
                </c:pt>
              </c:strCache>
            </c:strRef>
          </c:tx>
          <c:spPr>
            <a:ln w="19050" cap="rnd">
              <a:solidFill>
                <a:schemeClr val="accent2"/>
              </a:solidFill>
              <a:round/>
            </a:ln>
            <a:effectLst/>
          </c:spPr>
          <c:marker>
            <c:symbol val="none"/>
          </c:marker>
          <c:yVal>
            <c:numRef>
              <c:f>MSFT!$D$28:$D$30</c:f>
              <c:numCache>
                <c:formatCode>_(* #,##0_);_(* \(#,##0\);_(* "-"??_);_(@_)</c:formatCode>
                <c:ptCount val="3"/>
                <c:pt idx="0">
                  <c:v>125.11363027362181</c:v>
                </c:pt>
                <c:pt idx="1">
                  <c:v>148.34920810490428</c:v>
                </c:pt>
                <c:pt idx="2">
                  <c:v>188.24813911964364</c:v>
                </c:pt>
              </c:numCache>
            </c:numRef>
          </c:yVal>
          <c:smooth val="1"/>
          <c:extLst>
            <c:ext xmlns:c16="http://schemas.microsoft.com/office/drawing/2014/chart" uri="{C3380CC4-5D6E-409C-BE32-E72D297353CC}">
              <c16:uniqueId val="{00000001-3AD4-47D2-97EF-058DE51266F3}"/>
            </c:ext>
          </c:extLst>
        </c:ser>
        <c:ser>
          <c:idx val="2"/>
          <c:order val="2"/>
          <c:tx>
            <c:strRef>
              <c:f>MSFT!$A$6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(MSFT!$B$6,MSFT!$B$6)</c:f>
              <c:numCache>
                <c:formatCode>General</c:formatCode>
                <c:ptCount val="2"/>
                <c:pt idx="0">
                  <c:v>106.32</c:v>
                </c:pt>
                <c:pt idx="1">
                  <c:v>106.32</c:v>
                </c:pt>
              </c:numCache>
            </c:numRef>
          </c:yVal>
          <c:smooth val="1"/>
          <c:extLst>
            <c:ext xmlns:c16="http://schemas.microsoft.com/office/drawing/2014/chart" uri="{C3380CC4-5D6E-409C-BE32-E72D297353CC}">
              <c16:uniqueId val="{00000002-3AD4-47D2-97EF-058DE51266F3}"/>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2"/>
          <c:order val="2"/>
          <c:tx>
            <c:strRef>
              <c:f>Template!$A$6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(Template!$B$6,Template!$B$6)</c:f>
              <c:numCache>
                <c:formatCode>General</c:formatCode>
                <c:ptCount val="2"/>
                <c:pt idx="0">
                  <c:v>106.32</c:v>
                </c:pt>
                <c:pt idx="1">
                  <c:v>106.32</c:v>
                </c:pt>
              </c:numCache>
            </c:numRef>
          </c:yVal>
          <c:smooth val="1"/>
          <c:extLst>
            <c:ext xmlns:c16="http://schemas.microsoft.com/office/drawing/2014/chart" uri="{C3380CC4-5D6E-409C-BE32-E72D297353CC}">
              <c16:uniqueId val="{00000000-D37F-40D4-985F-42140A283A29}"/>
            </c:ext>
          </c:extLst>
        </c:ser>
        <c:dLbls>
          <c:showLegendKey val="0"/>
          <c:showVal val="0"/>
          <c:showCatName val="0"/>
          <c:showSerName val="0"/>
          <c:showPercent val="0"/>
          <c:showBubbleSize val="0"/>
        </c:dLbls>
        <c:axId val="188383360"/>
        <c:axId val="188384192"/>
      </c:scatterChart>
      <c:scatterChart>
        <c:scatterStyle val="lineMarker"/>
        <c:varyColors val="0"/>
        <c:ser>
          <c:idx val="0"/>
          <c:order val="0"/>
          <c:tx>
            <c:strRef>
              <c:f>Template!$B$28</c:f>
              <c:strCache>
                <c:ptCount val="1"/>
                <c:pt idx="0">
                  <c:v>Fair Value
Method 1</c:v>
                </c:pt>
              </c:strCache>
            </c:strRef>
          </c:tx>
          <c:spPr>
            <a:ln w="25400" cap="rnd">
              <a:noFill/>
              <a:round/>
            </a:ln>
            <a:effectLst/>
          </c:spPr>
          <c:marker>
            <c:symbol val="circle"/>
            <c:size val="5"/>
            <c:spPr>
              <a:solidFill>
                <a:schemeClr val="accent1"/>
              </a:solidFill>
              <a:ln w="9525">
                <a:solidFill>
                  <a:schemeClr val="accent1"/>
                </a:solidFill>
              </a:ln>
              <a:effectLst/>
            </c:spPr>
          </c:marker>
          <c:yVal>
            <c:numRef>
              <c:f>Template!$B$29:$B$31</c:f>
              <c:numCache>
                <c:formatCode>0</c:formatCode>
                <c:ptCount val="3"/>
                <c:pt idx="0">
                  <c:v>211.75828688526474</c:v>
                </c:pt>
                <c:pt idx="1">
                  <c:v>244.96852819564387</c:v>
                </c:pt>
                <c:pt idx="2">
                  <c:v>292.04915123840959</c:v>
                </c:pt>
              </c:numCache>
            </c:numRef>
          </c:yVal>
          <c:smooth val="0"/>
          <c:extLst>
            <c:ext xmlns:c16="http://schemas.microsoft.com/office/drawing/2014/chart" uri="{C3380CC4-5D6E-409C-BE32-E72D297353CC}">
              <c16:uniqueId val="{00000001-D37F-40D4-985F-42140A283A29}"/>
            </c:ext>
          </c:extLst>
        </c:ser>
        <c:ser>
          <c:idx val="1"/>
          <c:order val="1"/>
          <c:tx>
            <c:strRef>
              <c:f>Template!$D$28</c:f>
              <c:strCache>
                <c:ptCount val="1"/>
                <c:pt idx="0">
                  <c:v>Fair Value 
Method 2</c:v>
                </c:pt>
              </c:strCache>
            </c:strRef>
          </c:tx>
          <c:spPr>
            <a:ln w="25400" cap="rnd">
              <a:noFill/>
              <a:round/>
            </a:ln>
            <a:effectLst/>
          </c:spPr>
          <c:marker>
            <c:symbol val="circle"/>
            <c:size val="5"/>
            <c:spPr>
              <a:solidFill>
                <a:schemeClr val="accent2"/>
              </a:solidFill>
              <a:ln w="9525">
                <a:solidFill>
                  <a:schemeClr val="accent2"/>
                </a:solidFill>
              </a:ln>
              <a:effectLst/>
            </c:spPr>
          </c:marker>
          <c:yVal>
            <c:numRef>
              <c:f>Template!$D$29:$D$31</c:f>
              <c:numCache>
                <c:formatCode>_(* #,##0_);_(* \(#,##0\);_(* "-"??_);_(@_)</c:formatCode>
                <c:ptCount val="3"/>
                <c:pt idx="0">
                  <c:v>379.39492946755183</c:v>
                </c:pt>
                <c:pt idx="1">
                  <c:v>423.90162967009684</c:v>
                </c:pt>
                <c:pt idx="2">
                  <c:v>486.26021259522241</c:v>
                </c:pt>
              </c:numCache>
            </c:numRef>
          </c:yVal>
          <c:smooth val="0"/>
          <c:extLst>
            <c:ext xmlns:c16="http://schemas.microsoft.com/office/drawing/2014/chart" uri="{C3380CC4-5D6E-409C-BE32-E72D297353CC}">
              <c16:uniqueId val="{00000002-D37F-40D4-985F-42140A283A29}"/>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NFLX!$B$28</c:f>
              <c:strCache>
                <c:ptCount val="1"/>
                <c:pt idx="0">
                  <c:v>Fair Value
Method 1</c:v>
                </c:pt>
              </c:strCache>
            </c:strRef>
          </c:tx>
          <c:spPr>
            <a:ln w="19050" cap="rnd">
              <a:solidFill>
                <a:schemeClr val="accent1"/>
              </a:solidFill>
              <a:round/>
            </a:ln>
            <a:effectLst/>
          </c:spPr>
          <c:marker>
            <c:symbol val="none"/>
          </c:marker>
          <c:yVal>
            <c:numRef>
              <c:f>NFLX!$B$29:$B$31</c:f>
              <c:numCache>
                <c:formatCode>0</c:formatCode>
                <c:ptCount val="3"/>
                <c:pt idx="0">
                  <c:v>0</c:v>
                </c:pt>
                <c:pt idx="1">
                  <c:v>0</c:v>
                </c:pt>
                <c:pt idx="2">
                  <c:v>0</c:v>
                </c:pt>
              </c:numCache>
            </c:numRef>
          </c:yVal>
          <c:smooth val="1"/>
          <c:extLst>
            <c:ext xmlns:c16="http://schemas.microsoft.com/office/drawing/2014/chart" uri="{C3380CC4-5D6E-409C-BE32-E72D297353CC}">
              <c16:uniqueId val="{00000000-7559-4BE7-9F88-E583EA74F2AD}"/>
            </c:ext>
          </c:extLst>
        </c:ser>
        <c:ser>
          <c:idx val="1"/>
          <c:order val="1"/>
          <c:tx>
            <c:strRef>
              <c:f>NFLX!$D$28</c:f>
              <c:strCache>
                <c:ptCount val="1"/>
                <c:pt idx="0">
                  <c:v>Fair Value 
Method 2</c:v>
                </c:pt>
              </c:strCache>
            </c:strRef>
          </c:tx>
          <c:spPr>
            <a:ln w="19050" cap="rnd">
              <a:solidFill>
                <a:schemeClr val="accent2"/>
              </a:solidFill>
              <a:round/>
            </a:ln>
            <a:effectLst/>
          </c:spPr>
          <c:marker>
            <c:symbol val="none"/>
          </c:marker>
          <c:yVal>
            <c:numRef>
              <c:f>NFLX!$D$29:$D$31</c:f>
              <c:numCache>
                <c:formatCode>_(* #,##0_);_(* \(#,##0\);_(* "-"??_);_(@_)</c:formatCode>
                <c:ptCount val="3"/>
                <c:pt idx="0">
                  <c:v>0</c:v>
                </c:pt>
                <c:pt idx="1">
                  <c:v>0</c:v>
                </c:pt>
                <c:pt idx="2">
                  <c:v>0</c:v>
                </c:pt>
              </c:numCache>
            </c:numRef>
          </c:yVal>
          <c:smooth val="1"/>
          <c:extLst>
            <c:ext xmlns:c16="http://schemas.microsoft.com/office/drawing/2014/chart" uri="{C3380CC4-5D6E-409C-BE32-E72D297353CC}">
              <c16:uniqueId val="{00000001-7559-4BE7-9F88-E583EA74F2AD}"/>
            </c:ext>
          </c:extLst>
        </c:ser>
        <c:ser>
          <c:idx val="2"/>
          <c:order val="2"/>
          <c:tx>
            <c:strRef>
              <c:f>NFLX!$A$6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(NFLX!$B$6,NFLX!$B$6)</c:f>
              <c:numCache>
                <c:formatCode>General</c:formatCode>
                <c:ptCount val="2"/>
                <c:pt idx="0">
                  <c:v>399.09</c:v>
                </c:pt>
                <c:pt idx="1">
                  <c:v>399.09</c:v>
                </c:pt>
              </c:numCache>
            </c:numRef>
          </c:yVal>
          <c:smooth val="1"/>
          <c:extLst>
            <c:ext xmlns:c16="http://schemas.microsoft.com/office/drawing/2014/chart" uri="{C3380CC4-5D6E-409C-BE32-E72D297353CC}">
              <c16:uniqueId val="{00000002-7559-4BE7-9F88-E583EA74F2AD}"/>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2"/>
          <c:order val="2"/>
          <c:tx>
            <c:strRef>
              <c:f>PYPL!$A$6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(PYPL!$B$6,PYPL!$B$6)</c:f>
              <c:numCache>
                <c:formatCode>General</c:formatCode>
                <c:ptCount val="2"/>
                <c:pt idx="0">
                  <c:v>106.32</c:v>
                </c:pt>
                <c:pt idx="1">
                  <c:v>106.32</c:v>
                </c:pt>
              </c:numCache>
            </c:numRef>
          </c:yVal>
          <c:smooth val="1"/>
          <c:extLst>
            <c:ext xmlns:c16="http://schemas.microsoft.com/office/drawing/2014/chart" uri="{C3380CC4-5D6E-409C-BE32-E72D297353CC}">
              <c16:uniqueId val="{00000000-1E00-4119-8FD1-8C902C8680D5}"/>
            </c:ext>
          </c:extLst>
        </c:ser>
        <c:dLbls>
          <c:showLegendKey val="0"/>
          <c:showVal val="0"/>
          <c:showCatName val="0"/>
          <c:showSerName val="0"/>
          <c:showPercent val="0"/>
          <c:showBubbleSize val="0"/>
        </c:dLbls>
        <c:axId val="188383360"/>
        <c:axId val="188384192"/>
      </c:scatterChart>
      <c:scatterChart>
        <c:scatterStyle val="lineMarker"/>
        <c:varyColors val="0"/>
        <c:ser>
          <c:idx val="0"/>
          <c:order val="0"/>
          <c:tx>
            <c:strRef>
              <c:f>PYPL!$B$28</c:f>
              <c:strCache>
                <c:ptCount val="1"/>
                <c:pt idx="0">
                  <c:v>Fair Value
Method 1</c:v>
                </c:pt>
              </c:strCache>
            </c:strRef>
          </c:tx>
          <c:spPr>
            <a:ln w="25400" cap="rnd">
              <a:noFill/>
              <a:round/>
            </a:ln>
            <a:effectLst/>
          </c:spPr>
          <c:marker>
            <c:symbol val="circle"/>
            <c:size val="5"/>
            <c:spPr>
              <a:solidFill>
                <a:schemeClr val="accent1"/>
              </a:solidFill>
              <a:ln w="9525">
                <a:solidFill>
                  <a:schemeClr val="accent1"/>
                </a:solidFill>
              </a:ln>
              <a:effectLst/>
            </c:spPr>
          </c:marker>
          <c:yVal>
            <c:numRef>
              <c:f>PYPL!$B$29:$B$31</c:f>
              <c:numCache>
                <c:formatCode>0</c:formatCode>
                <c:ptCount val="3"/>
                <c:pt idx="0">
                  <c:v>117.48683594248487</c:v>
                </c:pt>
                <c:pt idx="1">
                  <c:v>142.91754006669376</c:v>
                </c:pt>
                <c:pt idx="2">
                  <c:v>187.33077902203965</c:v>
                </c:pt>
              </c:numCache>
            </c:numRef>
          </c:yVal>
          <c:smooth val="0"/>
          <c:extLst>
            <c:ext xmlns:c16="http://schemas.microsoft.com/office/drawing/2014/chart" uri="{C3380CC4-5D6E-409C-BE32-E72D297353CC}">
              <c16:uniqueId val="{00000001-1E00-4119-8FD1-8C902C8680D5}"/>
            </c:ext>
          </c:extLst>
        </c:ser>
        <c:ser>
          <c:idx val="1"/>
          <c:order val="1"/>
          <c:tx>
            <c:strRef>
              <c:f>PYPL!$D$28</c:f>
              <c:strCache>
                <c:ptCount val="1"/>
                <c:pt idx="0">
                  <c:v>Fair Value 
Method 2</c:v>
                </c:pt>
              </c:strCache>
            </c:strRef>
          </c:tx>
          <c:spPr>
            <a:ln w="25400" cap="rnd">
              <a:noFill/>
              <a:round/>
            </a:ln>
            <a:effectLst/>
          </c:spPr>
          <c:marker>
            <c:symbol val="circle"/>
            <c:size val="5"/>
            <c:spPr>
              <a:solidFill>
                <a:schemeClr val="accent2"/>
              </a:solidFill>
              <a:ln w="9525">
                <a:solidFill>
                  <a:schemeClr val="accent2"/>
                </a:solidFill>
              </a:ln>
              <a:effectLst/>
            </c:spPr>
          </c:marker>
          <c:yVal>
            <c:numRef>
              <c:f>PYPL!$D$29:$D$31</c:f>
              <c:numCache>
                <c:formatCode>_(* #,##0_);_(* \(#,##0\);_(* "-"??_);_(@_)</c:formatCode>
                <c:ptCount val="3"/>
                <c:pt idx="0">
                  <c:v>78.25997763787494</c:v>
                </c:pt>
                <c:pt idx="1">
                  <c:v>90.231004127492554</c:v>
                </c:pt>
                <c:pt idx="2">
                  <c:v>110.74640387999477</c:v>
                </c:pt>
              </c:numCache>
            </c:numRef>
          </c:yVal>
          <c:smooth val="0"/>
          <c:extLst>
            <c:ext xmlns:c16="http://schemas.microsoft.com/office/drawing/2014/chart" uri="{C3380CC4-5D6E-409C-BE32-E72D297353CC}">
              <c16:uniqueId val="{00000002-1E00-4119-8FD1-8C902C8680D5}"/>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VEEV2!$B$28</c:f>
              <c:strCache>
                <c:ptCount val="1"/>
                <c:pt idx="0">
                  <c:v>Fair Value
Method 1</c:v>
                </c:pt>
              </c:strCache>
            </c:strRef>
          </c:tx>
          <c:spPr>
            <a:ln w="19050" cap="rnd">
              <a:solidFill>
                <a:schemeClr val="accent1"/>
              </a:solidFill>
              <a:round/>
            </a:ln>
            <a:effectLst/>
          </c:spPr>
          <c:marker>
            <c:symbol val="none"/>
          </c:marker>
          <c:yVal>
            <c:numRef>
              <c:f>VEEV2!$B$29:$B$31</c:f>
              <c:numCache>
                <c:formatCode>0</c:formatCode>
                <c:ptCount val="3"/>
                <c:pt idx="0">
                  <c:v>192.42325434545012</c:v>
                </c:pt>
                <c:pt idx="1">
                  <c:v>340.34821034382867</c:v>
                </c:pt>
                <c:pt idx="2">
                  <c:v>689.19753173420361</c:v>
                </c:pt>
              </c:numCache>
            </c:numRef>
          </c:yVal>
          <c:smooth val="1"/>
          <c:extLst>
            <c:ext xmlns:c16="http://schemas.microsoft.com/office/drawing/2014/chart" uri="{C3380CC4-5D6E-409C-BE32-E72D297353CC}">
              <c16:uniqueId val="{00000000-898E-42DC-AA4B-C21117B7A5FC}"/>
            </c:ext>
          </c:extLst>
        </c:ser>
        <c:ser>
          <c:idx val="1"/>
          <c:order val="1"/>
          <c:tx>
            <c:strRef>
              <c:f>VEEV2!$D$28</c:f>
              <c:strCache>
                <c:ptCount val="1"/>
                <c:pt idx="0">
                  <c:v>Fair Value 
Method 2</c:v>
                </c:pt>
              </c:strCache>
            </c:strRef>
          </c:tx>
          <c:spPr>
            <a:ln w="19050" cap="rnd">
              <a:solidFill>
                <a:schemeClr val="accent2"/>
              </a:solidFill>
              <a:round/>
            </a:ln>
            <a:effectLst/>
          </c:spPr>
          <c:marker>
            <c:symbol val="none"/>
          </c:marker>
          <c:yVal>
            <c:numRef>
              <c:f>VEEV2!$D$29:$D$31</c:f>
              <c:numCache>
                <c:formatCode>_(* #,##0_);_(* \(#,##0\);_(* "-"??_);_(@_)</c:formatCode>
                <c:ptCount val="3"/>
                <c:pt idx="0">
                  <c:v>98.064019060414225</c:v>
                </c:pt>
                <c:pt idx="1">
                  <c:v>151.73445650651945</c:v>
                </c:pt>
                <c:pt idx="2">
                  <c:v>273.41277762532491</c:v>
                </c:pt>
              </c:numCache>
            </c:numRef>
          </c:yVal>
          <c:smooth val="1"/>
          <c:extLst>
            <c:ext xmlns:c16="http://schemas.microsoft.com/office/drawing/2014/chart" uri="{C3380CC4-5D6E-409C-BE32-E72D297353CC}">
              <c16:uniqueId val="{00000001-898E-42DC-AA4B-C21117B7A5FC}"/>
            </c:ext>
          </c:extLst>
        </c:ser>
        <c:ser>
          <c:idx val="2"/>
          <c:order val="2"/>
          <c:tx>
            <c:strRef>
              <c:f>VEEV2!$A$6</c:f>
              <c:strCache>
                <c:ptCount val="1"/>
                <c:pt idx="0">
                  <c:v>Price</c:v>
                </c:pt>
              </c:strCache>
            </c:strRef>
          </c:tx>
          <c:spPr>
            <a:ln w="19050" cap="rnd">
              <a:solidFill>
                <a:schemeClr val="accent3"/>
              </a:solidFill>
              <a:round/>
            </a:ln>
            <a:effectLst/>
          </c:spPr>
          <c:marker>
            <c:symbol val="none"/>
          </c:marker>
          <c:xVal>
            <c:numLit>
              <c:formatCode>General</c:formatCode>
              <c:ptCount val="2"/>
              <c:pt idx="0">
                <c:v>1</c:v>
              </c:pt>
              <c:pt idx="1">
                <c:v>3</c:v>
              </c:pt>
            </c:numLit>
          </c:xVal>
          <c:yVal>
            <c:numRef>
              <c:f>(VEEV2!$B$6,VEEV2!$B$6)</c:f>
              <c:numCache>
                <c:formatCode>General</c:formatCode>
                <c:ptCount val="2"/>
                <c:pt idx="0">
                  <c:v>164.51</c:v>
                </c:pt>
                <c:pt idx="1">
                  <c:v>164.51</c:v>
                </c:pt>
              </c:numCache>
            </c:numRef>
          </c:yVal>
          <c:smooth val="1"/>
          <c:extLst>
            <c:ext xmlns:c16="http://schemas.microsoft.com/office/drawing/2014/chart" uri="{C3380CC4-5D6E-409C-BE32-E72D297353CC}">
              <c16:uniqueId val="{00000002-898E-42DC-AA4B-C21117B7A5FC}"/>
            </c:ext>
          </c:extLst>
        </c:ser>
        <c:dLbls>
          <c:showLegendKey val="0"/>
          <c:showVal val="0"/>
          <c:showCatName val="0"/>
          <c:showSerName val="0"/>
          <c:showPercent val="0"/>
          <c:showBubbleSize val="0"/>
        </c:dLbls>
        <c:axId val="188383360"/>
        <c:axId val="188384192"/>
      </c:scatterChart>
      <c:valAx>
        <c:axId val="188383360"/>
        <c:scaling>
          <c:orientation val="minMax"/>
          <c:max val="3"/>
          <c:min val="1"/>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8384192"/>
        <c:crosses val="autoZero"/>
        <c:crossBetween val="midCat"/>
      </c:valAx>
      <c:valAx>
        <c:axId val="188384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8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6</xdr:col>
      <xdr:colOff>161925</xdr:colOff>
      <xdr:row>14</xdr:row>
      <xdr:rowOff>38100</xdr:rowOff>
    </xdr:from>
    <xdr:to>
      <xdr:col>6</xdr:col>
      <xdr:colOff>4733925</xdr:colOff>
      <xdr:row>31</xdr:row>
      <xdr:rowOff>9525</xdr:rowOff>
    </xdr:to>
    <xdr:graphicFrame macro="">
      <xdr:nvGraphicFramePr>
        <xdr:cNvPr id="4" name="Chart 3">
          <a:extLst>
            <a:ext uri="{FF2B5EF4-FFF2-40B4-BE49-F238E27FC236}">
              <a16:creationId xmlns:a16="http://schemas.microsoft.com/office/drawing/2014/main" id="{548D6143-9F24-4F52-BC63-ADB100851E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161925</xdr:colOff>
      <xdr:row>14</xdr:row>
      <xdr:rowOff>38100</xdr:rowOff>
    </xdr:from>
    <xdr:to>
      <xdr:col>6</xdr:col>
      <xdr:colOff>4733925</xdr:colOff>
      <xdr:row>31</xdr:row>
      <xdr:rowOff>9525</xdr:rowOff>
    </xdr:to>
    <xdr:graphicFrame macro="">
      <xdr:nvGraphicFramePr>
        <xdr:cNvPr id="2" name="Chart 1">
          <a:extLst>
            <a:ext uri="{FF2B5EF4-FFF2-40B4-BE49-F238E27FC236}">
              <a16:creationId xmlns:a16="http://schemas.microsoft.com/office/drawing/2014/main" id="{7ABE88D1-118C-4DD7-A354-8616B36BD2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161925</xdr:colOff>
      <xdr:row>14</xdr:row>
      <xdr:rowOff>38100</xdr:rowOff>
    </xdr:from>
    <xdr:to>
      <xdr:col>6</xdr:col>
      <xdr:colOff>4733925</xdr:colOff>
      <xdr:row>31</xdr:row>
      <xdr:rowOff>9525</xdr:rowOff>
    </xdr:to>
    <xdr:graphicFrame macro="">
      <xdr:nvGraphicFramePr>
        <xdr:cNvPr id="2" name="Chart 1">
          <a:extLst>
            <a:ext uri="{FF2B5EF4-FFF2-40B4-BE49-F238E27FC236}">
              <a16:creationId xmlns:a16="http://schemas.microsoft.com/office/drawing/2014/main" id="{C8293F78-F8C0-49B5-ADA8-A916ADD608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161925</xdr:colOff>
      <xdr:row>14</xdr:row>
      <xdr:rowOff>38100</xdr:rowOff>
    </xdr:from>
    <xdr:to>
      <xdr:col>6</xdr:col>
      <xdr:colOff>4733925</xdr:colOff>
      <xdr:row>31</xdr:row>
      <xdr:rowOff>9525</xdr:rowOff>
    </xdr:to>
    <xdr:graphicFrame macro="">
      <xdr:nvGraphicFramePr>
        <xdr:cNvPr id="2" name="Chart 1">
          <a:extLst>
            <a:ext uri="{FF2B5EF4-FFF2-40B4-BE49-F238E27FC236}">
              <a16:creationId xmlns:a16="http://schemas.microsoft.com/office/drawing/2014/main" id="{0FCE6067-7C9B-4A80-8EF1-9119AD1C25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161925</xdr:colOff>
      <xdr:row>14</xdr:row>
      <xdr:rowOff>38100</xdr:rowOff>
    </xdr:from>
    <xdr:to>
      <xdr:col>6</xdr:col>
      <xdr:colOff>4733925</xdr:colOff>
      <xdr:row>31</xdr:row>
      <xdr:rowOff>9525</xdr:rowOff>
    </xdr:to>
    <xdr:graphicFrame macro="">
      <xdr:nvGraphicFramePr>
        <xdr:cNvPr id="2" name="Chart 1">
          <a:extLst>
            <a:ext uri="{FF2B5EF4-FFF2-40B4-BE49-F238E27FC236}">
              <a16:creationId xmlns:a16="http://schemas.microsoft.com/office/drawing/2014/main" id="{6C89F63C-81BF-4589-B1F3-A199D8CCF3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161925</xdr:colOff>
      <xdr:row>14</xdr:row>
      <xdr:rowOff>38100</xdr:rowOff>
    </xdr:from>
    <xdr:to>
      <xdr:col>6</xdr:col>
      <xdr:colOff>4733925</xdr:colOff>
      <xdr:row>31</xdr:row>
      <xdr:rowOff>9525</xdr:rowOff>
    </xdr:to>
    <xdr:graphicFrame macro="">
      <xdr:nvGraphicFramePr>
        <xdr:cNvPr id="2" name="Chart 1">
          <a:extLst>
            <a:ext uri="{FF2B5EF4-FFF2-40B4-BE49-F238E27FC236}">
              <a16:creationId xmlns:a16="http://schemas.microsoft.com/office/drawing/2014/main" id="{C9FBE718-2B9C-4897-97F4-3CF2B0583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161925</xdr:colOff>
      <xdr:row>13</xdr:row>
      <xdr:rowOff>38100</xdr:rowOff>
    </xdr:from>
    <xdr:to>
      <xdr:col>6</xdr:col>
      <xdr:colOff>4733925</xdr:colOff>
      <xdr:row>30</xdr:row>
      <xdr:rowOff>9525</xdr:rowOff>
    </xdr:to>
    <xdr:graphicFrame macro="">
      <xdr:nvGraphicFramePr>
        <xdr:cNvPr id="2" name="Chart 1">
          <a:extLst>
            <a:ext uri="{FF2B5EF4-FFF2-40B4-BE49-F238E27FC236}">
              <a16:creationId xmlns:a16="http://schemas.microsoft.com/office/drawing/2014/main" id="{F0A7E2FA-22ED-401C-8DB5-6CE38B3DBA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161925</xdr:colOff>
      <xdr:row>14</xdr:row>
      <xdr:rowOff>38100</xdr:rowOff>
    </xdr:from>
    <xdr:to>
      <xdr:col>6</xdr:col>
      <xdr:colOff>4733925</xdr:colOff>
      <xdr:row>31</xdr:row>
      <xdr:rowOff>9525</xdr:rowOff>
    </xdr:to>
    <xdr:graphicFrame macro="">
      <xdr:nvGraphicFramePr>
        <xdr:cNvPr id="2" name="Chart 1">
          <a:extLst>
            <a:ext uri="{FF2B5EF4-FFF2-40B4-BE49-F238E27FC236}">
              <a16:creationId xmlns:a16="http://schemas.microsoft.com/office/drawing/2014/main" id="{3AF9EDB0-F79C-41EC-933C-EF6F13D827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161925</xdr:colOff>
      <xdr:row>14</xdr:row>
      <xdr:rowOff>38100</xdr:rowOff>
    </xdr:from>
    <xdr:to>
      <xdr:col>6</xdr:col>
      <xdr:colOff>4733925</xdr:colOff>
      <xdr:row>31</xdr:row>
      <xdr:rowOff>9525</xdr:rowOff>
    </xdr:to>
    <xdr:graphicFrame macro="">
      <xdr:nvGraphicFramePr>
        <xdr:cNvPr id="2" name="Chart 1">
          <a:extLst>
            <a:ext uri="{FF2B5EF4-FFF2-40B4-BE49-F238E27FC236}">
              <a16:creationId xmlns:a16="http://schemas.microsoft.com/office/drawing/2014/main" id="{11FAE391-08BA-4DC9-BDA8-27A0DB1C3F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161925</xdr:colOff>
      <xdr:row>14</xdr:row>
      <xdr:rowOff>38100</xdr:rowOff>
    </xdr:from>
    <xdr:to>
      <xdr:col>6</xdr:col>
      <xdr:colOff>4733925</xdr:colOff>
      <xdr:row>31</xdr:row>
      <xdr:rowOff>9525</xdr:rowOff>
    </xdr:to>
    <xdr:graphicFrame macro="">
      <xdr:nvGraphicFramePr>
        <xdr:cNvPr id="2" name="Chart 1">
          <a:extLst>
            <a:ext uri="{FF2B5EF4-FFF2-40B4-BE49-F238E27FC236}">
              <a16:creationId xmlns:a16="http://schemas.microsoft.com/office/drawing/2014/main" id="{65AE1E03-87A2-4711-AC37-9F0059FF1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161925</xdr:colOff>
      <xdr:row>13</xdr:row>
      <xdr:rowOff>38100</xdr:rowOff>
    </xdr:from>
    <xdr:to>
      <xdr:col>6</xdr:col>
      <xdr:colOff>4733925</xdr:colOff>
      <xdr:row>30</xdr:row>
      <xdr:rowOff>9525</xdr:rowOff>
    </xdr:to>
    <xdr:graphicFrame macro="">
      <xdr:nvGraphicFramePr>
        <xdr:cNvPr id="2" name="Chart 1">
          <a:extLst>
            <a:ext uri="{FF2B5EF4-FFF2-40B4-BE49-F238E27FC236}">
              <a16:creationId xmlns:a16="http://schemas.microsoft.com/office/drawing/2014/main" id="{C97078AC-A6B1-4D70-B09E-FCFC29C875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161925</xdr:colOff>
      <xdr:row>14</xdr:row>
      <xdr:rowOff>38100</xdr:rowOff>
    </xdr:from>
    <xdr:to>
      <xdr:col>6</xdr:col>
      <xdr:colOff>4733925</xdr:colOff>
      <xdr:row>31</xdr:row>
      <xdr:rowOff>9525</xdr:rowOff>
    </xdr:to>
    <xdr:graphicFrame macro="">
      <xdr:nvGraphicFramePr>
        <xdr:cNvPr id="2" name="Chart 1">
          <a:extLst>
            <a:ext uri="{FF2B5EF4-FFF2-40B4-BE49-F238E27FC236}">
              <a16:creationId xmlns:a16="http://schemas.microsoft.com/office/drawing/2014/main" id="{8983D5E2-F82A-420B-9FB4-BB22E4727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6</xdr:col>
      <xdr:colOff>161925</xdr:colOff>
      <xdr:row>14</xdr:row>
      <xdr:rowOff>38100</xdr:rowOff>
    </xdr:from>
    <xdr:to>
      <xdr:col>6</xdr:col>
      <xdr:colOff>4733925</xdr:colOff>
      <xdr:row>31</xdr:row>
      <xdr:rowOff>9525</xdr:rowOff>
    </xdr:to>
    <xdr:graphicFrame macro="">
      <xdr:nvGraphicFramePr>
        <xdr:cNvPr id="2" name="Chart 1">
          <a:extLst>
            <a:ext uri="{FF2B5EF4-FFF2-40B4-BE49-F238E27FC236}">
              <a16:creationId xmlns:a16="http://schemas.microsoft.com/office/drawing/2014/main" id="{ECAC8636-7B06-4648-B44F-1F6017A57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6</xdr:col>
      <xdr:colOff>161925</xdr:colOff>
      <xdr:row>14</xdr:row>
      <xdr:rowOff>38100</xdr:rowOff>
    </xdr:from>
    <xdr:to>
      <xdr:col>6</xdr:col>
      <xdr:colOff>4733925</xdr:colOff>
      <xdr:row>31</xdr:row>
      <xdr:rowOff>9525</xdr:rowOff>
    </xdr:to>
    <xdr:graphicFrame macro="">
      <xdr:nvGraphicFramePr>
        <xdr:cNvPr id="2" name="Chart 1">
          <a:extLst>
            <a:ext uri="{FF2B5EF4-FFF2-40B4-BE49-F238E27FC236}">
              <a16:creationId xmlns:a16="http://schemas.microsoft.com/office/drawing/2014/main" id="{6BC6ACEC-1493-4B9F-8204-E7197ACAAA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4</xdr:col>
      <xdr:colOff>161925</xdr:colOff>
      <xdr:row>9</xdr:row>
      <xdr:rowOff>102998</xdr:rowOff>
    </xdr:from>
    <xdr:to>
      <xdr:col>6</xdr:col>
      <xdr:colOff>9124950</xdr:colOff>
      <xdr:row>13</xdr:row>
      <xdr:rowOff>112523</xdr:rowOff>
    </xdr:to>
    <xdr:sp macro="" textlink="">
      <xdr:nvSpPr>
        <xdr:cNvPr id="2" name="TextBox 1">
          <a:extLst>
            <a:ext uri="{FF2B5EF4-FFF2-40B4-BE49-F238E27FC236}">
              <a16:creationId xmlns:a16="http://schemas.microsoft.com/office/drawing/2014/main" id="{E6A119C5-9753-4AD0-B822-C5D964BE803E}"/>
            </a:ext>
          </a:extLst>
        </xdr:cNvPr>
        <xdr:cNvSpPr txBox="1"/>
      </xdr:nvSpPr>
      <xdr:spPr>
        <a:xfrm rot="1285998">
          <a:off x="5229225" y="1865123"/>
          <a:ext cx="10363200"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a:t>Klopt</a:t>
          </a:r>
          <a:r>
            <a:rPr lang="en-US" sz="4000" baseline="0"/>
            <a:t> niet? Getallen van Stock2own lijken BS?</a:t>
          </a:r>
          <a:endParaRPr lang="en-US" sz="40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161925</xdr:colOff>
      <xdr:row>14</xdr:row>
      <xdr:rowOff>38100</xdr:rowOff>
    </xdr:from>
    <xdr:to>
      <xdr:col>6</xdr:col>
      <xdr:colOff>4733925</xdr:colOff>
      <xdr:row>31</xdr:row>
      <xdr:rowOff>9525</xdr:rowOff>
    </xdr:to>
    <xdr:graphicFrame macro="">
      <xdr:nvGraphicFramePr>
        <xdr:cNvPr id="2" name="Chart 1">
          <a:extLst>
            <a:ext uri="{FF2B5EF4-FFF2-40B4-BE49-F238E27FC236}">
              <a16:creationId xmlns:a16="http://schemas.microsoft.com/office/drawing/2014/main" id="{4EEFFB05-8754-4366-BFB6-E6A096D205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roel karstens" id="{C4054291-96BB-4AF9-BB96-97EFD344905D}" userId="b856e4fbe3a359f6"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3">
  <rv s="0">
    <v>https://www.bing.com/financeapi/forcetrigger?t=a1mqec&amp;q=XNYS%3aABEV&amp;form=skydnc</v>
    <v>Learn more on Bing</v>
  </rv>
  <rv s="1">
    <v>en-US</v>
    <v>a1mqec</v>
    <v>268435456</v>
    <v>1</v>
    <v>Powered by Refinitiv</v>
    <v>0</v>
    <v>Ambev SA (XNYS:ABEV)</v>
    <v>2</v>
    <v>3</v>
    <v>Finance</v>
    <v>4</v>
    <v>3.3149999999999999</v>
    <v>2.42</v>
    <v>1.0584</v>
    <v>0</v>
    <v>0</v>
    <v>USD</v>
    <v>Ambev SA, formerly Inbev Participacoes Societarias SA, is a Brazil-based company engaged in the brewing sector. The Company produces, distributes and sells beer, carbonated soft drinks (CSDs) and other non-alcoholic and non-carbonated (NANC) beverages across the Americas. The Company's activities are divided into three segments: Latin America North, including sell of beer, CSD and NANC drinks in Brazil, as well as operations in the Dominican Republic, Saint Vincent, Antigua, Dominica, Cuba, Guatemala, El Salvador, Honduras, Nicaragua, Barbados and Panama; Latin America South, distributing products in Argentina, Bolivia, Paraguay, Uruguay, Chile; and Canada, represented by Labatt’s operations, which comprises sales in Canada and some exports to the U.S. market. The Company markets products under various brand names, such as Adriatica, Brahma, Leffe, Budweiser, Corona, PepsiCo and Lipton. It is a subsidiary of Interbrew International BV.</v>
    <v>New York Stock Exchange</v>
    <v>XNYS</v>
    <v>XNYS</v>
    <v>Rua Dr. Renato Paes de Barros, 1.017, 4 andar, Itaim Bibi, SAO PAULO, SAO PAULO, 04.530-001 BR</v>
    <v>2.79</v>
    <v>Beverages</v>
    <v>Stock</v>
    <v>44925.026664895311</v>
    <v>0</v>
    <v>2.73</v>
    <v>43504760000</v>
    <v>Ambev SA</v>
    <v>Ambev SA</v>
    <v>2.78</v>
    <v>18.022500000000001</v>
    <v>2.75</v>
    <v>2.75</v>
    <v>15750220000</v>
    <v>ABEV</v>
    <v>Ambev SA (XNYS:ABEV)</v>
    <v>282</v>
    <v>24786021</v>
    <v>2005</v>
  </rv>
  <rv s="2">
    <v>1</v>
  </rv>
  <rv s="0">
    <v>https://www.bing.com/financeapi/forcetrigger?t=b1ao52&amp;q=XAMS%3aADYEN&amp;form=skydnc</v>
    <v>Learn more on Bing</v>
  </rv>
  <rv s="3">
    <v>en-US</v>
    <v>b1ao52</v>
    <v>268435456</v>
    <v>1</v>
    <v>Powered by Refinitiv</v>
    <v>5</v>
    <v>Adyen NV (XAMS:ADYEN)</v>
    <v>2</v>
    <v>6</v>
    <v>Finance</v>
    <v>7</v>
    <v>2379</v>
    <v>1148</v>
    <v>1.3580000000000001</v>
    <v>-22.6</v>
    <v>-1.7134E-2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2575</v>
    <v>Euronext Amsterdam</v>
    <v>XAMS</v>
    <v>XAMS</v>
    <v>Simon Carmiggeltstraat 6-50, AMSTERDAM, NOORD-HOLLAND, 1011 DJ NL</v>
    <v>1314.2</v>
    <v>Financial Technology (Fintech) &amp; Infrastructure</v>
    <v>Stock</v>
    <v>44925.546099537038</v>
    <v>3</v>
    <v>1292.8</v>
    <v>40865140000</v>
    <v>Adyen NV</v>
    <v>Adyen NV</v>
    <v>1309.8</v>
    <v>74.222899999999996</v>
    <v>1319</v>
    <v>1296.4000000000001</v>
    <v>30981910</v>
    <v>ADYEN</v>
    <v>Adyen NV (XAMS:ADYEN)</v>
    <v>13806</v>
    <v>66050</v>
    <v>2006</v>
  </rv>
  <rv s="2">
    <v>4</v>
  </rv>
  <rv s="0">
    <v>https://www.bing.com/financeapi/forcetrigger?t=alnz5r&amp;q=XAMS%3aASML&amp;form=skydnc</v>
    <v>Learn more on Bing</v>
  </rv>
  <rv s="3">
    <v>en-US</v>
    <v>alnz5r</v>
    <v>268435456</v>
    <v>1</v>
    <v>Powered by Refinitiv</v>
    <v>5</v>
    <v>ASML Holding NV (XAMS:ASML)</v>
    <v>2</v>
    <v>6</v>
    <v>Finance</v>
    <v>7</v>
    <v>724.5</v>
    <v>375.75</v>
    <v>1.5194000000000001</v>
    <v>-9.9</v>
    <v>-1.916E-2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34720</v>
    <v>Euronext Amsterdam</v>
    <v>XAMS</v>
    <v>XAMS</v>
    <v>De Run 6501, VELDHOVEN, NOORD-BRABANT, 5504 DR NL</v>
    <v>516</v>
    <v>Semiconductors &amp; Semiconductor Equipment</v>
    <v>Stock</v>
    <v>44925.546168981484</v>
    <v>6</v>
    <v>506.4</v>
    <v>208300700000</v>
    <v>ASML Holding NV</v>
    <v>ASML Holding NV</v>
    <v>516</v>
    <v>34.3035</v>
    <v>516.70000000000005</v>
    <v>506.8</v>
    <v>403136700</v>
    <v>ASML</v>
    <v>ASML Holding NV (XAMS:ASML)</v>
    <v>151260</v>
    <v>672260</v>
    <v>1994</v>
  </rv>
  <rv s="2">
    <v>7</v>
  </rv>
  <rv s="4">
    <v>12</v>
    <v>Price</v>
    <v>0</v>
  </rv>
  <rv s="5">
    <v>12</v>
    <v>1</v>
  </rv>
  <rv s="0">
    <v>https://www.bing.com/financeapi/forcetrigger?t=amz5z2&amp;q=XSWX%3aBRK%2fB&amp;form=skydnc</v>
    <v>Learn more on Bing</v>
  </rv>
  <rv s="3">
    <v>en-US</v>
    <v>amz5z2</v>
    <v>268435456</v>
    <v>1</v>
    <v>Powered by Refinitiv</v>
    <v>5</v>
    <v>BERKSHIRE HATHAWAY INC., (XSWX:BRK/B)</v>
    <v>2</v>
    <v>8</v>
    <v>Finance</v>
    <v>7</v>
    <v>208.7</v>
    <v>201</v>
    <v>0.91010000000000002</v>
    <v>1.81</v>
    <v>8.829E-3</v>
    <v>CHF</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SIX Swiss Exchange</v>
    <v>XSWX</v>
    <v>XSWX</v>
    <v>3555 Farnam St, OMAHA, NE, 68131 US</v>
    <v>208.7</v>
    <v>Consumer Goods Conglomerates</v>
    <v>Stock</v>
    <v>43644.651412037034</v>
    <v>11</v>
    <v>206.82</v>
    <v>594447800000</v>
    <v>BERKSHIRE HATHAWAY INC.,</v>
    <v>BERKSHIRE HATHAWAY INC.,</v>
    <v>208.7</v>
    <v>0</v>
    <v>205.01</v>
    <v>206.82</v>
    <v>1464240</v>
    <v>BRK/B</v>
    <v>BERKSHIRE HATHAWAY INC., (XSWX:BRK/B)</v>
    <v>514300</v>
    <v>3240</v>
    <v>1998</v>
  </rv>
  <rv s="2">
    <v>12</v>
  </rv>
  <rv s="0">
    <v>https://www.bing.com/financeapi/forcetrigger?t=a1p252&amp;q=XNYS%3aBWXT&amp;form=skydnc</v>
    <v>Learn more on Bing</v>
  </rv>
  <rv s="3">
    <v>en-US</v>
    <v>a1p252</v>
    <v>268435456</v>
    <v>1</v>
    <v>Powered by Refinitiv</v>
    <v>5</v>
    <v>BWX TECHNOLOGIES, INC. (XNYS:BWXT)</v>
    <v>2</v>
    <v>9</v>
    <v>Finance</v>
    <v>4</v>
    <v>62.84</v>
    <v>42.58</v>
    <v>0.79469999999999996</v>
    <v>0.35</v>
    <v>6.0809999999999996E-3</v>
    <v>USD</v>
    <v>BWX Technologies, Inc. is a specialty manufacturer of nuclear components, a developer of nuclear technologies, and a service provider. It designs and manufactures precision naval nuclear components, reactors and nuclear fuel. It operates through three reportable segments: Nuclear Operations Group, Nuclear Power Group, and Nuclear Services Group. The Nuclear Operations Group manufactures naval nuclear reactors for the United States Naval Nuclear Propulsion Program for use in submarines and aircraft carriers. The Nuclear Power Group fabricates commercial nuclear steam generators, nuclear fuel, fuel handling systems, pressure vessels, reactor components, heat exchangers, tooling delivery systems, and other auxiliary equipment. The Nuclear Services Group provides various services to the United States government, including nuclear materials management and operation, environmental management, and administrative and operating services for various United States government-owned facilities.</v>
    <v>6600</v>
    <v>New York Stock Exchange</v>
    <v>XNYS</v>
    <v>XNYS</v>
    <v>800 Main St Ste 4, LYNCHBURG, VA, 24504-1533 US</v>
    <v>58.23</v>
    <v>Aerospace &amp; Defense</v>
    <v>Stock</v>
    <v>44925.012240497657</v>
    <v>14</v>
    <v>57.575000000000003</v>
    <v>5282682813</v>
    <v>BWX TECHNOLOGIES, INC.</v>
    <v>BWX TECHNOLOGIES, INC.</v>
    <v>57.6</v>
    <v>17.065799999999999</v>
    <v>57.56</v>
    <v>57.91</v>
    <v>91222290</v>
    <v>BWXT</v>
    <v>BWX TECHNOLOGIES, INC. (XNYS:BWXT)</v>
    <v>10</v>
    <v>454306</v>
    <v>2010</v>
  </rv>
  <rv s="2">
    <v>15</v>
  </rv>
  <rv s="0">
    <v>https://www.bing.com/financeapi/forcetrigger?t=a1qc1h&amp;q=XNYS%3aCRM&amp;form=skydnc</v>
    <v>Learn more on Bing</v>
  </rv>
  <rv s="3">
    <v>en-US</v>
    <v>a1qc1h</v>
    <v>268435456</v>
    <v>1</v>
    <v>Powered by Refinitiv</v>
    <v>5</v>
    <v>SALESFORCE, INC. (XNYS:CRM)</v>
    <v>2</v>
    <v>9</v>
    <v>Finance</v>
    <v>10</v>
    <v>257.89999999999998</v>
    <v>126.34</v>
    <v>1.1440999999999999</v>
    <v>4.08</v>
    <v>3.1758000000000002E-2</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132.94999999999999</v>
    <v>Software &amp; IT Services</v>
    <v>Stock</v>
    <v>44925.041067267972</v>
    <v>17</v>
    <v>129.5</v>
    <v>132550000000</v>
    <v>SALESFORCE, INC.</v>
    <v>SALESFORCE, INC.</v>
    <v>129.69999999999999</v>
    <v>477.67329999999998</v>
    <v>128.47</v>
    <v>132.55000000000001</v>
    <v>1000000000</v>
    <v>CRM</v>
    <v>SALESFORCE, INC. (XNYS:CRM)</v>
    <v>8300</v>
    <v>11498227</v>
    <v>1999</v>
  </rv>
  <rv s="2">
    <v>18</v>
  </rv>
  <rv s="0">
    <v>https://www.bing.com/financeapi/forcetrigger?t=a1qpw7&amp;q=XNYS%3aD&amp;form=skydnc</v>
    <v>Learn more on Bing</v>
  </rv>
  <rv s="3">
    <v>en-US</v>
    <v>a1qpw7</v>
    <v>268435456</v>
    <v>1</v>
    <v>Powered by Refinitiv</v>
    <v>5</v>
    <v>Dominion Energy, Inc. (XNYS:D)</v>
    <v>2</v>
    <v>9</v>
    <v>Finance</v>
    <v>10</v>
    <v>88.78</v>
    <v>57.18</v>
    <v>0.41870000000000002</v>
    <v>0.18</v>
    <v>2.9289999999999997E-3</v>
    <v>USD</v>
    <v>Dominion Energy, Inc. is a producer and distributor of energy.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Its portfolio of assets includes approximately 30.2 gigawatt (GW) of electric generating capacity, 10,700 miles of electric transmission lines, 78,000 miles of electric distribution lines and 95,700 miles of gas distribution mains and related service facilities, which are supported by 6,000 miles of gas transmission, gathering and storage pipeline. It operates in around 13 states. The Company's operations are conducted through various subsidiaries, including Virginia Electric and Power Company (Virginia Power). Its operations also include Dominion Energy South Carolina, Inc. (DESC).</v>
    <v>17100</v>
    <v>New York Stock Exchange</v>
    <v>XNYS</v>
    <v>XNYS</v>
    <v>120 Tredegar St, RICHMOND, VA, 23219-4306 US</v>
    <v>62.122</v>
    <v>Electrical Utilities &amp; IPPs</v>
    <v>Stock</v>
    <v>44925.033841700781</v>
    <v>20</v>
    <v>61.41</v>
    <v>51363083328</v>
    <v>Dominion Energy, Inc.</v>
    <v>Dominion Energy, Inc.</v>
    <v>61.78</v>
    <v>29.1477</v>
    <v>61.46</v>
    <v>61.64</v>
    <v>833275200</v>
    <v>D</v>
    <v>Dominion Energy, Inc. (XNYS:D)</v>
    <v>171</v>
    <v>5926236</v>
    <v>1983</v>
  </rv>
  <rv s="2">
    <v>21</v>
  </rv>
  <rv s="0">
    <v>https://www.bing.com/financeapi/forcetrigger?t=a1soec&amp;q=XNAS%3aFCNCA&amp;form=skydnc</v>
    <v>Learn more on Bing</v>
  </rv>
  <rv s="3">
    <v>en-US</v>
    <v>a1soec</v>
    <v>268435456</v>
    <v>1</v>
    <v>Powered by Refinitiv</v>
    <v>5</v>
    <v>FIRST CITIZENS BANCSHARES, INC. (XNAS:FCNCA)</v>
    <v>2</v>
    <v>9</v>
    <v>Finance</v>
    <v>4</v>
    <v>947.71</v>
    <v>598.01</v>
    <v>0.94579999999999997</v>
    <v>9.99</v>
    <v>1.3354E-2</v>
    <v>USD</v>
    <v>First Citizens BancShares, Inc. is a financial holding company that conducts operations through its banking subsidiary, First-Citizens Bank &amp; Trust Company (the Bank). The Company and its subsidiaries operate approximately 529 branches in 19 states located in the Southeast, Mid-Atlantic, Midwest and Western United States. It seeks to meet the financial needs of individuals and commercial entities in its market areas through a range of retail and commercial banking services. Its loan services include various types of commercial, business, and consumer lending. Its deposit services include checking, savings, money market and time deposit accounts. Its subsidiaries provide mortgage lending, a trust department, wealth management services for businesses and individuals, and other activities incidental to commercial banking. The Banks wholly owned subsidiaries, First Citizens Investor Services, Inc. and First Citizens Asset Management, Inc., provide various investment products and services.</v>
    <v>6578</v>
    <v>Nasdaq Stock Market</v>
    <v>XNAS</v>
    <v>XNAS</v>
    <v>4300 Six Forks Rd, RALEIGH, NC, 27609 US</v>
    <v>760.28</v>
    <v>Banking Services</v>
    <v>Stock</v>
    <v>44924.880414258594</v>
    <v>23</v>
    <v>745.8</v>
    <v>11902860000</v>
    <v>FIRST CITIZENS BANCSHARES, INC.</v>
    <v>FIRST CITIZENS BANCSHARES, INC.</v>
    <v>747.16</v>
    <v>12.0527</v>
    <v>748.08</v>
    <v>758.07</v>
    <v>16002690</v>
    <v>FCNCA</v>
    <v>FIRST CITIZENS BANCSHARES, INC. (XNAS:FCNCA)</v>
    <v>48545</v>
    <v>90302</v>
    <v>1986</v>
  </rv>
  <rv s="2">
    <v>24</v>
  </rv>
  <rv s="0">
    <v>https://www.bing.com/financeapi/forcetrigger?t=afakk2&amp;q=XFRA%3aFVJ&amp;form=skydnc</v>
    <v>Learn more on Bing</v>
  </rv>
  <rv s="3">
    <v>en-US</v>
    <v>afakk2</v>
    <v>268435456</v>
    <v>1</v>
    <v>Powered by Refinitiv</v>
    <v>5</v>
    <v>FORTESCUE METALS GROUP LTD (XFRA:FVJ)</v>
    <v>2</v>
    <v>11</v>
    <v>Finance</v>
    <v>7</v>
    <v>16.8</v>
    <v>2.15</v>
    <v>0.92079999999999995</v>
    <v>0.05</v>
    <v>3.7880000000000001E-3</v>
    <v>EUR</v>
    <v>Fortescue Metals Group Ltd (Fortescue) is an Australia-based company engaged in iron ore mining. The Company is engaged in development of infrastructure and mining assets. It is focused on exploration, development, production, processing, and sale of iron ore. Fortescue owns and operates a fully integrated infrastructure and supply chain, including five-berth Herb Elliott Port in Port Hedland; the Judith Street Harbour towage infrastructure and the heavy-haul railway covering 620 kilometers of track. Fortescue is also developing the Eliwana Mine and Rail Project and the Iron Bridge Magnetite Project. It is also focused on Paterson and Rudall projects in Western Australia and a drilling program at Vulcan South on the Tasman Resources Joint Venture project in South Australia. Fortescue activities include drilling programs in Argentina and exploration activities over several project areas in Chile, Brazil and Ecuador. It also operates The Solomon Hub in the Hamersley Ranges.</v>
    <v>11693</v>
    <v>Deutsche Boerse AG</v>
    <v>XFRA</v>
    <v>XFRA</v>
    <v>Level 2 87 Adelaide Terrace, East Perth, PERTH, WESTERN AUSTRALIA, 6004 AU</v>
    <v>13.35</v>
    <v>Metals &amp; Mining</v>
    <v>Stock</v>
    <v>44925.541666666664</v>
    <v>26</v>
    <v>13</v>
    <v>63611410000</v>
    <v>FORTESCUE METALS GROUP LTD</v>
    <v>FORTESCUE METALS GROUP LTD</v>
    <v>13</v>
    <v>6.87</v>
    <v>13.2</v>
    <v>13.25</v>
    <v>3078965000</v>
    <v>FVJ</v>
    <v>FORTESCUE METALS GROUP LTD (XFRA:FVJ)</v>
    <v>1619</v>
    <v>6870040</v>
    <v>1983</v>
  </rv>
  <rv s="2">
    <v>27</v>
  </rv>
  <rv s="0">
    <v>https://www.bing.com/financeapi/forcetrigger?t=br5x27&amp;q=XNAS%3aINMD&amp;form=skydnc</v>
    <v>Learn more on Bing</v>
  </rv>
  <rv s="3">
    <v>en-US</v>
    <v>br5x27</v>
    <v>268435456</v>
    <v>1</v>
    <v>Powered by Refinitiv</v>
    <v>5</v>
    <v>INMODE LTD (XNAS:INMD)</v>
    <v>2</v>
    <v>9</v>
    <v>Finance</v>
    <v>4</v>
    <v>71.98</v>
    <v>20.6</v>
    <v>2.1941000000000002</v>
    <v>1.19</v>
    <v>3.4623000000000001E-2</v>
    <v>USD</v>
    <v>Inmode Ltd is an Israel-based global provider of energy-based, minimally-invasive surgical medical treatment solutions. Company's products and solutions are primarily designed to address three energy-based treatment categories comprised of: face and body contouring; medical aesthetics; and women’s health. The Company have developed and commercialized products utilizing medically-accepted RF energy technology, which can penetrate deep into the subdermal fat, allowing adipose tissue remodeling. It's RF energy-based proprietary technologies - Radio Frequency Assisted Lipolysis (RFAL), Deep Subdermal Fractional RF, Simultaneous Fat Destruction and Skin Tightening and Deep Heating Collagen Remodeling for skin and human natural openings- represent a paradigm shift in the minimally-invasive aesthetic solutions market. These technologies are used by physicians to remodel subdermal adipose, or fatty tissue in a variety of procedures.</v>
    <v>362</v>
    <v>Nasdaq Stock Market</v>
    <v>XNAS</v>
    <v>XNAS</v>
    <v>Tavor Building, Sha'ar Yokneam, Pob 533, YOKNEAM, 2069200 IL</v>
    <v>35.869999999999997</v>
    <v>Healthcare Equipment &amp; Supplies</v>
    <v>Stock</v>
    <v>44925.041641365628</v>
    <v>29</v>
    <v>34.74</v>
    <v>2954363204</v>
    <v>INMODE LTD</v>
    <v>INMODE LTD</v>
    <v>34.83</v>
    <v>17.221699999999998</v>
    <v>34.369999999999997</v>
    <v>35.56</v>
    <v>83081080</v>
    <v>INMD</v>
    <v>INMODE LTD (XNAS:INMD)</v>
    <v>107</v>
    <v>869735</v>
    <v>2008</v>
  </rv>
  <rv s="2">
    <v>30</v>
  </rv>
  <rv s="0">
    <v>https://www.bing.com/financeapi/forcetrigger?t=a1xgw7&amp;q=XNAS%3aMEDP&amp;form=skydnc</v>
    <v>Learn more on Bing</v>
  </rv>
  <rv s="3">
    <v>en-US</v>
    <v>a1xgw7</v>
    <v>268435456</v>
    <v>1</v>
    <v>Powered by Refinitiv</v>
    <v>5</v>
    <v>MEDPACE HOLDINGS, INC. (XNAS:MEDP)</v>
    <v>2</v>
    <v>9</v>
    <v>Finance</v>
    <v>4</v>
    <v>235.72</v>
    <v>126.94499999999999</v>
    <v>1.4152</v>
    <v>7.15</v>
    <v>3.4298000000000002E-2</v>
    <v>USD</v>
    <v>Medpace Holdings, Inc. is a global provider of clinical research-based drug and medical device development services. The Company is focused on providing scientifically driven outsourced clinical development services to the biotechnology, pharmaceutical and medical device industries. The Company partners with pharmaceutical, biotechnology, and medical device companies in the development and execution of clinical trials. The Company's drug development services focus on full-service Phase I-IV clinical development services and include development plan design, coordinated central laboratory, project management, regulatory affairs, clinical monitoring, data management and analysis, pharmacovigilance new drug application submissions, and post-marketing clinical support. It also provides bio-analytical laboratory services, clinical human pharmacology, imaging services, and electrocardiography reading support for clinical trials. Its operations are based in North America, Europe, and Asia.</v>
    <v>5000</v>
    <v>Nasdaq Stock Market</v>
    <v>XNAS</v>
    <v>XNAS</v>
    <v>5375 Medpace Way, CINCINNATI, OH, 45227-1543 US</v>
    <v>217.32</v>
    <v>Biotechnology &amp; Medical Research</v>
    <v>Stock</v>
    <v>44925.038759571093</v>
    <v>32</v>
    <v>211</v>
    <v>6705760438</v>
    <v>MEDPACE HOLDINGS, INC.</v>
    <v>MEDPACE HOLDINGS, INC.</v>
    <v>211.49</v>
    <v>33.094999999999999</v>
    <v>208.47</v>
    <v>215.62</v>
    <v>31099900</v>
    <v>MEDP</v>
    <v>MEDPACE HOLDINGS, INC. (XNAS:MEDP)</v>
    <v>28</v>
    <v>270848</v>
    <v>2014</v>
  </rv>
  <rv s="2">
    <v>33</v>
  </rv>
  <rv s="0">
    <v>https://www.bing.com/financeapi/forcetrigger?t=a1xonm&amp;q=XNAS%3aMKTX&amp;form=skydnc</v>
    <v>Learn more on Bing</v>
  </rv>
  <rv s="3">
    <v>en-US</v>
    <v>a1xonm</v>
    <v>268435456</v>
    <v>1</v>
    <v>Powered by Refinitiv</v>
    <v>5</v>
    <v>MARKETAXESS HOLDINGS INC. (XNAS:MKTX)</v>
    <v>2</v>
    <v>9</v>
    <v>Finance</v>
    <v>4</v>
    <v>415.57</v>
    <v>217.44</v>
    <v>0.622</v>
    <v>6.88</v>
    <v>2.4887000000000003E-2</v>
    <v>USD</v>
    <v>MarketAxess Holdings Inc. is engaged in operating electronic platforms for the trading of fixed-income securities and provide related data, analytics, compliance tools and post-trade services. It provides Open Trading marketplace, which offers all-to-all trading solutions in the global credit markets, creating a liquidity pool for a range of credit market participants. It is involved in drawing on a diverse set of trading protocols, including request-for-quote, live order books, sessions-based trading, and portfolio trading solutions, as well as its data and analytical resources. It provides integrated and actionable data offerings, including Composite+ and Axess All real time pricing to assist clients with trading decisions and transaction cost analysis. The Company offers a range of post-trade services, including straight-through processing, trade matching, trade publication, regulatory transaction reporting, and market and reference data across fixed-income and other products.</v>
    <v>676</v>
    <v>Nasdaq Stock Market</v>
    <v>XNAS</v>
    <v>XNAS</v>
    <v>55 Hudson Yards, 15Th Floor, NEW YORK, NY, 10001 US</v>
    <v>285.57</v>
    <v>Investment Banking &amp; Investment Services</v>
    <v>Stock</v>
    <v>44924.878347349222</v>
    <v>35</v>
    <v>278.60000000000002</v>
    <v>10663640210</v>
    <v>MARKETAXESS HOLDINGS INC.</v>
    <v>MARKETAXESS HOLDINGS INC.</v>
    <v>278.63</v>
    <v>43.980499999999999</v>
    <v>276.45</v>
    <v>283.33</v>
    <v>37636820</v>
    <v>MKTX</v>
    <v>MARKETAXESS HOLDINGS INC. (XNAS:MKTX)</v>
    <v>108260</v>
    <v>325367</v>
    <v>2000</v>
  </rv>
  <rv s="2">
    <v>36</v>
  </rv>
  <rv s="0">
    <v>http://en.wikipedia.org/wiki/Public_domain</v>
    <v>Public domain</v>
  </rv>
  <rv s="0">
    <v>https://en.wikipedia.org/wiki/Microsoft</v>
    <v>Wikipedia</v>
  </rv>
  <rv s="6">
    <v>38</v>
    <v>39</v>
  </rv>
  <rv s="7">
    <v>16</v>
    <v>https://www.bing.com/th?id=AMMS_e6e837c7bf3a77408619758b7447855a&amp;qlt=95</v>
    <v>40</v>
    <v>0</v>
    <v>https://www.bing.com/images/search?form=xlimg&amp;q=microsoft</v>
    <v>Image of MICROSOFT CORPORATION</v>
  </rv>
  <rv s="0">
    <v>https://www.bing.com/financeapi/forcetrigger?t=a1xzim&amp;q=XNAS%3aMSFT&amp;form=skydnc</v>
    <v>Learn more on Bing</v>
  </rv>
  <rv s="8">
    <v>en-US</v>
    <v>a1xzim</v>
    <v>268435456</v>
    <v>1</v>
    <v>Powered by Refinitiv</v>
    <v>12</v>
    <v>MICROSOFT CORPORATION (XNAS:MSFT)</v>
    <v>14</v>
    <v>15</v>
    <v>Finance</v>
    <v>10</v>
    <v>343.13</v>
    <v>213.43100000000001</v>
    <v>0.93889999999999996</v>
    <v>6.48</v>
    <v>2.7629999999999998E-2</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241.92</v>
    <v>41</v>
    <v>Software &amp; IT Services</v>
    <v>Stock</v>
    <v>44925.04164241875</v>
    <v>42</v>
    <v>235.65</v>
    <v>1796602537730</v>
    <v>MICROSOFT CORPORATION</v>
    <v>MICROSOFT CORPORATION</v>
    <v>235.65</v>
    <v>25.9697</v>
    <v>234.53</v>
    <v>241.01</v>
    <v>7454473000</v>
    <v>MSFT</v>
    <v>MICROSOFT CORPORATION (XNAS:MSFT)</v>
    <v>64929</v>
    <v>27539922</v>
    <v>1993</v>
  </rv>
  <rv s="2">
    <v>43</v>
  </rv>
  <rv s="0">
    <v>https://www.bing.com/financeapi/forcetrigger?t=a1ybar&amp;q=XNAS%3aNBIX&amp;form=skydnc</v>
    <v>Learn more on Bing</v>
  </rv>
  <rv s="3">
    <v>en-US</v>
    <v>a1ybar</v>
    <v>268435456</v>
    <v>1</v>
    <v>Powered by Refinitiv</v>
    <v>5</v>
    <v>NEUROCRINE BIOSCIENCES, INC. (XNAS:NBIX)</v>
    <v>2</v>
    <v>9</v>
    <v>Finance</v>
    <v>4</v>
    <v>129.29</v>
    <v>71.875</v>
    <v>0.53449999999999998</v>
    <v>1.52</v>
    <v>1.2808E-2</v>
    <v>USD</v>
    <v>Neurocrine Biosciences, Inc. is a neuroscience-focused, biopharmaceutical company. The Company is focused on discovering, developing and marketing of pharmaceuticals for the treatment of neurological, endocrine and psychiatric-based diseases and disorders. Its portfolio includes treatments for tardive dyskinesia, Parkinson’s disease, endometriosis and uterine fibroids. Its product pipeline includes INGREZZA (valbenazine), which provides a once-daily dosing treatment option for tardive dyskinesia and has three dosing options (40 milligram (mg), 60 mg and 80 mg capsules); ONGENTYS (opicapone) is an adjunctive therapy to levodopa/carbidopa in patients with Parkinson’s disease; ORILISSA (elagolix) is used for the management of moderate to severe endometriosis pain in women, and ORIAHNN (elagolix, estradiol, and norethindrone acetate and elagolix capsules) is a non-surgical, oral medication option for the management of heavy menstrual bleeding associated with uterine fibroids in women.</v>
    <v>900</v>
    <v>Nasdaq Stock Market</v>
    <v>XNAS</v>
    <v>XNAS</v>
    <v>12780 El Camino Real, SAN DIEGO, CA, 92130-2042 US</v>
    <v>121.14</v>
    <v>Biotechnology &amp; Medical Research</v>
    <v>Stock</v>
    <v>44924.876927349222</v>
    <v>45</v>
    <v>118.57</v>
    <v>11555353678</v>
    <v>NEUROCRINE BIOSCIENCES, INC.</v>
    <v>NEUROCRINE BIOSCIENCES, INC.</v>
    <v>119.15</v>
    <v>207.01300000000001</v>
    <v>118.68</v>
    <v>120.2</v>
    <v>96134390</v>
    <v>NBIX</v>
    <v>NEUROCRINE BIOSCIENCES, INC. (XNAS:NBIX)</v>
    <v>297517</v>
    <v>659680</v>
    <v>1996</v>
  </rv>
  <rv s="2">
    <v>46</v>
  </rv>
  <rv s="0">
    <v>https://www.bing.com/financeapi/forcetrigger?t=a247k2&amp;q=XNYS%3aTHO&amp;form=skydnc</v>
    <v>Learn more on Bing</v>
  </rv>
  <rv s="3">
    <v>en-US</v>
    <v>a247k2</v>
    <v>268435456</v>
    <v>1</v>
    <v>Powered by Refinitiv</v>
    <v>5</v>
    <v>THOR INDUSTRIES, INC. (XNYS:THO)</v>
    <v>2</v>
    <v>9</v>
    <v>Finance</v>
    <v>4</v>
    <v>108.5765</v>
    <v>66.260000000000005</v>
    <v>1.6782999999999999</v>
    <v>1.42</v>
    <v>1.9192000000000001E-2</v>
    <v>USD</v>
    <v>THOR Industries, Inc. is a manufacturer of recreational vehicles (RVs). Its segments include North American Towable Recreational Vehicles, North American Motorized Recreational Vehicles and European Recreational Vehicles. The North American Towable Recreational Vehicles segment consists of Airstream (towable), Heartland (including Cruiser RV and DRV), Jayco (including Jayco towable, Starcraft and Highland Ridge), Keystone (including CrossRoads and Dutchmen), KZ (including Venture RV) and Tiffin Group (Vanleigh RV). The North American Motorized Recreational Vehicles segment consists of Airstream (motorized), Jayco (including Jayco motorized and Entegra Coach), Thor Motor Coach and Tiffin Group (Tiffin Motorhomes, Inc). The European Recreational Vehicles segment consists of the EHG business. EHG manufactures a full line of motorized and towable recreational vehicles, including motor caravans, campervans urban vehicles and caravans in eight RV production facilities within Europe.</v>
    <v>32000</v>
    <v>New York Stock Exchange</v>
    <v>XNYS</v>
    <v>XNYS</v>
    <v>601 E. Beardsley Avenue, ELKHART, IN, 46514 US</v>
    <v>76.27</v>
    <v>Leisure Products</v>
    <v>Stock</v>
    <v>44925.000000010936</v>
    <v>48</v>
    <v>74.94</v>
    <v>3983935000</v>
    <v>THOR INDUSTRIES, INC.</v>
    <v>THOR INDUSTRIES, INC.</v>
    <v>74.95</v>
    <v>4.0138999999999996</v>
    <v>73.989999999999995</v>
    <v>75.41</v>
    <v>53518730</v>
    <v>THO</v>
    <v>THOR INDUSTRIES, INC. (XNYS:THO)</v>
    <v>602</v>
    <v>725556</v>
    <v>1983</v>
  </rv>
  <rv s="2">
    <v>49</v>
  </rv>
  <rv s="0">
    <v>https://www.bing.com/financeapi/forcetrigger?t=aea8z2&amp;q=XPAR%3aTRI&amp;form=skydnc</v>
    <v>Learn more on Bing</v>
  </rv>
  <rv s="3">
    <v>en-US</v>
    <v>aea8z2</v>
    <v>268435456</v>
    <v>1</v>
    <v>Powered by Refinitiv</v>
    <v>5</v>
    <v>Trigano SA (XPAR:TRI)</v>
    <v>2</v>
    <v>6</v>
    <v>Finance</v>
    <v>7</v>
    <v>189.9</v>
    <v>73.7</v>
    <v>1.1964999999999999</v>
    <v>0</v>
    <v>0</v>
    <v>EUR</v>
    <v>Trigano SA is a France-based company that specializes in the design, manufacturing and marketing of recreational vehicles and equipment. The Company's Leisure Vehicles segment includes such products as motor caravans, camping cars and mobile homes, accessories and spare parts, sold under such brands as Arca, Autostar and Challenger, among others. The Leisure Equipment segment comprises trailers; camping equipment, such as tents; garden equipment, such as on-ground swimming pools, open-air games, barbecues and garden sheds. Furthermore, Trigano offers motor caravan rental, through the Trois Soleils and DRM, partners of Hertz. The Company operates through numerous subsidiaries, mainly in Europe. It operates through Auto-Sleepers Investments Ltd and Bruand Developpement, among others.</v>
    <v>10438</v>
    <v>Euronext Paris</v>
    <v>XPAR</v>
    <v>XPAR</v>
    <v>100 rue Petit, PARIS, ILE-DE-FRANCE, 75019 FR</v>
    <v>127.8</v>
    <v>Leisure Products</v>
    <v>Stock</v>
    <v>44925.545358796298</v>
    <v>51</v>
    <v>126.6</v>
    <v>2465374000</v>
    <v>Trigano SA</v>
    <v>Trigano SA</v>
    <v>127.4</v>
    <v>8.7457999999999991</v>
    <v>127.5</v>
    <v>127.5</v>
    <v>19336270</v>
    <v>TRI</v>
    <v>Trigano SA (XPAR:TRI)</v>
    <v>3407</v>
    <v>16920</v>
    <v>1980</v>
  </rv>
  <rv s="2">
    <v>52</v>
  </rv>
  <rv s="0">
    <v>https://www.bing.com/financeapi/forcetrigger?t=a24kjc&amp;q=XNYS%3aTSM&amp;form=skydnc</v>
    <v>Learn more on Bing</v>
  </rv>
  <rv s="3">
    <v>en-US</v>
    <v>a24kjc</v>
    <v>268435456</v>
    <v>1</v>
    <v>Powered by Refinitiv</v>
    <v>5</v>
    <v>Taiwan Semiconductor Manufacturing Co., Ltd. (XNYS:TSM)</v>
    <v>2</v>
    <v>9</v>
    <v>Finance</v>
    <v>10</v>
    <v>145</v>
    <v>59.43</v>
    <v>1.0573999999999999</v>
    <v>2.94</v>
    <v>4.0240999999999999E-2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76.039900000000003</v>
    <v>Semiconductors &amp; Semiconductor Equipment</v>
    <v>Stock</v>
    <v>44925.041654142966</v>
    <v>54</v>
    <v>74.150000000000006</v>
    <v>380993700000</v>
    <v>Taiwan Semiconductor Manufacturing Co., Ltd.</v>
    <v>Taiwan Semiconductor Manufacturing Co., Ltd.</v>
    <v>74.349999999999994</v>
    <v>14.133599999999999</v>
    <v>73.06</v>
    <v>76</v>
    <v>5186076000</v>
    <v>TSM</v>
    <v>Taiwan Semiconductor Manufacturing Co., Ltd. (XNYS:TSM)</v>
    <v>66297</v>
    <v>12824037</v>
    <v>1987</v>
  </rv>
  <rv s="2">
    <v>55</v>
  </rv>
  <rv s="0">
    <v>https://www.bing.com/financeapi/forcetrigger?t=c354hw&amp;q=BVMF%3aV2EE34&amp;form=skydnc</v>
    <v>Learn more on Bing</v>
  </rv>
  <rv s="9">
    <v>en-US</v>
    <v>c354hw</v>
    <v>268435456</v>
    <v>1</v>
    <v>Powered by Refinitiv</v>
    <v>17</v>
    <v>VEEVA SYSTEMS INC. (BVMF:V2EE34)</v>
    <v>2</v>
    <v>18</v>
    <v>Finance</v>
    <v>19</v>
    <v>48.91</v>
    <v>25.28</v>
    <v>0.87729999999999997</v>
    <v>0.5</v>
    <v>1.5244000000000001E-2</v>
    <v>BRL</v>
    <v>Veeva Systems Inc. (Veeva) is a provider of Industry cloud-based software solutions for the global life sciences industry. The Company's solutions include cloud software, data, and business consulting that are designed to meet the needs of its customers and their strategic business functions, from research and development (R&amp;D) to commercialization. The Company’s industry cloud solutions for the life sciences industry are grouped into two product areas: Veeva Commercial Cloud and Veeva Vault. Veeva Commercial Cloud offers various software, data and analytics solutions. Its Cloud software applications include Veeva CRM and Veeva Medical CRM, Veeva CRM MyInsights, Veeva Align, Veeva CLM and Veeva CRM Events Management. Veeva’s data and analytics solutions include Veeva OpenData, Veeva Link, Veeva Crossix, Veeva Data Cloud and Veeva Nitro. Veeva Vault offers various cloud-based, enterprise content and data management applications, which includes Veeva Vault eTMF and Veeva Vault MedComms.</v>
    <v>5482</v>
    <v>B3 - Brazil Stock Exchange</v>
    <v>BVMF</v>
    <v>BVMF</v>
    <v>4280 Hacienda Drive, PLEASANTON, CA, 94588 US</v>
    <v>33.299999999999997</v>
    <v>Healthcare Equipment &amp; Supplies</v>
    <v>Stock</v>
    <v>44893.871458333335</v>
    <v>57</v>
    <v>33.299999999999997</v>
    <v>28829550000</v>
    <v>VEEVA SYSTEMS INC.</v>
    <v>VEEVA SYSTEMS INC.</v>
    <v>33.299999999999997</v>
    <v>32.799999999999997</v>
    <v>33.299999999999997</v>
    <v>155688500</v>
    <v>V2EE34</v>
    <v>VEEVA SYSTEMS INC. (BVMF:V2EE34)</v>
    <v>81</v>
    <v>1119820</v>
    <v>2007</v>
  </rv>
  <rv s="2">
    <v>58</v>
  </rv>
  <rv s="0">
    <v>https://www.bing.com/financeapi/forcetrigger?t=a32har&amp;q=XNAS%3aXPEL&amp;form=skydnc</v>
    <v>Learn more on Bing</v>
  </rv>
  <rv s="3">
    <v>en-US</v>
    <v>a32har</v>
    <v>268435456</v>
    <v>1</v>
    <v>Powered by Refinitiv</v>
    <v>5</v>
    <v>XPEL, INC. (XNAS:XPEL)</v>
    <v>2</v>
    <v>9</v>
    <v>Finance</v>
    <v>4</v>
    <v>87.01</v>
    <v>39.799999999999997</v>
    <v>1.5005999999999999</v>
    <v>2.0099999999999998</v>
    <v>3.4213E-2</v>
    <v>USD</v>
    <v>Xpel Inc. manufactures, sells and installs after-market automotive products, including automotive surface and paint protection, headlight protection, and automotive window films. The Company’s products include architectural window film (both commercial and residential) and security film protection for commercial and residential uses, and also provides automotive ceramic coatings products. Its products also include ULTIMATE PLUS paint protection film (PPF), ULTIMATE PLUS BLACK PPF, ULTIMATE PLUS, STEALTH satin PPF, TRACWRAP temporary protection film, ARMOR protective film, RX 8 gloss protective film, RX 8 matte protective film, RX 10 gloss protective film, RX 10 matte protective film and PRIME automotive window. The Company also offers car care services, including anti-static glass cleaner, ceramic boost, detail spray, interior cleaner, iron remover, paint protection film (PPF) cleaner, PPF sealant, rinse-free car wash, water spot remover, cleaning &amp; detailing, towels &amp; microfibers.</v>
    <v>709</v>
    <v>Nasdaq Stock Market</v>
    <v>XNAS</v>
    <v>XNAS</v>
    <v>3251 I-35, SAN ANTONIO, TX, 78219 US</v>
    <v>60.83</v>
    <v>Automobiles &amp; Auto Parts</v>
    <v>Stock</v>
    <v>44924.879067997659</v>
    <v>60</v>
    <v>59.5</v>
    <v>1677951805</v>
    <v>XPEL, INC.</v>
    <v>XPEL, INC.</v>
    <v>59.5</v>
    <v>42.773699999999998</v>
    <v>58.75</v>
    <v>60.76</v>
    <v>27616060</v>
    <v>XPEL</v>
    <v>XPEL, INC. (XNAS:XPEL)</v>
    <v>107262</v>
    <v>109540</v>
    <v>2003</v>
  </rv>
  <rv s="2">
    <v>61</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error">
    <k n="errorType" t="i"/>
    <k n="field" t="s"/>
    <k n="subType" t="i"/>
  </s>
  <s t="_error">
    <k n="errorType" t="i"/>
    <k n="propagated" t="b"/>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20">
    <spb s="0">
      <v>0</v>
      <v>Name</v>
      <v>LearnMoreOnLink</v>
    </spb>
    <spb s="1">
      <v>0</v>
      <v>0</v>
      <v>0</v>
    </spb>
    <spb s="2">
      <v>1</v>
      <v>1</v>
      <v>1</v>
      <v>1</v>
    </spb>
    <spb s="3">
      <v>1</v>
      <v>2</v>
      <v>2</v>
      <v>1</v>
      <v>3</v>
      <v>1</v>
      <v>1</v>
      <v>1</v>
      <v>4</v>
      <v>5</v>
      <v>6</v>
      <v>1</v>
      <v>1</v>
      <v>1</v>
      <v>4</v>
      <v>7</v>
      <v>8</v>
      <v>9</v>
      <v>4</v>
    </spb>
    <spb s="4">
      <v>Delayed 15 minutes</v>
      <v>from previous close</v>
      <v>from previous close</v>
      <v>Source: Nasdaq</v>
      <v>GMT</v>
    </spb>
    <spb s="0">
      <v>1</v>
      <v>Name</v>
      <v>LearnMoreOnLink</v>
    </spb>
    <spb s="5">
      <v>10</v>
      <v>2</v>
      <v>2</v>
      <v>10</v>
      <v>3</v>
      <v>10</v>
      <v>10</v>
      <v>10</v>
      <v>4</v>
      <v>4</v>
      <v>5</v>
      <v>11</v>
      <v>10</v>
      <v>10</v>
      <v>10</v>
      <v>4</v>
      <v>7</v>
      <v>8</v>
      <v>9</v>
      <v>4</v>
    </spb>
    <spb s="6">
      <v>Delayed 15 minutes</v>
      <v>from previous close</v>
      <v>from previous close</v>
      <v>GMT</v>
    </spb>
    <spb s="5">
      <v>12</v>
      <v>2</v>
      <v>2</v>
      <v>12</v>
      <v>3</v>
      <v>12</v>
      <v>12</v>
      <v>12</v>
      <v>4</v>
      <v>4</v>
      <v>5</v>
      <v>6</v>
      <v>12</v>
      <v>12</v>
      <v>12</v>
      <v>4</v>
      <v>7</v>
      <v>8</v>
      <v>9</v>
      <v>4</v>
    </spb>
    <spb s="5">
      <v>1</v>
      <v>2</v>
      <v>2</v>
      <v>1</v>
      <v>3</v>
      <v>1</v>
      <v>1</v>
      <v>1</v>
      <v>4</v>
      <v>4</v>
      <v>5</v>
      <v>6</v>
      <v>1</v>
      <v>1</v>
      <v>1</v>
      <v>4</v>
      <v>7</v>
      <v>8</v>
      <v>9</v>
      <v>4</v>
    </spb>
    <spb s="4">
      <v>Real-Time Nasdaq Last Sale</v>
      <v>from previous close</v>
      <v>from previous close</v>
      <v>Source: Nasdaq Last Sale</v>
      <v>GMT</v>
    </spb>
    <spb s="5">
      <v>10</v>
      <v>2</v>
      <v>2</v>
      <v>10</v>
      <v>3</v>
      <v>10</v>
      <v>10</v>
      <v>10</v>
      <v>4</v>
      <v>4</v>
      <v>5</v>
      <v>13</v>
      <v>10</v>
      <v>10</v>
      <v>10</v>
      <v>4</v>
      <v>7</v>
      <v>8</v>
      <v>9</v>
      <v>4</v>
    </spb>
    <spb s="0">
      <v>2</v>
      <v>Name</v>
      <v>LearnMoreOnLink</v>
    </spb>
    <spb s="7">
      <v>0</v>
      <v>0</v>
    </spb>
    <spb s="8">
      <v>13</v>
      <v>1</v>
      <v>1</v>
      <v>1</v>
      <v>1</v>
    </spb>
    <spb s="9">
      <v>1</v>
      <v>2</v>
      <v>2</v>
      <v>1</v>
      <v>3</v>
      <v>1</v>
      <v>14</v>
      <v>1</v>
      <v>1</v>
      <v>4</v>
      <v>4</v>
      <v>5</v>
      <v>6</v>
      <v>1</v>
      <v>1</v>
      <v>1</v>
      <v>4</v>
      <v>7</v>
      <v>8</v>
      <v>9</v>
      <v>4</v>
    </spb>
    <spb s="10">
      <v>Powered by Refinitiv</v>
    </spb>
    <spb s="0">
      <v>3</v>
      <v>Name</v>
      <v>LearnMoreOnLink</v>
    </spb>
    <spb s="11">
      <v>15</v>
      <v>2</v>
      <v>15</v>
      <v>3</v>
      <v>15</v>
      <v>15</v>
      <v>15</v>
      <v>4</v>
      <v>4</v>
      <v>5</v>
      <v>6</v>
      <v>15</v>
      <v>15</v>
      <v>15</v>
      <v>4</v>
      <v>7</v>
      <v>8</v>
      <v>9</v>
      <v>4</v>
    </spb>
    <spb s="6">
      <v>Delayed 30 minutes</v>
      <v>from previous close</v>
      <v>from previous close</v>
      <v>GMT</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yy\ h:mm"/>
    </x:dxf>
    <x:dxf>
      <x:numFmt numFmtId="14" formatCode="0.00%"/>
    </x:dxf>
    <x:dxf>
      <x:numFmt numFmtId="3" formatCode="#,##0"/>
    </x:dxf>
    <x:dxf>
      <x:numFmt numFmtId="4" formatCode="#,##0.00"/>
    </x:dxf>
    <x:dxf>
      <x:numFmt numFmtId="1" formatCode="0"/>
    </x:dxf>
    <x:dxf>
      <x:numFmt numFmtId="0" formatCode="General"/>
    </x:dxf>
  </dxfs>
  <richProperties>
    <rPr n="NumberFormat" t="s"/>
    <rPr n="IsTitleField" t="b"/>
    <rPr n="IsHeroField" t="b"/>
  </richProperties>
  <richStyles>
    <rSty dxfid="6">
      <rpv i="0">_([$$-en-US]* #,##0.00_);_([$$-en-US]* (#,##0.00);_([$$-en-US]* "-"??_);_(@_)</rpv>
    </rSty>
    <rSty dxfid="4">
      <rpv i="0">#,##0.00</rpv>
    </rSty>
    <rSty>
      <rpv i="1">1</rpv>
    </rSty>
    <rSty dxfid="3">
      <rpv i="0">#,##0</rpv>
    </rSty>
    <rSty dxfid="2"/>
    <rSty dxfid="6">
      <rpv i="0">_([$$-en-US]* #,##0_);_([$$-en-US]* (#,##0);_([$$-en-US]* "-"_);_(@_)</rpv>
    </rSty>
    <rSty dxfid="1"/>
    <rSty dxfid="5">
      <rpv i="0">0</rpv>
    </rSty>
    <rSty dxfid="0">
      <rpv i="0">0.00</rpv>
    </rSty>
    <rSty dxfid="6">
      <rpv i="0">_([$€-x-euro2] * #,##0.00_);_([$€-x-euro2] * (#,##0.00);_([$€-x-euro2] * "-"??_);_(@_)</rpv>
    </rSty>
    <rSty dxfid="6">
      <rpv i="0">_([$€-x-euro2] * #,##0_);_([$€-x-euro2] * (#,##0);_([$€-x-euro2] * "-"_);_(@_)</rpv>
    </rSty>
    <rSty dxfid="6">
      <rpv i="0">_-* #,##0.00 [$CHF-fr-CH]_-;-* #,##0.00 [$CHF-fr-CH]_-;_-* "-"?? [$CHF-fr-CH]_-;_-@_-</rpv>
    </rSty>
    <rSty dxfid="6">
      <rpv i="0">_-[$$-en-AU]* #,##0_-;-[$$-en-AU]* #,##0_-;_-[$$-en-AU]* "-"_-;_-@_-</rpv>
    </rSty>
    <rSty>
      <rpv i="2">1</rpv>
    </rSty>
    <rSty dxfid="6">
      <rpv i="0">_-[$R$-pt-BR] * #,##0.00_-;-[$R$-pt-BR] * #,##0.00_-;_-[$R$-pt-BR] *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73BA44-549E-4B35-99BB-89525CD10C24}" name="Table10" displayName="Table10" ref="A1:K25" totalsRowShown="0">
  <autoFilter ref="A1:K25" xr:uid="{9E73BA44-549E-4B35-99BB-89525CD10C24}"/>
  <sortState xmlns:xlrd2="http://schemas.microsoft.com/office/spreadsheetml/2017/richdata2" ref="A2:K23">
    <sortCondition ref="A1:A23"/>
  </sortState>
  <tableColumns count="11">
    <tableColumn id="1" xr3:uid="{ACDB4949-99B1-4F99-BE46-79CF1F6F9756}" name="stock"/>
    <tableColumn id="2" xr3:uid="{9633913B-A251-4536-AFE0-1E5E12B743A9}" name="bought" dataCellStyle="Normal"/>
    <tableColumn id="3" xr3:uid="{6BA59CD2-47E7-48C6-A2DF-161D83F6E5A6}" name="moat" dataCellStyle="Normal"/>
    <tableColumn id="5" xr3:uid="{793BCC69-F926-4DF5-9388-DEA3160E958E}" name="MOS" dataDxfId="831" dataCellStyle="Percent"/>
    <tableColumn id="7" xr3:uid="{320406AB-A38D-44A3-89CA-3BF8B57281BA}" name="object"/>
    <tableColumn id="13" xr3:uid="{7677813D-9751-43C8-8AC7-F124E54FA7BB}" name="Sector"/>
    <tableColumn id="12" xr3:uid="{CBE607C5-6F5D-459A-B3CD-C3CDE5D7EF2F}" name="Industry"/>
    <tableColumn id="11" xr3:uid="{CB24418D-C59D-4925-8F1B-2470FBB6B9E0}" name="date"/>
    <tableColumn id="8" xr3:uid="{FEE3A2D0-8EB8-43D9-A822-EB808D94FA65}" name="price at date" dataDxfId="830"/>
    <tableColumn id="9" xr3:uid="{1A299FDE-7FE6-40D5-B089-2343D4867A6B}" name="price now" dataDxfId="829">
      <calculatedColumnFormula array="1">_FV(E2,"Price")</calculatedColumnFormula>
    </tableColumn>
    <tableColumn id="10" xr3:uid="{CB711704-2937-4DA6-A9D5-17680FADC027}" name="change" dataCellStyle="Percent">
      <calculatedColumnFormula>1-(I2/J2)</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8:F31" totalsRowShown="0" tableBorderDxfId="809">
  <tableColumns count="6">
    <tableColumn id="1" xr3:uid="{00000000-0010-0000-0000-000001000000}" name="Growth rate" dataDxfId="808">
      <calculatedColumnFormula>#REF!</calculatedColumnFormula>
    </tableColumn>
    <tableColumn id="2" xr3:uid="{00000000-0010-0000-0000-000002000000}" name="Fair Value_x000a_Method 1" dataDxfId="807">
      <calculatedColumnFormula>Z19</calculatedColumnFormula>
    </tableColumn>
    <tableColumn id="3" xr3:uid="{00000000-0010-0000-0000-000003000000}" name="MOS_x000a_Method 1" dataDxfId="806">
      <calculatedColumnFormula>1-$B$6/Table1[[#This Row],[Fair Value
Method 1]]</calculatedColumnFormula>
    </tableColumn>
    <tableColumn id="5" xr3:uid="{00000000-0010-0000-0000-000005000000}" name="Fair Value _x000a_Method 2" dataDxfId="805"/>
    <tableColumn id="6" xr3:uid="{00000000-0010-0000-0000-000006000000}" name="MOS _x000a_Method 2" dataDxfId="804" dataCellStyle="Percent">
      <calculatedColumnFormula>1-$B$6/Table1[[#This Row],[Fair Value 
Method 2]]</calculatedColumnFormula>
    </tableColumn>
    <tableColumn id="4" xr3:uid="{F5497480-57CA-435E-898E-9EB20D88D7C9}" name="Average" dataDxfId="803" dataCellStyle="Percent">
      <calculatedColumnFormula>AVERAGE(Table1[[#This Row],[MOS
Method 1]],Table1[[#This Row],[MOS 
Method 2]])</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5:E22" totalsRowShown="0" headerRowDxfId="802" tableBorderDxfId="801">
  <tableColumns count="5">
    <tableColumn id="1" xr3:uid="{00000000-0010-0000-0100-000001000000}" name="Particular" dataDxfId="800"/>
    <tableColumn id="2" xr3:uid="{00000000-0010-0000-0100-000002000000}" name="10 yr average [%]" dataDxfId="799"/>
    <tableColumn id="3" xr3:uid="{00000000-0010-0000-0100-000003000000}" name="5yr average [%]" dataDxfId="798"/>
    <tableColumn id="4" xr3:uid="{00000000-0010-0000-0100-000004000000}" name="1yr average [%]" dataDxfId="797"/>
    <tableColumn id="5" xr3:uid="{00000000-0010-0000-0100-000005000000}" name="[years]"/>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2:B12" totalsRowShown="0">
  <tableColumns count="2">
    <tableColumn id="1" xr3:uid="{00000000-0010-0000-0300-000001000000}" name="Particular"/>
    <tableColumn id="2" xr3:uid="{00000000-0010-0000-0300-000002000000}" name="Value" dataDxfId="796"/>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7DF6DD5-CD0E-439D-B9E5-0B82FCF1B8FF}" name="Table15" displayName="Table15" ref="A25:C26" totalsRowShown="0" tableBorderDxfId="795">
  <tableColumns count="3">
    <tableColumn id="1" xr3:uid="{755BC148-4ABC-485A-BDE7-2E410F05CC7D}" name="Growth rate_r#1" dataDxfId="794">
      <calculatedColumnFormula>B18</calculatedColumnFormula>
    </tableColumn>
    <tableColumn id="2" xr3:uid="{0F73985F-8F81-4D26-83A6-E0405EE2F600}" name="Growth rate_yahoo" dataDxfId="793"/>
    <tableColumn id="3" xr3:uid="{32662F6C-E80D-49E6-A757-701E401635F4}" name="Growth rate_3rd" dataDxfId="792"/>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CADAED9E-F9B3-4754-ABE9-622039AC12E6}" name="Table144" displayName="Table144" ref="A28:F31" totalsRowShown="0" tableBorderDxfId="772">
  <tableColumns count="6">
    <tableColumn id="1" xr3:uid="{D328EDA5-8375-4054-B84C-6BE1D0285AD7}" name="Growth rate" dataDxfId="771">
      <calculatedColumnFormula>#REF!</calculatedColumnFormula>
    </tableColumn>
    <tableColumn id="2" xr3:uid="{09DD3EB0-7C63-40F0-AE2F-6E012ECBC77D}" name="Fair Value_x000a_Method 1" dataDxfId="770">
      <calculatedColumnFormula>Z19</calculatedColumnFormula>
    </tableColumn>
    <tableColumn id="3" xr3:uid="{C1C1D3B9-2016-4597-92EE-D2AD00DE5768}" name="MOS_x000a_Method 1" dataDxfId="769">
      <calculatedColumnFormula>1-$B$6/Table144[[#This Row],[Fair Value
Method 1]]</calculatedColumnFormula>
    </tableColumn>
    <tableColumn id="5" xr3:uid="{A5F17E4A-4649-4AF9-8C39-5B68789EEBB1}" name="Fair Value _x000a_Method 2" dataDxfId="768"/>
    <tableColumn id="6" xr3:uid="{F525410E-1855-4923-A280-9D4DA6D88A79}" name="MOS _x000a_Method 2" dataDxfId="767" dataCellStyle="Percent">
      <calculatedColumnFormula>1-$B$6/Table144[[#This Row],[Fair Value 
Method 2]]</calculatedColumnFormula>
    </tableColumn>
    <tableColumn id="4" xr3:uid="{3735F945-EB12-4528-89AF-3A281F066766}" name="Average" dataDxfId="766" dataCellStyle="Percent">
      <calculatedColumnFormula>AVERAGE(Table144[[#This Row],[MOS
Method 1]],Table144[[#This Row],[MOS 
Method 2]])</calculatedColumnFormula>
    </tableColum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B1511164-7567-4DE6-A4A1-8C50D4E6A89F}" name="Table245" displayName="Table245" ref="A15:E22" totalsRowShown="0" headerRowDxfId="765" tableBorderDxfId="764">
  <tableColumns count="5">
    <tableColumn id="1" xr3:uid="{5E7FC26B-1D13-4176-960C-D5720A180AE1}" name="Particular" dataDxfId="763"/>
    <tableColumn id="2" xr3:uid="{DB5F7A24-755B-497E-9E1B-BB4128097B38}" name="10 yr average [%]" dataDxfId="762"/>
    <tableColumn id="3" xr3:uid="{4DD5198A-DB57-43B5-A383-D8B6E29C4F01}" name="5yr average [%]" dataDxfId="761"/>
    <tableColumn id="4" xr3:uid="{DCAF455F-5CAE-4A75-AC2D-25AEEFC9C466}" name="1yr average [%]" dataDxfId="760"/>
    <tableColumn id="5" xr3:uid="{28BB1060-C072-4501-AEFC-8E0B519D7A99}" name="[years]"/>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74777EC-53CF-4BF2-B44F-0A610792C7EA}" name="Table446" displayName="Table446" ref="A2:B12" totalsRowShown="0">
  <tableColumns count="2">
    <tableColumn id="1" xr3:uid="{88551C90-BB99-49B5-9470-60DE92CF7095}" name="Particular"/>
    <tableColumn id="2" xr3:uid="{586CD68E-CCD6-4F7F-9FC0-FE732CB2AB3B}" name="Value" dataDxfId="759"/>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57DB7792-D014-49C3-A24D-39A34703FFF2}" name="Table1547" displayName="Table1547" ref="A25:C26" totalsRowShown="0" tableBorderDxfId="758">
  <tableColumns count="3">
    <tableColumn id="1" xr3:uid="{867BC217-C826-454F-80D7-55C6C2C4ECC5}" name="Growth rate_r#1" dataDxfId="757">
      <calculatedColumnFormula>B18</calculatedColumnFormula>
    </tableColumn>
    <tableColumn id="2" xr3:uid="{4FAEC81F-CA04-49F0-B4F7-C9984CF8C7AD}" name="Growth rate_yahoo" dataDxfId="756"/>
    <tableColumn id="3" xr3:uid="{9E21A129-E58B-4180-8AC5-151187E71E8D}" name="Growth rate_3rd" dataDxfId="755"/>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5317A535-2FCC-4A76-A375-1582803DF4E4}" name="Table184" displayName="Table184" ref="A28:F31" totalsRowShown="0" tableBorderDxfId="54">
  <tableColumns count="6">
    <tableColumn id="1" xr3:uid="{A7868CF0-5838-4336-8442-5833FA38936D}" name="Growth rate" dataDxfId="53">
      <calculatedColumnFormula>#REF!</calculatedColumnFormula>
    </tableColumn>
    <tableColumn id="2" xr3:uid="{BA245ABF-9607-413E-BAE2-99E39C3705BD}" name="Fair Value_x000a_Method 1" dataDxfId="52">
      <calculatedColumnFormula>Z19</calculatedColumnFormula>
    </tableColumn>
    <tableColumn id="3" xr3:uid="{6A596A32-7F82-459F-839C-F6C6D66EBF70}" name="MOS_x000a_Method 1" dataDxfId="51">
      <calculatedColumnFormula>1-$B$6/Table184[[#This Row],[Fair Value
Method 1]]</calculatedColumnFormula>
    </tableColumn>
    <tableColumn id="5" xr3:uid="{A0E29A7E-8944-4164-84B3-FB151CDE0124}" name="Fair Value _x000a_Method 2" dataDxfId="50"/>
    <tableColumn id="6" xr3:uid="{083F394B-0541-4093-8A1C-833365CA3A4D}" name="MOS _x000a_Method 2" dataDxfId="49" dataCellStyle="Percent">
      <calculatedColumnFormula>1-$B$6/Table184[[#This Row],[Fair Value 
Method 2]]</calculatedColumnFormula>
    </tableColumn>
    <tableColumn id="4" xr3:uid="{FA434007-0D0B-4AD2-B4E3-B0E0F69FC46A}" name="Average" dataDxfId="48" dataCellStyle="Percent">
      <calculatedColumnFormula>AVERAGE(Table184[[#This Row],[MOS
Method 1]],Table184[[#This Row],[MOS 
Method 2]])</calculatedColumnFormula>
    </tableColumn>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8A883BAB-615B-4072-9471-3E3588E868A3}" name="Table285" displayName="Table285" ref="A15:E22" totalsRowShown="0" headerRowDxfId="47" tableBorderDxfId="46">
  <tableColumns count="5">
    <tableColumn id="1" xr3:uid="{431A7A1A-2A8F-49E7-9743-88C9F739561E}" name="Particular" dataDxfId="45"/>
    <tableColumn id="2" xr3:uid="{474A7901-95C9-47E8-ABAA-E7AC7F7FCDFB}" name="10 yr average [%]" dataDxfId="44"/>
    <tableColumn id="3" xr3:uid="{2353340D-7520-4580-B58F-9F8A1E8A59B1}" name="5yr average [%]" dataDxfId="43"/>
    <tableColumn id="4" xr3:uid="{E0D2ED37-226F-4F09-A34F-896597CDB31B}" name="1yr average [%]" dataDxfId="42"/>
    <tableColumn id="5" xr3:uid="{3B127C9C-C9E2-4613-87FF-F53CB6B6A025}" name="[years]"/>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D3B89591-429C-43DC-8C8B-5600A9B04D06}" name="Table486" displayName="Table486" ref="A2:B12" totalsRowShown="0">
  <tableColumns count="2">
    <tableColumn id="1" xr3:uid="{5F0FDB27-543D-47EE-A871-0E4DF2D98D9A}" name="Particular"/>
    <tableColumn id="2" xr3:uid="{77DB1E00-38F3-4346-BCEA-2429503D26A8}" name="Value" dataDxfId="41"/>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B0766C59-8159-4358-BB68-52E4309A8054}" name="Table1587" displayName="Table1587" ref="A25:C26" totalsRowShown="0" tableBorderDxfId="40">
  <tableColumns count="3">
    <tableColumn id="1" xr3:uid="{A735D273-754F-42DB-AA33-9BFE16F0A1EC}" name="Growth rate_r#1" dataDxfId="39">
      <calculatedColumnFormula>B18</calculatedColumnFormula>
    </tableColumn>
    <tableColumn id="2" xr3:uid="{E94CFDC1-85EA-4A40-A346-9D363F11A075}" name="Growth rate_yahoo" dataDxfId="38"/>
    <tableColumn id="3" xr3:uid="{89C7EE3A-5942-40B1-A595-B933BB9682AB}" name="Growth rate_3rd" dataDxfId="37"/>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1FE7EF41-9490-4A65-9D4D-C8A53F9CD177}" name="Table172" displayName="Table172" ref="A28:F31" totalsRowShown="0" tableBorderDxfId="735">
  <tableColumns count="6">
    <tableColumn id="1" xr3:uid="{E4A4B58C-E3CC-4098-A9BD-C0E840852FEB}" name="Growth rate" dataDxfId="734">
      <calculatedColumnFormula>#REF!</calculatedColumnFormula>
    </tableColumn>
    <tableColumn id="2" xr3:uid="{80809A5C-CEC9-43C1-BE78-5B0FD626F85A}" name="Fair Value_x000a_Method 1" dataDxfId="733">
      <calculatedColumnFormula>Z19</calculatedColumnFormula>
    </tableColumn>
    <tableColumn id="3" xr3:uid="{F339EBDE-9455-4515-BB54-A3DB8D253779}" name="MOS_x000a_Method 1" dataDxfId="732">
      <calculatedColumnFormula>1-$B$6/Table172[[#This Row],[Fair Value
Method 1]]</calculatedColumnFormula>
    </tableColumn>
    <tableColumn id="5" xr3:uid="{0C824AFD-36C1-47E3-BDEF-E8F6CF610A3C}" name="Fair Value _x000a_Method 2" dataDxfId="731"/>
    <tableColumn id="6" xr3:uid="{E0BD86AB-1011-4423-8008-9DFE0E792F4B}" name="MOS _x000a_Method 2" dataDxfId="730" dataCellStyle="Percent">
      <calculatedColumnFormula>1-$B$6/Table172[[#This Row],[Fair Value 
Method 2]]</calculatedColumnFormula>
    </tableColumn>
    <tableColumn id="4" xr3:uid="{8D730883-FC93-4DAD-B5D5-5D5861EE861B}" name="Average" dataDxfId="729" dataCellStyle="Percent">
      <calculatedColumnFormula>AVERAGE(Table172[[#This Row],[MOS
Method 1]],Table172[[#This Row],[MOS 
Method 2]])</calculatedColumnFormula>
    </tableColumn>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A9F20485-164A-4AD7-BD8B-B34095DBCBAF}" name="Table273" displayName="Table273" ref="A15:E22" totalsRowShown="0" headerRowDxfId="728" tableBorderDxfId="727">
  <tableColumns count="5">
    <tableColumn id="1" xr3:uid="{7363959A-B5A5-4CC1-9305-3132E2D960A2}" name="Particular" dataDxfId="726"/>
    <tableColumn id="2" xr3:uid="{1B43EAC2-B468-4090-B6E9-BC854DEB48E7}" name="10 yr average [%]" dataDxfId="725"/>
    <tableColumn id="3" xr3:uid="{D57BA205-4C9C-4B19-A0C8-561332642441}" name="5yr average [%]" dataDxfId="724"/>
    <tableColumn id="4" xr3:uid="{8F7FC039-6D9A-4997-A0DA-141024664FF5}" name="1yr average [%]" dataDxfId="723"/>
    <tableColumn id="5" xr3:uid="{551DF4EF-5943-4DF1-BEBA-ABB19728B7B6}" name="[years]"/>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AF0B69A3-E8DC-46AA-A8AA-7D6227D4830B}" name="Table474" displayName="Table474" ref="A2:B12" totalsRowShown="0">
  <tableColumns count="2">
    <tableColumn id="1" xr3:uid="{8DA31D30-97BF-4B6F-9882-2AEF8D0E986C}" name="Particular"/>
    <tableColumn id="2" xr3:uid="{E27B716B-23FC-4DC5-803A-CAAD9C7E68C7}" name="Value" dataDxfId="722"/>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FA9D25A1-7E87-48B2-B50C-C87E011DBDA7}" name="Table1575" displayName="Table1575" ref="A25:C26" totalsRowShown="0" tableBorderDxfId="721">
  <tableColumns count="3">
    <tableColumn id="1" xr3:uid="{63B41476-6B33-4D07-BD9F-EA4D1788FE98}" name="Growth rate_r#1" dataDxfId="720">
      <calculatedColumnFormula>B18</calculatedColumnFormula>
    </tableColumn>
    <tableColumn id="2" xr3:uid="{64905A6A-CB6D-4491-B37B-D19E7400DB2E}" name="Growth rate_yahoo" dataDxfId="719"/>
    <tableColumn id="3" xr3:uid="{497A34DE-29B9-43B7-B465-0F1B7D21A3ED}" name="Growth rate_3rd" dataDxfId="718"/>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991E8EC4-E28E-48C5-842A-C11D1C85313D}" name="Table156" displayName="Table156" ref="A28:F31" totalsRowShown="0" tableBorderDxfId="698">
  <tableColumns count="6">
    <tableColumn id="1" xr3:uid="{4C19E078-7048-4167-88DF-04C434088B04}" name="Growth rate" dataDxfId="697">
      <calculatedColumnFormula>#REF!</calculatedColumnFormula>
    </tableColumn>
    <tableColumn id="2" xr3:uid="{8E27AC0E-4882-423D-9194-DDC98109ADC6}" name="Fair Value_x000a_Method 1" dataDxfId="696">
      <calculatedColumnFormula>Z19</calculatedColumnFormula>
    </tableColumn>
    <tableColumn id="3" xr3:uid="{2066FA23-2700-497D-97D4-6705541F64D8}" name="MOS_x000a_Method 1" dataDxfId="695">
      <calculatedColumnFormula>1-$B$6/Table156[[#This Row],[Fair Value
Method 1]]</calculatedColumnFormula>
    </tableColumn>
    <tableColumn id="5" xr3:uid="{7B4C8D77-8CCE-46DF-A9FF-305A8F931B73}" name="Fair Value _x000a_Method 2" dataDxfId="694"/>
    <tableColumn id="6" xr3:uid="{3D264ED3-7853-4ACE-9FCC-1F270AA72F26}" name="MOS _x000a_Method 2" dataDxfId="693" dataCellStyle="Percent">
      <calculatedColumnFormula>1-$B$6/Table156[[#This Row],[Fair Value 
Method 2]]</calculatedColumnFormula>
    </tableColumn>
    <tableColumn id="4" xr3:uid="{DB157ED8-81ED-4C6A-B9EB-F1D1351CBFF0}" name="Average" dataDxfId="692" dataCellStyle="Percent">
      <calculatedColumnFormula>AVERAGE(Table156[[#This Row],[MOS
Method 1]],Table156[[#This Row],[MOS 
Method 2]])</calculatedColumnFormula>
    </tableColumn>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2C2076BB-52EA-456C-8142-4987B3131553}" name="Table257" displayName="Table257" ref="A15:E22" totalsRowShown="0" headerRowDxfId="691" tableBorderDxfId="690">
  <tableColumns count="5">
    <tableColumn id="1" xr3:uid="{7276C83B-7CC7-4871-942D-095E72856D0B}" name="Particular" dataDxfId="689"/>
    <tableColumn id="2" xr3:uid="{43FF3801-CA89-464C-B29A-0C857CC31B26}" name="10 yr average [%]" dataDxfId="688"/>
    <tableColumn id="3" xr3:uid="{7CF9FFC8-5CDE-4ED5-90AA-616B9F4EC3E0}" name="5yr average [%]" dataDxfId="687"/>
    <tableColumn id="4" xr3:uid="{F095A7E9-B455-41E5-AD78-69C5A73D7FA2}" name="1yr average [%]" dataDxfId="686"/>
    <tableColumn id="5" xr3:uid="{CCA59930-7DB3-4C6F-AA95-878F1A3BC5C8}" name="[years]"/>
  </tableColumns>
  <tableStyleInfo name="TableStyleLight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E90F9F9B-E831-4650-9134-8D283890D257}" name="Table458" displayName="Table458" ref="A2:B12" totalsRowShown="0">
  <tableColumns count="2">
    <tableColumn id="1" xr3:uid="{E35C075C-59DA-4FC5-93B5-353E3AAA4A15}" name="Particular"/>
    <tableColumn id="2" xr3:uid="{12276B59-C1A6-4320-A786-8F5A7AC40E5B}" name="Value" dataDxfId="685"/>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826B88A-B83D-4BCA-9B89-E07E4C0CDDA7}" name="Table1559" displayName="Table1559" ref="A25:C26" totalsRowShown="0" tableBorderDxfId="684">
  <tableColumns count="3">
    <tableColumn id="1" xr3:uid="{F4DC24A3-8132-4367-A8CB-3330A581B042}" name="Growth rate_r#1" dataDxfId="683">
      <calculatedColumnFormula>B18</calculatedColumnFormula>
    </tableColumn>
    <tableColumn id="2" xr3:uid="{C66A2FD1-7EE4-49AB-8C71-668EE1B8D6E9}" name="Growth rate_yahoo" dataDxfId="682"/>
    <tableColumn id="3" xr3:uid="{7E13EEAC-DDCC-405F-86B5-1A42A32986D0}" name="Growth rate_3rd" dataDxfId="681"/>
  </tableColumns>
  <tableStyleInfo name="TableStyleLight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033120E-E7E4-46A3-9160-E3D2921C3B8E}" name="Table116" displayName="Table116" ref="A27:F30" totalsRowShown="0" tableBorderDxfId="661">
  <tableColumns count="6">
    <tableColumn id="1" xr3:uid="{725D5264-9B21-485D-9D88-5B07C17F80D1}" name="Growth rate" dataDxfId="660">
      <calculatedColumnFormula>#REF!</calculatedColumnFormula>
    </tableColumn>
    <tableColumn id="2" xr3:uid="{7A433E53-AE20-4B44-B940-AFD33EC71F67}" name="Fair Value_x000a_Method 1" dataDxfId="659">
      <calculatedColumnFormula>Z18</calculatedColumnFormula>
    </tableColumn>
    <tableColumn id="3" xr3:uid="{18A5E396-1EB0-4F7D-BFC1-1CCA5CBD8CA9}" name="MOS_x000a_Method 1" dataDxfId="658">
      <calculatedColumnFormula>1-$B$6/Table116[[#This Row],[Fair Value
Method 1]]</calculatedColumnFormula>
    </tableColumn>
    <tableColumn id="5" xr3:uid="{BA321172-74C5-4213-B833-628861E0CCB6}" name="Fair Value _x000a_Method 2" dataDxfId="657"/>
    <tableColumn id="6" xr3:uid="{34D59AC2-FC1F-4E0E-817D-B0B570A92863}" name="MOS _x000a_Method 2" dataDxfId="656" dataCellStyle="Percent">
      <calculatedColumnFormula>1-$B$6/Table116[[#This Row],[Fair Value 
Method 2]]</calculatedColumnFormula>
    </tableColumn>
    <tableColumn id="4" xr3:uid="{AF336EAB-FCCA-42D9-BDAD-3D1641A14774}" name="Average" dataDxfId="655" dataCellStyle="Percent">
      <calculatedColumnFormula>AVERAGE(Table116[[#This Row],[MOS
Method 1]],Table116[[#This Row],[MOS 
Method 2]])</calculatedColumnFormula>
    </tableColumn>
  </tableColumns>
  <tableStyleInfo name="TableStyleLight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34C4827-3A91-47A0-8012-9D98D6744343}" name="Table217" displayName="Table217" ref="A14:E21" totalsRowShown="0" headerRowDxfId="654" tableBorderDxfId="653">
  <tableColumns count="5">
    <tableColumn id="1" xr3:uid="{600597C9-B48A-4DB2-A1D5-E0A5915DDE37}" name="Particular" dataDxfId="652"/>
    <tableColumn id="2" xr3:uid="{0BFA48FF-63E2-44B6-9510-7B3330550A9E}" name="10 yr average [%]" dataDxfId="651"/>
    <tableColumn id="3" xr3:uid="{E71D9437-CD97-44C3-B467-D4FF2876DCA4}" name="5yr average [%]" dataDxfId="650"/>
    <tableColumn id="4" xr3:uid="{38DB9DA5-60CC-464A-A5F6-B391738709CF}" name="1yr average [%]" dataDxfId="649"/>
    <tableColumn id="5" xr3:uid="{3F3DBA7F-0826-46AE-9DC4-E3956BA08DF1}" name="[years]"/>
  </tableColumns>
  <tableStyleInfo name="TableStyleLight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4C601C5-ACA8-4510-BDCB-46ECBFA88649}" name="Table418" displayName="Table418" ref="A2:B11" totalsRowShown="0">
  <tableColumns count="2">
    <tableColumn id="1" xr3:uid="{08BF1EDB-A55A-4684-A6E4-BA7F766227A4}" name="Particular"/>
    <tableColumn id="2" xr3:uid="{C403304A-6ED8-4B4F-B05B-6BE2054E0CD7}" name="Value" dataDxfId="648"/>
  </tableColumns>
  <tableStyleInfo name="TableStyleLight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DE2F691-938B-4BC5-A77F-0BDE2C2CB85B}" name="Table1519" displayName="Table1519" ref="A24:D25" totalsRowShown="0" tableBorderDxfId="647">
  <tableColumns count="4">
    <tableColumn id="1" xr3:uid="{128CB809-778C-4EF5-9D48-BD33CB869417}" name="Growth rate_r#1" dataDxfId="646"/>
    <tableColumn id="2" xr3:uid="{7074C642-D8AD-4DF7-9F62-8D1B98F824ED}" name="Growth rate_low" dataDxfId="645"/>
    <tableColumn id="3" xr3:uid="{B56395DE-81F2-4C90-8380-FF029432BA7B}" name="Growth rate_med" dataDxfId="644"/>
    <tableColumn id="4" xr3:uid="{A3B4DCF8-A9B9-4CB5-B4C8-5502DFC86C30}" name="Growth rate_high" dataDxfId="643"/>
  </tableColumns>
  <tableStyleInfo name="TableStyleLight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4FC754D0-EA94-4E00-B175-EB10E715B657}" name="Table160" displayName="Table160" ref="A28:F31" totalsRowShown="0" tableBorderDxfId="623">
  <tableColumns count="6">
    <tableColumn id="1" xr3:uid="{A2258F50-83FB-4036-821A-865E5D0EE39F}" name="Growth rate" dataDxfId="622">
      <calculatedColumnFormula>#REF!</calculatedColumnFormula>
    </tableColumn>
    <tableColumn id="2" xr3:uid="{D08F12E5-695E-4AE9-9CA8-75E82A3E7420}" name="Fair Value_x000a_Method 1" dataDxfId="621">
      <calculatedColumnFormula>Z19</calculatedColumnFormula>
    </tableColumn>
    <tableColumn id="3" xr3:uid="{6632B7B2-264A-4A1F-812C-D736C66F8EFD}" name="MOS_x000a_Method 1" dataDxfId="620">
      <calculatedColumnFormula>1-$B$6/Table160[[#This Row],[Fair Value
Method 1]]</calculatedColumnFormula>
    </tableColumn>
    <tableColumn id="5" xr3:uid="{B46F2B3C-0B29-4402-8751-D624107C836B}" name="Fair Value _x000a_Method 2" dataDxfId="619"/>
    <tableColumn id="6" xr3:uid="{A8CC0375-12DE-4D23-8AA4-BB25B4884A7E}" name="MOS _x000a_Method 2" dataDxfId="618" dataCellStyle="Percent">
      <calculatedColumnFormula>1-$B$6/Table160[[#This Row],[Fair Value 
Method 2]]</calculatedColumnFormula>
    </tableColumn>
    <tableColumn id="4" xr3:uid="{D0644D1E-1177-4BA3-9C52-06676946CD09}" name="Average" dataDxfId="617" dataCellStyle="Percent">
      <calculatedColumnFormula>AVERAGE(Table160[[#This Row],[MOS
Method 1]],Table160[[#This Row],[MOS 
Method 2]])</calculatedColumnFormula>
    </tableColumn>
  </tableColumns>
  <tableStyleInfo name="TableStyleLight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36094D8-E1A0-4138-B883-3396F4282B26}" name="Table261" displayName="Table261" ref="A15:E22" totalsRowShown="0" headerRowDxfId="616" tableBorderDxfId="615">
  <tableColumns count="5">
    <tableColumn id="1" xr3:uid="{8D8B73E5-7C0B-49C7-822F-243C3E932BA1}" name="Particular" dataDxfId="614"/>
    <tableColumn id="2" xr3:uid="{322034C7-A35C-429B-A145-5703F1136040}" name="10 yr average [%]" dataDxfId="613"/>
    <tableColumn id="3" xr3:uid="{E8B37DC0-F845-4459-887A-A9835CDB980A}" name="5yr average [%]" dataDxfId="612"/>
    <tableColumn id="4" xr3:uid="{D48EF8E6-004E-497C-9372-713644C2315F}" name="1yr average [%]" dataDxfId="611"/>
    <tableColumn id="5" xr3:uid="{97C54C69-9324-406F-8E7F-CCF0422E99EC}" name="[years]"/>
  </tableColumns>
  <tableStyleInfo name="TableStyleLight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8C0A069E-6C8E-49D8-AA5A-3785720EA9D4}" name="Table462" displayName="Table462" ref="A2:B12" totalsRowShown="0">
  <tableColumns count="2">
    <tableColumn id="1" xr3:uid="{687E2A09-FF23-4FD9-9FB8-C084D57F1D49}" name="Particular"/>
    <tableColumn id="2" xr3:uid="{224BFFC1-8F39-4051-9F6E-D35117AED657}" name="Value" dataDxfId="610"/>
  </tableColumns>
  <tableStyleInfo name="TableStyleLight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DBA96485-BAFA-4341-923B-3955EFD319D0}" name="Table1563" displayName="Table1563" ref="A25:C26" totalsRowShown="0" tableBorderDxfId="609">
  <tableColumns count="3">
    <tableColumn id="1" xr3:uid="{5D1A98ED-E418-4689-914A-24345CF20049}" name="Growth rate_r#1" dataDxfId="608">
      <calculatedColumnFormula>B18</calculatedColumnFormula>
    </tableColumn>
    <tableColumn id="2" xr3:uid="{F23EE2B2-D8A8-4EEE-B2BD-93AC4C83D598}" name="Growth rate_yahoo" dataDxfId="607"/>
    <tableColumn id="3" xr3:uid="{4F86D70B-802B-4C43-8CBD-ABC5C4E85A63}" name="Growth rate_3rd" dataDxfId="606"/>
  </tableColumns>
  <tableStyleInfo name="TableStyleLight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9E54EBD0-EBA1-4487-A171-92F295359BD3}" name="Table136" displayName="Table136" ref="A27:F30" totalsRowShown="0" tableBorderDxfId="586">
  <tableColumns count="6">
    <tableColumn id="1" xr3:uid="{6B77179F-8479-472B-B17A-E220592A37C0}" name="Growth rate" dataDxfId="585">
      <calculatedColumnFormula>#REF!</calculatedColumnFormula>
    </tableColumn>
    <tableColumn id="2" xr3:uid="{3AFB5190-11F6-4ECA-B570-DDC53F574131}" name="Fair Value_x000a_Method 1" dataDxfId="584">
      <calculatedColumnFormula>Z18</calculatedColumnFormula>
    </tableColumn>
    <tableColumn id="3" xr3:uid="{168D9AF2-4773-47B4-8C2A-B6A4043551DF}" name="MOS_x000a_Method 1" dataDxfId="583">
      <calculatedColumnFormula>1-$B$6/Table136[[#This Row],[Fair Value
Method 1]]</calculatedColumnFormula>
    </tableColumn>
    <tableColumn id="5" xr3:uid="{6A97C088-9D0A-4D00-87D1-76D3DF987C39}" name="Fair Value _x000a_Method 2" dataDxfId="582"/>
    <tableColumn id="6" xr3:uid="{20A985D0-FCAB-42C1-9519-8B9BC9DB5DEF}" name="MOS _x000a_Method 2" dataDxfId="581" dataCellStyle="Percent">
      <calculatedColumnFormula>1-$B$6/Table136[[#This Row],[Fair Value 
Method 2]]</calculatedColumnFormula>
    </tableColumn>
    <tableColumn id="4" xr3:uid="{8B2CAE88-47E4-4699-9F1A-8FE0B84AE9C7}" name="Average" dataDxfId="580" dataCellStyle="Percent">
      <calculatedColumnFormula>AVERAGE(Table136[[#This Row],[MOS
Method 1]],Table136[[#This Row],[MOS 
Method 2]])</calculatedColumnFormula>
    </tableColumn>
  </tableColumns>
  <tableStyleInfo name="TableStyleLight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92BC2A0B-D8D8-4EE4-8C22-D38BB794BAA8}" name="Table237" displayName="Table237" ref="A14:E21" totalsRowShown="0" headerRowDxfId="579" tableBorderDxfId="578">
  <tableColumns count="5">
    <tableColumn id="1" xr3:uid="{53CCCF90-DB67-4F37-85DD-34821A2C5E0B}" name="Particular" dataDxfId="577"/>
    <tableColumn id="2" xr3:uid="{EC156EEC-4CCD-48AA-8918-CC6BE7E18CAC}" name="10 yr average [%]" dataDxfId="576"/>
    <tableColumn id="3" xr3:uid="{57B8EEB4-C426-4B8E-8686-B0517855E953}" name="5yr average [%]" dataDxfId="575"/>
    <tableColumn id="4" xr3:uid="{DB675C5D-C166-457D-A175-A2FFCEEFE148}" name="1yr average [%]" dataDxfId="574"/>
    <tableColumn id="5" xr3:uid="{5766EE15-355A-44C6-8952-6CAFA1A04153}" name="[years]"/>
  </tableColumns>
  <tableStyleInfo name="TableStyleLight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E43DCEC3-49CB-44BC-9FED-542CEC97AEB2}" name="Table438" displayName="Table438" ref="A2:B11" totalsRowShown="0">
  <tableColumns count="2">
    <tableColumn id="1" xr3:uid="{F6663D64-1912-45F7-B836-1A9EC84CD4D5}" name="Particular"/>
    <tableColumn id="2" xr3:uid="{D86904D8-4C54-43BB-822F-2D3ED251403E}" name="Value" dataDxfId="573"/>
  </tableColumns>
  <tableStyleInfo name="TableStyleLight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A13CACF2-7E40-4B40-BE1E-DE5BD1E9847C}" name="Table1539" displayName="Table1539" ref="A24:C25" totalsRowShown="0" tableBorderDxfId="572">
  <tableColumns count="3">
    <tableColumn id="1" xr3:uid="{7F7A554D-3295-4267-B26E-74B3457B235E}" name="Growth rate_r#1" dataDxfId="571">
      <calculatedColumnFormula>B17</calculatedColumnFormula>
    </tableColumn>
    <tableColumn id="2" xr3:uid="{3D966B6F-9B6B-41C1-A132-B78A6264828E}" name="Growth rate_yahoo" dataDxfId="570"/>
    <tableColumn id="3" xr3:uid="{0FCB9C52-700E-422B-B126-9FABC1236C6F}" name="Growth rate_3rd" dataDxfId="569"/>
  </tableColumns>
  <tableStyleInfo name="TableStyleLight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D02140D5-ADB0-4184-BEFE-A092AC960517}" name="Table168" displayName="Table168" ref="A28:F31" totalsRowShown="0" tableBorderDxfId="549">
  <tableColumns count="6">
    <tableColumn id="1" xr3:uid="{3417472E-8515-4E68-A80A-571D49AC9ADC}" name="Growth rate" dataDxfId="548">
      <calculatedColumnFormula>#REF!</calculatedColumnFormula>
    </tableColumn>
    <tableColumn id="2" xr3:uid="{412CDC29-46B4-4583-9369-FDCE5A5BB910}" name="Fair Value_x000a_Method 1" dataDxfId="547">
      <calculatedColumnFormula>Z19</calculatedColumnFormula>
    </tableColumn>
    <tableColumn id="3" xr3:uid="{4AA7903C-C951-465D-BDA0-B2AE3A0D1349}" name="MOS_x000a_Method 1" dataDxfId="546">
      <calculatedColumnFormula>1-$B$6/Table168[[#This Row],[Fair Value
Method 1]]</calculatedColumnFormula>
    </tableColumn>
    <tableColumn id="5" xr3:uid="{EE8E369F-6357-4DD9-BA6A-568602E8ACBF}" name="Fair Value _x000a_Method 2" dataDxfId="545"/>
    <tableColumn id="6" xr3:uid="{CAEFDAD1-3BFF-48AB-9157-D2DFDAEECD2C}" name="MOS _x000a_Method 2" dataDxfId="544" dataCellStyle="Percent">
      <calculatedColumnFormula>1-$B$6/Table168[[#This Row],[Fair Value 
Method 2]]</calculatedColumnFormula>
    </tableColumn>
    <tableColumn id="4" xr3:uid="{50456120-4174-4FA9-9112-75FF264C7580}" name="Average" dataDxfId="543" dataCellStyle="Percent">
      <calculatedColumnFormula>AVERAGE(Table168[[#This Row],[MOS
Method 1]],Table168[[#This Row],[MOS 
Method 2]])</calculatedColumnFormula>
    </tableColumn>
  </tableColumns>
  <tableStyleInfo name="TableStyleLight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59E4953D-C741-495C-B133-D548D9C4CF0E}" name="Table269" displayName="Table269" ref="A15:E22" totalsRowShown="0" headerRowDxfId="542" tableBorderDxfId="541">
  <tableColumns count="5">
    <tableColumn id="1" xr3:uid="{B14CA20E-AD63-4A94-B547-8B6BBA73FB33}" name="Particular" dataDxfId="540"/>
    <tableColumn id="2" xr3:uid="{535CD968-C2DB-485B-882D-4182FF854427}" name="10 yr average [%]" dataDxfId="539"/>
    <tableColumn id="3" xr3:uid="{8AF683E1-7E25-4012-B0CB-888A2E29123D}" name="5yr average [%]" dataDxfId="538"/>
    <tableColumn id="4" xr3:uid="{8926DAA6-B6A9-4670-85F7-A2F417F7944D}" name="1yr average [%]" dataDxfId="537"/>
    <tableColumn id="5" xr3:uid="{39E04E2B-C424-4BA0-A021-0B0F3160D350}" name="[years]"/>
  </tableColumns>
  <tableStyleInfo name="TableStyleLight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E5A01E3C-FD8A-4947-A8FF-7AAEA134A6C1}" name="Table470" displayName="Table470" ref="A2:B12" totalsRowShown="0">
  <tableColumns count="2">
    <tableColumn id="1" xr3:uid="{BC2BFDCA-2AAE-4EB7-81E5-892236C74A8F}" name="Particular"/>
    <tableColumn id="2" xr3:uid="{D13BC7EB-C284-4101-9017-7CCA9ED4F3F7}" name="Value" dataDxfId="536"/>
  </tableColumns>
  <tableStyleInfo name="TableStyleLight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A265A730-2C0E-4CAA-8AC2-7D067BD17A45}" name="Table1571" displayName="Table1571" ref="A25:C26" totalsRowShown="0" tableBorderDxfId="535">
  <tableColumns count="3">
    <tableColumn id="1" xr3:uid="{E07003F1-5EC8-4FA8-8B1E-F649E40AAF62}" name="Growth rate_r#1" dataDxfId="534">
      <calculatedColumnFormula>B18</calculatedColumnFormula>
    </tableColumn>
    <tableColumn id="2" xr3:uid="{ECEAA24D-9451-4F26-9F1E-8330830DF5E8}" name="Growth rate_yahoo" dataDxfId="533"/>
    <tableColumn id="3" xr3:uid="{FFD109D7-A567-4163-B694-B73DE8691EDB}" name="Growth rate_3rd" dataDxfId="532"/>
  </tableColumns>
  <tableStyleInfo name="TableStyleLight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9BD9C6-B47C-4B2E-B163-19A403C51918}" name="Table14" displayName="Table14" ref="A24:E27" totalsRowShown="0" tableBorderDxfId="515">
  <tableColumns count="5">
    <tableColumn id="1" xr3:uid="{43141917-0CB7-450A-8622-8FE188473715}" name="Growth rate" dataDxfId="514">
      <calculatedColumnFormula>#REF!</calculatedColumnFormula>
    </tableColumn>
    <tableColumn id="2" xr3:uid="{99F2BC32-7435-4CA1-BFC8-14745FCEDD97}" name="Fair Value_x000a_Method 1" dataDxfId="513">
      <calculatedColumnFormula>Z18</calculatedColumnFormula>
    </tableColumn>
    <tableColumn id="3" xr3:uid="{9D2EAC11-F2F7-4D0F-B289-753C4AA3216E}" name="MOS_x000a_Method 1" dataDxfId="512">
      <calculatedColumnFormula>1-$B$6/Table14[[#This Row],[Fair Value
Method 1]]</calculatedColumnFormula>
    </tableColumn>
    <tableColumn id="5" xr3:uid="{60930A95-EBAA-41F1-A6C5-C5378435D24C}" name="Fair Value _x000a_Method 2" dataDxfId="511"/>
    <tableColumn id="6" xr3:uid="{B8918D46-CE86-4C59-8DCB-A88E7B6EAE67}" name="MOS _x000a_Method 2" dataDxfId="510" dataCellStyle="Percent">
      <calculatedColumnFormula>1-$B$6/Table14[[#This Row],[Fair Value 
Method 2]]</calculatedColumnFormula>
    </tableColumn>
  </tableColumns>
  <tableStyleInfo name="TableStyleLight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924630-E454-4278-A5DF-E11D63C9F796}" name="Table26" displayName="Table26" ref="A14:E21" totalsRowShown="0" headerRowDxfId="509" tableBorderDxfId="508">
  <tableColumns count="5">
    <tableColumn id="1" xr3:uid="{A210CB85-C0F8-4A0B-8034-5054DCC595DA}" name="Particular" dataDxfId="507"/>
    <tableColumn id="2" xr3:uid="{EAFA35EF-2F1C-41E5-A489-2409F7490DF2}" name="10 yr average [%]" dataDxfId="506"/>
    <tableColumn id="3" xr3:uid="{A4A43EAB-C82F-4EA5-8721-69718D9E61D3}" name="5yr average [%]" dataDxfId="505"/>
    <tableColumn id="4" xr3:uid="{2F19FD31-A148-45B5-A13C-048AA62BB560}" name="1yr average [%]" dataDxfId="504"/>
    <tableColumn id="5" xr3:uid="{9FC6B960-158C-4DA7-B7EC-6C6F3C6B5BD2}" name="[years]"/>
  </tableColumns>
  <tableStyleInfo name="TableStyleLight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DF986F4-A883-4855-955D-E514325EA71E}" name="Table47" displayName="Table47" ref="A2:B11" totalsRowShown="0">
  <tableColumns count="2">
    <tableColumn id="1" xr3:uid="{8052D908-35B0-48EF-BECB-9A3DB3936FCB}" name="Particular"/>
    <tableColumn id="2" xr3:uid="{C3196AE7-AD50-4DC2-B6E4-E0994F6F2B1E}" name="Value" dataDxfId="503"/>
  </tableColumns>
  <tableStyleInfo name="TableStyleLight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E6C2F4C8-E0AF-46B3-8E6B-5926D995B41B}" name="Table176" displayName="Table176" ref="A28:F31" totalsRowShown="0" tableBorderDxfId="483">
  <tableColumns count="6">
    <tableColumn id="1" xr3:uid="{9C16A381-2F6C-4B63-A6FF-93695A2CA25E}" name="Growth rate" dataDxfId="482">
      <calculatedColumnFormula>#REF!</calculatedColumnFormula>
    </tableColumn>
    <tableColumn id="2" xr3:uid="{B7F99D1A-54ED-4EFB-AC60-265CF7B1389E}" name="Fair Value_x000a_Method 1" dataDxfId="481">
      <calculatedColumnFormula>Z19</calculatedColumnFormula>
    </tableColumn>
    <tableColumn id="3" xr3:uid="{6D5FFF57-6DCB-4D5D-85C3-4C519D9FAA83}" name="MOS_x000a_Method 1" dataDxfId="480">
      <calculatedColumnFormula>1-$B$6/Table176[[#This Row],[Fair Value
Method 1]]</calculatedColumnFormula>
    </tableColumn>
    <tableColumn id="5" xr3:uid="{DF6057BF-A9F9-4197-9B63-A037104EE568}" name="Fair Value _x000a_Method 2" dataDxfId="479"/>
    <tableColumn id="6" xr3:uid="{64F51A35-D6AA-4F6E-A438-0C74358D9079}" name="MOS _x000a_Method 2" dataDxfId="478" dataCellStyle="Percent">
      <calculatedColumnFormula>1-$B$6/Table176[[#This Row],[Fair Value 
Method 2]]</calculatedColumnFormula>
    </tableColumn>
    <tableColumn id="4" xr3:uid="{3BE43AFA-5940-479A-A35E-724440CFC829}" name="Average" dataDxfId="477" dataCellStyle="Percent">
      <calculatedColumnFormula>AVERAGE(Table176[[#This Row],[MOS
Method 1]],Table176[[#This Row],[MOS 
Method 2]])</calculatedColumnFormula>
    </tableColumn>
  </tableColumns>
  <tableStyleInfo name="TableStyleLight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25938C7E-5701-48A1-867E-BC92B54F3176}" name="Table277" displayName="Table277" ref="A15:E22" totalsRowShown="0" headerRowDxfId="476" tableBorderDxfId="475">
  <tableColumns count="5">
    <tableColumn id="1" xr3:uid="{0F231F35-D840-4708-AF16-48FA999697A7}" name="Particular" dataDxfId="474"/>
    <tableColumn id="2" xr3:uid="{C397B6CD-D7B9-4ABE-8BF1-A3AF8CDFB177}" name="10 yr average [%]" dataDxfId="473"/>
    <tableColumn id="3" xr3:uid="{776D5165-72C6-4E94-B4C1-1C7160B179F3}" name="5yr average [%]" dataDxfId="472"/>
    <tableColumn id="4" xr3:uid="{BCC7F20D-11DD-451C-B985-A205004A6D68}" name="1yr average [%]" dataDxfId="471"/>
    <tableColumn id="5" xr3:uid="{A9F6899B-AE78-4336-8BE9-3762F44ED6C6}" name="[years]"/>
  </tableColumns>
  <tableStyleInfo name="TableStyleLight1"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40B9132A-3F78-40B7-AC79-232393628DBD}" name="Table478" displayName="Table478" ref="A2:B12" totalsRowShown="0">
  <tableColumns count="2">
    <tableColumn id="1" xr3:uid="{08648D82-E823-4DCC-BEFD-AB496941F348}" name="Particular"/>
    <tableColumn id="2" xr3:uid="{EF40313F-E40A-4DBE-A3C2-65689F6AFC6D}" name="Value" dataDxfId="470"/>
  </tableColumns>
  <tableStyleInfo name="TableStyleLight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9E2E1CF6-076C-4950-A626-0D43AC5132AC}" name="Table1579" displayName="Table1579" ref="A25:C26" totalsRowShown="0" tableBorderDxfId="469">
  <tableColumns count="3">
    <tableColumn id="1" xr3:uid="{0F9CD765-7BBF-40B4-AFA3-CA0DCAE9608D}" name="Growth rate_r#1" dataDxfId="468">
      <calculatedColumnFormula>B18</calculatedColumnFormula>
    </tableColumn>
    <tableColumn id="2" xr3:uid="{0FCAC6C5-5DE0-44FC-B13F-EE840A21C264}" name="Growth rate_yahoo" dataDxfId="467">
      <calculatedColumnFormula>AVERAGE(Table1579[[#This Row],[Growth rate_r'#1]],Table1579[[#This Row],[Growth rate_3rd]])</calculatedColumnFormula>
    </tableColumn>
    <tableColumn id="3" xr3:uid="{17E4FE2A-BB51-4C60-9532-50A422E7BDEF}" name="Growth rate_3rd" dataDxfId="466"/>
  </tableColumns>
  <tableStyleInfo name="TableStyleLight1"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47C95ED-B465-46C9-9585-3DAAA5E4D0C9}" name="Table164" displayName="Table164" ref="A28:F31" totalsRowShown="0" tableBorderDxfId="446">
  <tableColumns count="6">
    <tableColumn id="1" xr3:uid="{6C5D5D27-B25F-446A-B832-7808221E5D8C}" name="Growth rate" dataDxfId="445">
      <calculatedColumnFormula>#REF!</calculatedColumnFormula>
    </tableColumn>
    <tableColumn id="2" xr3:uid="{1214AF8F-69D1-49C9-916C-80538DB7F4F2}" name="Fair Value_x000a_Method 1" dataDxfId="444">
      <calculatedColumnFormula>Z19</calculatedColumnFormula>
    </tableColumn>
    <tableColumn id="3" xr3:uid="{5AF8A74E-520C-4CFA-8E27-75A94A51BC1A}" name="MOS_x000a_Method 1" dataDxfId="443">
      <calculatedColumnFormula>1-$B$6/Table164[[#This Row],[Fair Value
Method 1]]</calculatedColumnFormula>
    </tableColumn>
    <tableColumn id="5" xr3:uid="{9F9DEF59-AF1F-4A41-BDB5-87A790E5012B}" name="Fair Value _x000a_Method 2" dataDxfId="442"/>
    <tableColumn id="6" xr3:uid="{BB4012B6-D19F-4C9C-A726-E539EF3FEE63}" name="MOS _x000a_Method 2" dataDxfId="441" dataCellStyle="Percent">
      <calculatedColumnFormula>1-$B$6/Table164[[#This Row],[Fair Value 
Method 2]]</calculatedColumnFormula>
    </tableColumn>
    <tableColumn id="4" xr3:uid="{00F6056B-2C96-444B-9EDD-6BD43A5A0168}" name="Average" dataDxfId="440" dataCellStyle="Percent">
      <calculatedColumnFormula>AVERAGE(Table164[[#This Row],[MOS
Method 1]],Table164[[#This Row],[MOS 
Method 2]])</calculatedColumnFormula>
    </tableColumn>
  </tableColumns>
  <tableStyleInfo name="TableStyleLight1"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EB947D91-28E9-43AB-ABC9-438CC3143BCA}" name="Table265" displayName="Table265" ref="A15:E22" totalsRowShown="0" headerRowDxfId="439" tableBorderDxfId="438">
  <tableColumns count="5">
    <tableColumn id="1" xr3:uid="{F02D460E-0C99-493F-9DBF-A5002FB394F8}" name="Particular" dataDxfId="437"/>
    <tableColumn id="2" xr3:uid="{CCA6A507-386C-4ABE-AAB5-8D5B3C5833A1}" name="10 yr average [%]" dataDxfId="436"/>
    <tableColumn id="3" xr3:uid="{2FBFBBA4-DFA5-4026-9ECE-BBF118775306}" name="5yr average [%]" dataDxfId="435"/>
    <tableColumn id="4" xr3:uid="{A1D43316-ACF9-4963-B19D-BEBD8C35CF17}" name="1yr average [%]" dataDxfId="434"/>
    <tableColumn id="5" xr3:uid="{7CB52582-D895-4EDF-9A08-CA991891C8D0}" name="[years]"/>
  </tableColumns>
  <tableStyleInfo name="TableStyleLight1"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9BF27F18-D31F-4B16-BF66-DB450DFC186C}" name="Table466" displayName="Table466" ref="A2:B12" totalsRowShown="0">
  <tableColumns count="2">
    <tableColumn id="1" xr3:uid="{ED83492E-D539-4C46-B3C5-E6339FD29018}" name="Particular"/>
    <tableColumn id="2" xr3:uid="{70814901-28E0-4E82-88EA-3AE447C724B2}" name="Value" dataDxfId="433"/>
  </tableColumns>
  <tableStyleInfo name="TableStyleLight1"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D5925EAA-4331-4E31-879D-33A8A9C4D6FD}" name="Table1567" displayName="Table1567" ref="A25:C26" totalsRowShown="0" tableBorderDxfId="432">
  <tableColumns count="3">
    <tableColumn id="1" xr3:uid="{DA8CFA08-FE68-4FB0-9635-F62AB728C41D}" name="Growth rate_r#1" dataDxfId="431">
      <calculatedColumnFormula>B18</calculatedColumnFormula>
    </tableColumn>
    <tableColumn id="2" xr3:uid="{96EDEF5E-D700-4277-81BC-CD2761E45583}" name="Growth rate_yahoo" dataDxfId="430"/>
    <tableColumn id="3" xr3:uid="{6C470E40-E9E5-48C1-A57D-936ACF8BE369}" name="Growth rate_3rd" dataDxfId="429"/>
  </tableColumns>
  <tableStyleInfo name="TableStyleLight1"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E174CA24-26CF-400B-BC83-862B8A0483CF}" name="Table132" displayName="Table132" ref="A27:F30" totalsRowShown="0" tableBorderDxfId="409">
  <tableColumns count="6">
    <tableColumn id="1" xr3:uid="{79A15B1C-7F49-45ED-97B9-9CD037A7C20B}" name="Growth rate" dataDxfId="408">
      <calculatedColumnFormula>#REF!</calculatedColumnFormula>
    </tableColumn>
    <tableColumn id="2" xr3:uid="{01636DC7-0298-4663-B6CB-85AC053DBA8D}" name="Fair Value_x000a_Method 1" dataDxfId="407">
      <calculatedColumnFormula>Z18</calculatedColumnFormula>
    </tableColumn>
    <tableColumn id="3" xr3:uid="{999627F3-C69E-4637-A1DB-17D86720A791}" name="MOS_x000a_Method 1" dataDxfId="406">
      <calculatedColumnFormula>1-$B$6/Table132[[#This Row],[Fair Value
Method 1]]</calculatedColumnFormula>
    </tableColumn>
    <tableColumn id="5" xr3:uid="{393279E6-CFB3-4791-8D22-477C69A0D8AE}" name="Fair Value _x000a_Method 2" dataDxfId="405"/>
    <tableColumn id="6" xr3:uid="{6E3C3745-0708-4A17-9F7F-B11AA5ABCAB4}" name="MOS _x000a_Method 2" dataDxfId="404" dataCellStyle="Percent">
      <calculatedColumnFormula>1-$B$6/Table132[[#This Row],[Fair Value 
Method 2]]</calculatedColumnFormula>
    </tableColumn>
    <tableColumn id="4" xr3:uid="{F4F17140-115D-45E5-AE2A-FFEC9DB926FE}" name="Average" dataDxfId="403" dataCellStyle="Percent">
      <calculatedColumnFormula>AVERAGE(Table132[[#This Row],[MOS
Method 1]],Table132[[#This Row],[MOS 
Method 2]])</calculatedColumnFormula>
    </tableColumn>
  </tableColumns>
  <tableStyleInfo name="TableStyleLight1"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DADD151-82A5-4A67-A5A3-CAE5BBD5C3FE}" name="Table233" displayName="Table233" ref="A14:E21" totalsRowShown="0" headerRowDxfId="402" tableBorderDxfId="401">
  <tableColumns count="5">
    <tableColumn id="1" xr3:uid="{FF231FF5-B962-41A8-825A-5279DB730E67}" name="Particular" dataDxfId="400"/>
    <tableColumn id="2" xr3:uid="{F5F7D890-4434-4C82-966B-A969BE5F7999}" name="10 yr average [%]" dataDxfId="399"/>
    <tableColumn id="3" xr3:uid="{6332B917-9910-4128-B670-4D18324F7084}" name="5yr average [%]" dataDxfId="398"/>
    <tableColumn id="4" xr3:uid="{53CBD798-A5EC-476E-AE99-BC95CAEF8FC6}" name="1yr average [%]" dataDxfId="397"/>
    <tableColumn id="5" xr3:uid="{DCC3CF37-C25D-49C7-9229-49E7257811B5}" name="[years]"/>
  </tableColumns>
  <tableStyleInfo name="TableStyleLight1"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92291217-E220-4B7D-84FE-BB953FAF90AF}" name="Table434" displayName="Table434" ref="A2:B11" totalsRowShown="0">
  <tableColumns count="2">
    <tableColumn id="1" xr3:uid="{E64D7D04-7C16-4267-9DBE-F135E74D076E}" name="Particular"/>
    <tableColumn id="2" xr3:uid="{7EA29A9F-5AD5-4EEA-8F0E-22530D377406}" name="Value" dataDxfId="396"/>
  </tableColumns>
  <tableStyleInfo name="TableStyleLight1"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88F0A2A-A52B-4311-9614-FCFFA82E6DDD}" name="Table1535" displayName="Table1535" ref="A24:D25" totalsRowShown="0" tableBorderDxfId="395">
  <tableColumns count="4">
    <tableColumn id="1" xr3:uid="{F3D47B0C-5446-4F84-A238-6484BBF4B60D}" name="Growth rate_r#1" dataDxfId="394">
      <calculatedColumnFormula>B17</calculatedColumnFormula>
    </tableColumn>
    <tableColumn id="2" xr3:uid="{9207EF38-3029-4A9D-BFD0-B70FFACF23B8}" name="Growth rate_low" dataDxfId="393"/>
    <tableColumn id="3" xr3:uid="{FAB63FAF-B6A6-49A2-8923-6E21F67F3E20}" name="Growth rate_med" dataDxfId="392"/>
    <tableColumn id="4" xr3:uid="{3BADBE72-364F-404B-9423-85D58994694E}" name="Growth rate_high" dataDxfId="391"/>
  </tableColumns>
  <tableStyleInfo name="TableStyleLight1"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7CFF689-8B28-44BB-A3B9-91353BC819DB}" name="Table120" displayName="Table120" ref="A27:F30" totalsRowShown="0" tableBorderDxfId="371">
  <tableColumns count="6">
    <tableColumn id="1" xr3:uid="{4486FA23-29FC-4F7E-8751-E5C077F8CB38}" name="Growth rate" dataDxfId="370">
      <calculatedColumnFormula>#REF!</calculatedColumnFormula>
    </tableColumn>
    <tableColumn id="2" xr3:uid="{57FA200C-CC6D-4956-B376-C06955E28891}" name="Fair Value_x000a_Method 1" dataDxfId="369">
      <calculatedColumnFormula>Z18</calculatedColumnFormula>
    </tableColumn>
    <tableColumn id="3" xr3:uid="{50D0E7A6-1698-467A-81E0-59DC625DB552}" name="MOS_x000a_Method 1" dataDxfId="368">
      <calculatedColumnFormula>1-$B$6/Table120[[#This Row],[Fair Value
Method 1]]</calculatedColumnFormula>
    </tableColumn>
    <tableColumn id="5" xr3:uid="{6167794B-0E04-4BE6-9FF3-105BCA7C747D}" name="Fair Value _x000a_Method 2" dataDxfId="367"/>
    <tableColumn id="6" xr3:uid="{A6F763FA-D8B6-4E24-B815-04BCF04A0DFF}" name="MOS _x000a_Method 2" dataDxfId="366" dataCellStyle="Percent">
      <calculatedColumnFormula>1-$B$6/Table120[[#This Row],[Fair Value 
Method 2]]</calculatedColumnFormula>
    </tableColumn>
    <tableColumn id="4" xr3:uid="{8DC6F3CA-66B1-4DA4-B8F0-25CC345CA8C5}" name="Average" dataDxfId="365" dataCellStyle="Percent">
      <calculatedColumnFormula>AVERAGE(Table120[[#This Row],[MOS
Method 1]],Table120[[#This Row],[MOS 
Method 2]])</calculatedColumnFormula>
    </tableColumn>
  </tableColumns>
  <tableStyleInfo name="TableStyleLight1"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07A09B5-6512-4E85-A05F-5F2CB67E9745}" name="Table221" displayName="Table221" ref="A14:E21" totalsRowShown="0" headerRowDxfId="364" tableBorderDxfId="363">
  <tableColumns count="5">
    <tableColumn id="1" xr3:uid="{212ADFCA-0F9D-41E0-95C4-C186347E8176}" name="Particular" dataDxfId="362"/>
    <tableColumn id="2" xr3:uid="{11D1EF7E-7C80-418C-8830-9F63F95218BD}" name="10 yr average [%]" dataDxfId="361"/>
    <tableColumn id="3" xr3:uid="{98181D6B-FFEA-4CFB-9B26-176FDB4EB819}" name="5yr average [%]" dataDxfId="360"/>
    <tableColumn id="4" xr3:uid="{121F8FA4-2DB3-4C62-A021-8F97ADEB9321}" name="1yr average [%]" dataDxfId="359"/>
    <tableColumn id="5" xr3:uid="{65BDDF12-D330-4F65-94F3-4B3F09FCB3C7}" name="[years]"/>
  </tableColumns>
  <tableStyleInfo name="TableStyleLight1"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8E7428B-D08B-4C2C-B86A-5B050A32F018}" name="Table422" displayName="Table422" ref="A2:B11" totalsRowShown="0">
  <tableColumns count="2">
    <tableColumn id="1" xr3:uid="{90EB8F85-23C1-456F-9F84-4F565F8BF642}" name="Particular"/>
    <tableColumn id="2" xr3:uid="{1A07DCC7-D2B9-4273-BC82-FE910F590AB5}" name="Value" dataDxfId="358"/>
  </tableColumns>
  <tableStyleInfo name="TableStyleLight1"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864DD8E-42A2-457C-8712-ED729BEB9CDD}" name="Table1523" displayName="Table1523" ref="A24:D25" totalsRowShown="0" tableBorderDxfId="357">
  <tableColumns count="4">
    <tableColumn id="1" xr3:uid="{A1AE25B2-783A-4D58-BEFC-83E903B9FD98}" name="Growth rate_r#1" dataDxfId="356">
      <calculatedColumnFormula>B17</calculatedColumnFormula>
    </tableColumn>
    <tableColumn id="2" xr3:uid="{1F281DA4-578E-44CB-9567-9D0728138B94}" name="Growth rate_low" dataDxfId="355"/>
    <tableColumn id="3" xr3:uid="{49666AD3-F6AB-4189-A833-BF028725D146}" name="Growth rate_med" dataDxfId="354"/>
    <tableColumn id="4" xr3:uid="{415EB2E0-053C-44DB-9580-1BB3FCB36AED}" name="Growth rate_high" dataDxfId="353"/>
  </tableColumns>
  <tableStyleInfo name="TableStyleLight1"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1EFB84D-3FEC-4610-AD60-53CF861BFB8C}" name="Table140" displayName="Table140" ref="A27:F30" totalsRowShown="0" tableBorderDxfId="333">
  <tableColumns count="6">
    <tableColumn id="1" xr3:uid="{BDDB3353-2BA2-48A6-8903-82924E89A001}" name="Growth rate" dataDxfId="332">
      <calculatedColumnFormula>#REF!</calculatedColumnFormula>
    </tableColumn>
    <tableColumn id="2" xr3:uid="{F96043DE-EC39-4FD1-BE46-AC452F6CFA76}" name="Fair Value_x000a_Method 1" dataDxfId="331">
      <calculatedColumnFormula>Z18</calculatedColumnFormula>
    </tableColumn>
    <tableColumn id="3" xr3:uid="{DD1D7944-F376-4455-BB9C-E6FF83CE81FF}" name="MOS_x000a_Method 1" dataDxfId="330">
      <calculatedColumnFormula>1-$B$6/Table140[[#This Row],[Fair Value
Method 1]]</calculatedColumnFormula>
    </tableColumn>
    <tableColumn id="5" xr3:uid="{D1D6800F-0945-4857-8F53-9F49F84129D0}" name="Fair Value _x000a_Method 2" dataDxfId="329"/>
    <tableColumn id="6" xr3:uid="{E25A8276-6C7A-4E1D-9E19-497919EF1381}" name="MOS _x000a_Method 2" dataDxfId="328" dataCellStyle="Percent">
      <calculatedColumnFormula>1-$B$6/Table140[[#This Row],[Fair Value 
Method 2]]</calculatedColumnFormula>
    </tableColumn>
    <tableColumn id="4" xr3:uid="{3B8DFE26-1AD5-4EB2-AAAD-57FC96EDA30C}" name="Average" dataDxfId="327" dataCellStyle="Percent">
      <calculatedColumnFormula>AVERAGE(Table140[[#This Row],[MOS
Method 1]],Table140[[#This Row],[MOS 
Method 2]])</calculatedColumnFormula>
    </tableColumn>
  </tableColumns>
  <tableStyleInfo name="TableStyleLight1"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C8E905C-97DD-40B9-A9DE-5AB07BC88E56}" name="Table241" displayName="Table241" ref="A14:E21" totalsRowShown="0" headerRowDxfId="326" tableBorderDxfId="325">
  <tableColumns count="5">
    <tableColumn id="1" xr3:uid="{088B83A8-E354-41BB-A1BA-8A5C47E9470F}" name="Particular" dataDxfId="324"/>
    <tableColumn id="2" xr3:uid="{98CEA6EF-40AD-4EC9-9763-2D37C61D5C92}" name="10 yr average [%]" dataDxfId="323"/>
    <tableColumn id="3" xr3:uid="{3F6ACA15-75CE-4BC8-B699-24F89120398B}" name="5yr average [%]" dataDxfId="322"/>
    <tableColumn id="4" xr3:uid="{2F998FF5-55A4-4CEF-A4DC-05924B932790}" name="1yr average [%]" dataDxfId="321"/>
    <tableColumn id="5" xr3:uid="{3605F313-D02B-4AC1-987B-AF6CDA43B129}" name="[years]"/>
  </tableColumns>
  <tableStyleInfo name="TableStyleLight1"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22451C67-38D5-45BA-889C-4EC123D3A031}" name="Table442" displayName="Table442" ref="A2:B11" totalsRowShown="0">
  <tableColumns count="2">
    <tableColumn id="1" xr3:uid="{1F4A3DF2-C0A3-47FE-A01D-4E8BE60E3245}" name="Particular"/>
    <tableColumn id="2" xr3:uid="{A89A342F-2A4B-47DE-9996-F154EFDE9596}" name="Value" dataDxfId="320"/>
  </tableColumns>
  <tableStyleInfo name="TableStyleLight1"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C9AC6D1-FEE8-4203-8A5B-F960245065B3}" name="Table1543" displayName="Table1543" ref="A24:C25" totalsRowShown="0" tableBorderDxfId="319">
  <tableColumns count="3">
    <tableColumn id="1" xr3:uid="{1228A660-27EA-4BF1-9DC1-B19BCF74F61F}" name="Growth rate_r#1" dataDxfId="318">
      <calculatedColumnFormula>B17</calculatedColumnFormula>
    </tableColumn>
    <tableColumn id="2" xr3:uid="{C5EBC5E0-4C28-4558-9A84-1F56CAEEF763}" name="Growth rate_yahoo" dataDxfId="317"/>
    <tableColumn id="3" xr3:uid="{E01B3C2B-C406-49D1-B66B-91B00BC3272E}" name="Growth rate_3rd" dataDxfId="316"/>
  </tableColumns>
  <tableStyleInfo name="TableStyleLight1"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30B3319A-085C-4C57-9BBA-94DD06A38A4A}" name="Table180" displayName="Table180" ref="A28:F31" totalsRowShown="0" tableBorderDxfId="296">
  <tableColumns count="6">
    <tableColumn id="1" xr3:uid="{0E57409C-9D23-495D-B053-176309F47547}" name="Growth rate" dataDxfId="295">
      <calculatedColumnFormula>#REF!</calculatedColumnFormula>
    </tableColumn>
    <tableColumn id="2" xr3:uid="{B6B8FD54-D57B-40DC-B94B-F3360B389DAC}" name="Fair Value_x000a_Method 1" dataDxfId="294">
      <calculatedColumnFormula>Z19</calculatedColumnFormula>
    </tableColumn>
    <tableColumn id="3" xr3:uid="{AADD36FF-6158-4914-AA30-8DF46CF0F107}" name="MOS_x000a_Method 1" dataDxfId="293">
      <calculatedColumnFormula>1-$B$6/Table180[[#This Row],[Fair Value
Method 1]]</calculatedColumnFormula>
    </tableColumn>
    <tableColumn id="5" xr3:uid="{3F30AACF-B372-47F8-A2C9-1AC07350E3E1}" name="Fair Value _x000a_Method 2" dataDxfId="292"/>
    <tableColumn id="6" xr3:uid="{24C4A091-6799-4B3E-A307-25C66EB89F3A}" name="MOS _x000a_Method 2" dataDxfId="291" dataCellStyle="Percent">
      <calculatedColumnFormula>1-$B$6/Table180[[#This Row],[Fair Value 
Method 2]]</calculatedColumnFormula>
    </tableColumn>
    <tableColumn id="4" xr3:uid="{50F9D325-BED6-4791-88F8-FE33C821A1C5}" name="Average" dataDxfId="290" dataCellStyle="Percent">
      <calculatedColumnFormula>AVERAGE(Table180[[#This Row],[MOS
Method 1]],Table180[[#This Row],[MOS 
Method 2]])</calculatedColumnFormula>
    </tableColumn>
  </tableColumns>
  <tableStyleInfo name="TableStyleLight1"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A0AFE8A3-A393-4CEC-93B8-A0A57BA06300}" name="Table281" displayName="Table281" ref="A15:E22" totalsRowShown="0" headerRowDxfId="289" tableBorderDxfId="288">
  <tableColumns count="5">
    <tableColumn id="1" xr3:uid="{86D9D5CA-3DD4-458C-A7EF-70F3BA994223}" name="Particular" dataDxfId="287"/>
    <tableColumn id="2" xr3:uid="{53A3D67A-0AC5-4ABB-8134-D9C7CAE91B27}" name="10 yr average [%]" dataDxfId="286"/>
    <tableColumn id="3" xr3:uid="{0420A1E1-B40B-4938-ABA8-7D446E3685BE}" name="5yr average [%]" dataDxfId="285"/>
    <tableColumn id="4" xr3:uid="{0BFE74F1-4F94-48D7-8F9A-1217A641B89C}" name="1yr average [%]" dataDxfId="284"/>
    <tableColumn id="5" xr3:uid="{268E545A-6F84-4C7C-9CC2-B12D1EAB7CA9}" name="[years]"/>
  </tableColumns>
  <tableStyleInfo name="TableStyleLight1"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07F83BB8-4A6E-4D07-87ED-3F12EAE0DD41}" name="Table482" displayName="Table482" ref="A2:B12" totalsRowShown="0">
  <tableColumns count="2">
    <tableColumn id="1" xr3:uid="{7F1828D3-038D-4AEF-90AE-A5755231D735}" name="Particular"/>
    <tableColumn id="2" xr3:uid="{D71DE68A-0AD4-4D82-B142-1ED65AACC3BC}" name="Value" dataDxfId="283"/>
  </tableColumns>
  <tableStyleInfo name="TableStyleLight1"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0ABD5AEC-76E7-40D1-A3F4-A32987DF5DB2}" name="Table1583" displayName="Table1583" ref="A25:C26" totalsRowShown="0" tableBorderDxfId="282">
  <tableColumns count="3">
    <tableColumn id="1" xr3:uid="{2E361A21-2B13-4DF4-A03A-E06D91BDAB0F}" name="Growth rate_r#1" dataDxfId="281">
      <calculatedColumnFormula>B18</calculatedColumnFormula>
    </tableColumn>
    <tableColumn id="2" xr3:uid="{92832E73-D728-48A0-A934-4C4C67241436}" name="Growth rate_yahoo" dataDxfId="280"/>
    <tableColumn id="3" xr3:uid="{2CD6FD50-F03A-443C-BC6E-DAB1334714FF}" name="Growth rate_3rd" dataDxfId="279"/>
  </tableColumns>
  <tableStyleInfo name="TableStyleLight1"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2619FC16-2C8E-43F3-BAD1-6A08089B62DC}" name="Table14448" displayName="Table14448" ref="A28:F31" totalsRowShown="0" tableBorderDxfId="261">
  <tableColumns count="6">
    <tableColumn id="1" xr3:uid="{2EB6804B-177A-4E66-96A0-6D9AB6B9C74A}" name="Growth rate" dataDxfId="260">
      <calculatedColumnFormula>#REF!</calculatedColumnFormula>
    </tableColumn>
    <tableColumn id="2" xr3:uid="{8B5E6D47-8C7A-4501-A347-DDB7447C121E}" name="Fair Value_x000a_Method 1" dataDxfId="259">
      <calculatedColumnFormula>Z19</calculatedColumnFormula>
    </tableColumn>
    <tableColumn id="3" xr3:uid="{B2B13B7C-F5CF-4217-BBEF-019FABAC3F07}" name="MOS_x000a_Method 1" dataDxfId="258">
      <calculatedColumnFormula>1-$B$6/Table14448[[#This Row],[Fair Value
Method 1]]</calculatedColumnFormula>
    </tableColumn>
    <tableColumn id="5" xr3:uid="{036ED453-339E-48A2-84FD-FD61BFFE3CCE}" name="Fair Value _x000a_Method 2" dataDxfId="257"/>
    <tableColumn id="6" xr3:uid="{1D0FC0FF-68CD-499D-8FD6-94ADA5CD8202}" name="MOS _x000a_Method 2" dataDxfId="256" dataCellStyle="Percent">
      <calculatedColumnFormula>1-$B$6/Table14448[[#This Row],[Fair Value 
Method 2]]</calculatedColumnFormula>
    </tableColumn>
    <tableColumn id="4" xr3:uid="{E271E78E-68FC-4798-9ACC-2AC6E83E1041}" name="Average" dataDxfId="255" dataCellStyle="Percent">
      <calculatedColumnFormula>AVERAGE(Table14448[[#This Row],[MOS
Method 1]],Table14448[[#This Row],[MOS 
Method 2]])</calculatedColumnFormula>
    </tableColumn>
  </tableColumns>
  <tableStyleInfo name="TableStyleLight1"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E63EF98C-A421-40E4-8DB2-8D5F15B0C7F7}" name="Table24549" displayName="Table24549" ref="A15:E22" totalsRowShown="0" headerRowDxfId="254" tableBorderDxfId="253">
  <tableColumns count="5">
    <tableColumn id="1" xr3:uid="{1C00A159-D3F4-43E6-B554-641C21A622F9}" name="Particular" dataDxfId="252"/>
    <tableColumn id="2" xr3:uid="{DA7576B1-FF83-4A3B-9658-2D83359182EF}" name="10 yr average [%]" dataDxfId="251"/>
    <tableColumn id="3" xr3:uid="{A8D191CA-5831-42D1-BD3B-0E93A372C9AA}" name="5yr average [%]" dataDxfId="250"/>
    <tableColumn id="4" xr3:uid="{7CA89CBF-14D5-4246-A719-75F363F5B9E9}" name="1yr average [%]" dataDxfId="249"/>
    <tableColumn id="5" xr3:uid="{8103683C-965B-45B2-A074-F5085A35EFD2}" name="[years]"/>
  </tableColumns>
  <tableStyleInfo name="TableStyleLight1"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2999B70-DE0C-45F7-8008-34B4EF4F3DAC}" name="Table44650" displayName="Table44650" ref="A2:B12" totalsRowShown="0">
  <tableColumns count="2">
    <tableColumn id="1" xr3:uid="{CFD8AEC3-910C-47C4-9E50-783945E52C30}" name="Particular"/>
    <tableColumn id="2" xr3:uid="{C10043E0-951D-42F3-AA10-FEADAC1C5E9C}" name="Value" dataDxfId="248"/>
  </tableColumns>
  <tableStyleInfo name="TableStyleLight1"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5F8E7AD-300C-4A2E-A1B7-907593F2F0EF}" name="Table154751" displayName="Table154751" ref="A25:C26" totalsRowShown="0" tableBorderDxfId="247">
  <tableColumns count="3">
    <tableColumn id="1" xr3:uid="{32DC1CED-F315-41FE-ACA6-AFAA5F476BCD}" name="Growth rate_r#1" dataDxfId="246">
      <calculatedColumnFormula>B18</calculatedColumnFormula>
    </tableColumn>
    <tableColumn id="2" xr3:uid="{D6973BF2-2C6F-45F6-B19E-785F5003F633}" name="Growth rate_yahoo" dataDxfId="245"/>
    <tableColumn id="3" xr3:uid="{708B081A-974D-45D6-B136-038EA0D9C5C9}" name="Growth rate_3rd" dataDxfId="244"/>
  </tableColumns>
  <tableStyleInfo name="TableStyleLight1"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8453C9CA-90DF-415D-974F-C2AD934E0247}" name="Table188" displayName="Table188" ref="A28:F31" totalsRowShown="0" tableBorderDxfId="17">
  <tableColumns count="6">
    <tableColumn id="1" xr3:uid="{41A50D68-4FBB-4900-BB88-E9B7C3C04997}" name="Growth rate" dataDxfId="16">
      <calculatedColumnFormula>#REF!</calculatedColumnFormula>
    </tableColumn>
    <tableColumn id="2" xr3:uid="{48A305C2-E0B3-4138-8D96-E4527371B28A}" name="Fair Value_x000a_Method 1" dataDxfId="15">
      <calculatedColumnFormula>Z19</calculatedColumnFormula>
    </tableColumn>
    <tableColumn id="3" xr3:uid="{AA9A221E-F4AB-48D9-B08E-198EB20E37C0}" name="MOS_x000a_Method 1" dataDxfId="14">
      <calculatedColumnFormula>1-$B$6/Table188[[#This Row],[Fair Value
Method 1]]</calculatedColumnFormula>
    </tableColumn>
    <tableColumn id="5" xr3:uid="{78D4CDB7-624C-4DF0-BFDC-A2F6F97A5104}" name="Fair Value _x000a_Method 2" dataDxfId="13"/>
    <tableColumn id="6" xr3:uid="{DB4285AF-5245-4617-BA5A-4D52F4B9A349}" name="MOS _x000a_Method 2" dataDxfId="12" dataCellStyle="Percent">
      <calculatedColumnFormula>1-$B$6/Table188[[#This Row],[Fair Value 
Method 2]]</calculatedColumnFormula>
    </tableColumn>
    <tableColumn id="4" xr3:uid="{EDEB95ED-A8CB-4470-A303-CC913F76DAAF}" name="Average" dataDxfId="11" dataCellStyle="Percent">
      <calculatedColumnFormula>AVERAGE(Table188[[#This Row],[MOS
Method 1]],Table188[[#This Row],[MOS 
Method 2]])</calculatedColumnFormula>
    </tableColumn>
  </tableColumns>
  <tableStyleInfo name="TableStyleLight1"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61768213-20A4-44F5-96B9-564D5EF5868D}" name="Table289" displayName="Table289" ref="A15:E22" totalsRowShown="0" headerRowDxfId="10" tableBorderDxfId="9">
  <tableColumns count="5">
    <tableColumn id="1" xr3:uid="{4FCE5C1E-BEC0-4277-BCB4-4871B5F5ECC6}" name="Particular" dataDxfId="8"/>
    <tableColumn id="2" xr3:uid="{756A6639-64E3-461F-9689-CBFCF2A64DF4}" name="10 yr average [%]" dataDxfId="7"/>
    <tableColumn id="3" xr3:uid="{FF7CC399-BB89-4F15-8357-A9417A507566}" name="5yr average [%]" dataDxfId="6"/>
    <tableColumn id="4" xr3:uid="{46EC87DC-1040-489C-AF3D-E36B8D8975C4}" name="1yr average [%]" dataDxfId="5"/>
    <tableColumn id="5" xr3:uid="{5C27999B-DD42-4046-BB85-3BF28E1F118B}" name="[years]"/>
  </tableColumns>
  <tableStyleInfo name="TableStyleLight1"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14E9DA52-238E-43C2-AB39-E33346A60604}" name="Table490" displayName="Table490" ref="A2:B12" totalsRowShown="0">
  <tableColumns count="2">
    <tableColumn id="1" xr3:uid="{2097E6A9-A9B1-4084-80C5-BD4BD7C97127}" name="Particular"/>
    <tableColumn id="2" xr3:uid="{4DAAE7C1-E2F1-4FA7-90BC-89CC53CFCF37}" name="Value" dataDxfId="4"/>
  </tableColumns>
  <tableStyleInfo name="TableStyleLight1"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19D54F35-B746-4D6D-A551-FC4FA812EB15}" name="Table1591" displayName="Table1591" ref="A25:C26" totalsRowShown="0" tableBorderDxfId="3">
  <tableColumns count="3">
    <tableColumn id="1" xr3:uid="{472F5BA0-8315-4EAF-B4A7-6E1EE7175621}" name="Growth rate_r#1" dataDxfId="2">
      <calculatedColumnFormula>B18</calculatedColumnFormula>
    </tableColumn>
    <tableColumn id="2" xr3:uid="{1D382724-208F-410E-8850-C686F199DC1D}" name="Growth rate_yahoo" dataDxfId="1"/>
    <tableColumn id="3" xr3:uid="{555DE388-7EFC-401B-BA1D-3FBDF413E342}" name="Growth rate_3rd" dataDxfId="0"/>
  </tableColumns>
  <tableStyleInfo name="TableStyleLight1"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770EA874-F648-479A-B81B-987E4A090CBE}" name="Table128" displayName="Table128" ref="A27:F30" totalsRowShown="0" tableBorderDxfId="224">
  <tableColumns count="6">
    <tableColumn id="1" xr3:uid="{F706580D-0E9B-46B1-8170-03658BD80121}" name="Growth rate" dataDxfId="223">
      <calculatedColumnFormula>#REF!</calculatedColumnFormula>
    </tableColumn>
    <tableColumn id="2" xr3:uid="{48B19047-FAD0-43E8-B73C-D35F47B07AC8}" name="Fair Value_x000a_Method 1" dataDxfId="222">
      <calculatedColumnFormula>Z18</calculatedColumnFormula>
    </tableColumn>
    <tableColumn id="3" xr3:uid="{5AD5B748-A7B9-44CB-A251-DEE0CA0BE270}" name="MOS_x000a_Method 1" dataDxfId="221">
      <calculatedColumnFormula>1-$B$6/Table128[[#This Row],[Fair Value
Method 1]]</calculatedColumnFormula>
    </tableColumn>
    <tableColumn id="5" xr3:uid="{9DBDAB33-79CE-45BB-B255-9DE24ABA9624}" name="Fair Value _x000a_Method 2" dataDxfId="220"/>
    <tableColumn id="6" xr3:uid="{17AB91FA-2976-4C22-8EF6-BDD7ACA41D86}" name="MOS _x000a_Method 2" dataDxfId="219" dataCellStyle="Percent">
      <calculatedColumnFormula>1-$B$6/Table128[[#This Row],[Fair Value 
Method 2]]</calculatedColumnFormula>
    </tableColumn>
    <tableColumn id="4" xr3:uid="{49887E66-434C-41CD-AB05-4E0EE88AC1CD}" name="Average" dataDxfId="218" dataCellStyle="Percent">
      <calculatedColumnFormula>AVERAGE(Table128[[#This Row],[MOS
Method 1]],Table128[[#This Row],[MOS 
Method 2]])</calculatedColumnFormula>
    </tableColumn>
  </tableColumns>
  <tableStyleInfo name="TableStyleLight1"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A531410D-EC9F-4AA8-BCF4-B55008787882}" name="Table229" displayName="Table229" ref="A14:E21" totalsRowShown="0" headerRowDxfId="217" tableBorderDxfId="216">
  <tableColumns count="5">
    <tableColumn id="1" xr3:uid="{226B0007-68E1-41D2-ABD6-B416A99BE7C5}" name="Particular" dataDxfId="215"/>
    <tableColumn id="2" xr3:uid="{866C7288-5A0D-46D8-A707-2F70BC7B96EC}" name="10 yr average [%]" dataDxfId="214"/>
    <tableColumn id="3" xr3:uid="{B669AD86-3DE0-4ECE-B198-7795F92B3871}" name="5yr average [%]" dataDxfId="213"/>
    <tableColumn id="4" xr3:uid="{CB589B72-B696-4E5B-8E33-01547AFA2F5A}" name="1yr average [%]" dataDxfId="212"/>
    <tableColumn id="5" xr3:uid="{77BDA9FE-289B-4D26-A691-36DE4D78E296}" name="[years]"/>
  </tableColumns>
  <tableStyleInfo name="TableStyleLight1"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83268D1C-42AF-4529-A0EF-BDF45CCE82A5}" name="Table430" displayName="Table430" ref="A2:B11" totalsRowShown="0">
  <tableColumns count="2">
    <tableColumn id="1" xr3:uid="{2CE6ED99-DC1E-4075-AB96-7A294BB80FEA}" name="Particular"/>
    <tableColumn id="2" xr3:uid="{631DE547-DA2F-460B-BA7F-881A09F0BD55}" name="Value" dataDxfId="211"/>
  </tableColumns>
  <tableStyleInfo name="TableStyleLight1"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81D09040-EC04-4584-A9C1-9D9B0BC804C3}" name="Table1531" displayName="Table1531" ref="A24:D25" totalsRowShown="0" tableBorderDxfId="210">
  <tableColumns count="4">
    <tableColumn id="1" xr3:uid="{40DC4F3B-01A7-4776-ADB4-C1366724E63C}" name="Growth rate_r#1" dataDxfId="209">
      <calculatedColumnFormula>B17</calculatedColumnFormula>
    </tableColumn>
    <tableColumn id="2" xr3:uid="{F19F13BE-D26F-4CCE-96FB-BA5FA8079588}" name="Growth rate_low" dataDxfId="208"/>
    <tableColumn id="3" xr3:uid="{A5527FD6-3922-4991-8A56-5B3AB943E41C}" name="Growth rate_med" dataDxfId="207"/>
    <tableColumn id="4" xr3:uid="{8D0DB38F-09F1-4B07-B549-42280FA4B1B1}" name="Growth rate_high" dataDxfId="206"/>
  </tableColumns>
  <tableStyleInfo name="TableStyleLight1"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293D13-F0D5-4B28-82D2-77961D280B7E}" name="Table18" displayName="Table18" ref="A24:E27" totalsRowShown="0" tableBorderDxfId="189">
  <tableColumns count="5">
    <tableColumn id="1" xr3:uid="{3C393839-F2DC-4F26-8895-E1F84CB0FC3C}" name="Growth rate" dataDxfId="188">
      <calculatedColumnFormula>#REF!</calculatedColumnFormula>
    </tableColumn>
    <tableColumn id="2" xr3:uid="{C9F86F7A-D6D4-4DF2-87FE-C1BF49FDC981}" name="Fair Value_x000a_Method 1" dataDxfId="187">
      <calculatedColumnFormula>Z18</calculatedColumnFormula>
    </tableColumn>
    <tableColumn id="3" xr3:uid="{3E1B50CA-1A9C-45A7-A63A-C3ACF556EF6E}" name="MOS_x000a_Method 1" dataDxfId="186">
      <calculatedColumnFormula>1-$B$6/Table18[[#This Row],[Fair Value
Method 1]]</calculatedColumnFormula>
    </tableColumn>
    <tableColumn id="5" xr3:uid="{7C9A1D3E-7B1A-43A7-A826-519441A30D47}" name="Fair Value _x000a_Method 2" dataDxfId="185"/>
    <tableColumn id="6" xr3:uid="{A0871CF3-7B99-493B-9B60-1C16F10DB5DA}" name="MOS _x000a_Method 2" dataDxfId="184" dataCellStyle="Percent">
      <calculatedColumnFormula>1-$B$6/Table18[[#This Row],[Fair Value 
Method 2]]</calculatedColumnFormula>
    </tableColumn>
  </tableColumns>
  <tableStyleInfo name="TableStyleLight1"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01CDA37-D0DA-4C06-8728-98A931D92191}" name="Table29" displayName="Table29" ref="A14:E21" totalsRowShown="0" headerRowDxfId="183" tableBorderDxfId="182">
  <tableColumns count="5">
    <tableColumn id="1" xr3:uid="{A35DA3DD-A1B6-492B-90AF-B54B24F33666}" name="Particular" dataDxfId="181"/>
    <tableColumn id="2" xr3:uid="{E70ED174-8A48-4463-B1FB-F5CA578DD1AF}" name="10 yr average [%]" dataDxfId="180"/>
    <tableColumn id="3" xr3:uid="{D8C1CCE9-4EF0-4C02-9C9C-7D3E64BA1EA9}" name="5yr average [%]" dataDxfId="179"/>
    <tableColumn id="4" xr3:uid="{38C9F833-93D0-41A5-B4B3-33C59968CF96}" name="1yr average [%]" dataDxfId="178"/>
    <tableColumn id="5" xr3:uid="{0BAFEC20-4B3F-4100-8306-409E64344DE8}" name="[years]"/>
  </tableColumns>
  <tableStyleInfo name="TableStyleLight1"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DE2FDF0-F809-46AD-A527-5881418309E1}" name="Table410" displayName="Table410" ref="A2:B11" totalsRowShown="0">
  <tableColumns count="2">
    <tableColumn id="1" xr3:uid="{43D6FF2D-4057-49F1-89BE-B2B566419F67}" name="Particular"/>
    <tableColumn id="2" xr3:uid="{8B91037A-75EA-40CC-B421-CEB01402DEEE}" name="Value" dataDxfId="177"/>
  </tableColumns>
  <tableStyleInfo name="TableStyleLight1"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0348C34-8007-4FB8-B0B0-5AE16800AF71}" name="Table112" displayName="Table112" ref="A26:E29" totalsRowShown="0" tableBorderDxfId="160">
  <tableColumns count="5">
    <tableColumn id="1" xr3:uid="{F3D86573-EB19-4BCA-93D7-7EDE24B9473F}" name="Growth rate" dataCellStyle="Normal">
      <calculatedColumnFormula>#REF!</calculatedColumnFormula>
    </tableColumn>
    <tableColumn id="2" xr3:uid="{E7C1FEBA-FEE6-4005-AAF2-DEBB6B60385F}" name="Fair Value_x000a_Method 1" dataDxfId="159">
      <calculatedColumnFormula>Z18</calculatedColumnFormula>
    </tableColumn>
    <tableColumn id="3" xr3:uid="{D113C8CD-0321-4AC4-ACB4-931563149FCE}" name="MOS_x000a_Method 1" dataDxfId="158">
      <calculatedColumnFormula>1-$B$6/Table112[[#This Row],[Fair Value
Method 1]]</calculatedColumnFormula>
    </tableColumn>
    <tableColumn id="5" xr3:uid="{887E23BC-0D82-488B-94D7-68A289D3BB3F}" name="Fair Value _x000a_Method 2" dataDxfId="157"/>
    <tableColumn id="6" xr3:uid="{56CC566A-1E72-41F5-AB8D-F6C3966AA54D}" name="MOS _x000a_Method 2" dataDxfId="156" dataCellStyle="Percent">
      <calculatedColumnFormula>1-$B$6/Table112[[#This Row],[Fair Value 
Method 2]]</calculatedColumnFormula>
    </tableColumn>
  </tableColumns>
  <tableStyleInfo name="TableStyleLight1"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22FCE29-B401-47A6-86CE-BD9FFE25BBD5}" name="Table213" displayName="Table213" ref="A14:E21" totalsRowShown="0" headerRowDxfId="155" tableBorderDxfId="154">
  <tableColumns count="5">
    <tableColumn id="1" xr3:uid="{5AC618CF-E963-4F92-B339-3DBDACD680D4}" name="Particular" dataDxfId="153"/>
    <tableColumn id="2" xr3:uid="{0CCAA9DE-8226-4356-BBBA-EC89F0273EBE}" name="10 yr average [%]" dataDxfId="152"/>
    <tableColumn id="3" xr3:uid="{23212F42-3FE4-4672-9A9A-DDA04B8EB851}" name="5yr average [%]" dataDxfId="151"/>
    <tableColumn id="4" xr3:uid="{CD1274B8-6F9E-4727-B035-04C4957D3CB6}" name="1yr average [%]" dataDxfId="150"/>
    <tableColumn id="5" xr3:uid="{FA08EC64-5409-4C3B-AC22-9357003A42B9}" name="[years]"/>
  </tableColumns>
  <tableStyleInfo name="TableStyleLight1"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B2FBC2E-C1C7-4903-B1DA-57E08FD0C0DE}" name="Table414" displayName="Table414" ref="A2:B11" totalsRowShown="0">
  <tableColumns count="2">
    <tableColumn id="1" xr3:uid="{9CBD8EAB-E500-493F-8FBA-6FE50E06EA9C}" name="Particular"/>
    <tableColumn id="2" xr3:uid="{A8DCE032-AFED-43A7-84C2-CBD837C5E97A}" name="Value" dataDxfId="149"/>
  </tableColumns>
  <tableStyleInfo name="TableStyleLight1"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CB0EDD1-DF06-4D9B-A4F2-1EB55CBFFA52}" name="Table124" displayName="Table124" ref="A27:F30" totalsRowShown="0" tableBorderDxfId="129">
  <tableColumns count="6">
    <tableColumn id="1" xr3:uid="{7D53D040-CAD7-42D1-96BC-282AE3899816}" name="Growth rate" dataDxfId="128">
      <calculatedColumnFormula>#REF!</calculatedColumnFormula>
    </tableColumn>
    <tableColumn id="2" xr3:uid="{9DDD1615-1280-4E30-94F5-D699E8429588}" name="Fair Value_x000a_Method 1" dataDxfId="127">
      <calculatedColumnFormula>Z18</calculatedColumnFormula>
    </tableColumn>
    <tableColumn id="3" xr3:uid="{32EE1A25-9E62-464C-88B5-02D1C584CD13}" name="MOS_x000a_Method 1" dataDxfId="126">
      <calculatedColumnFormula>1-$B$6/Table124[[#This Row],[Fair Value
Method 1]]</calculatedColumnFormula>
    </tableColumn>
    <tableColumn id="5" xr3:uid="{C079121D-778B-4CAD-BE39-5B2B1CE42373}" name="Fair Value _x000a_Method 2" dataDxfId="125"/>
    <tableColumn id="6" xr3:uid="{DF978A31-06D9-4C44-A12B-88FCD14C1FB6}" name="MOS _x000a_Method 2" dataDxfId="124" dataCellStyle="Percent">
      <calculatedColumnFormula>1-$B$6/Table124[[#This Row],[Fair Value 
Method 2]]</calculatedColumnFormula>
    </tableColumn>
    <tableColumn id="4" xr3:uid="{9F37ECDB-1B04-495D-A6E5-AF42E1634F83}" name="Average" dataDxfId="123" dataCellStyle="Percent">
      <calculatedColumnFormula>AVERAGE(Table124[[#This Row],[MOS
Method 1]],Table124[[#This Row],[MOS 
Method 2]])</calculatedColumnFormula>
    </tableColumn>
  </tableColumns>
  <tableStyleInfo name="TableStyleLight1"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4306AF0-DA15-4F01-82D2-B391670F6ABE}" name="Table225" displayName="Table225" ref="A14:E21" totalsRowShown="0" headerRowDxfId="122" tableBorderDxfId="121">
  <tableColumns count="5">
    <tableColumn id="1" xr3:uid="{19805871-F063-4B36-AFD2-2771ABF04EA7}" name="Particular" dataDxfId="120"/>
    <tableColumn id="2" xr3:uid="{D25862EA-679D-40E6-AAB6-120BE494EB1F}" name="10 yr average [%]" dataDxfId="119"/>
    <tableColumn id="3" xr3:uid="{04F8CB42-7D80-47F7-9527-6572F5B69B6A}" name="5yr average [%]" dataDxfId="118"/>
    <tableColumn id="4" xr3:uid="{89AB9A84-3B5A-4757-8A3B-B4F066691963}" name="1yr average [%]" dataDxfId="117"/>
    <tableColumn id="5" xr3:uid="{7D0C552A-F2E4-45FC-8ED8-5AB45137FB5B}" name="[years]"/>
  </tableColumns>
  <tableStyleInfo name="TableStyleLight1"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3530DD6-9D4B-4B13-9015-E70B937AB764}" name="Table426" displayName="Table426" ref="A2:B11" totalsRowShown="0">
  <tableColumns count="2">
    <tableColumn id="1" xr3:uid="{047C9347-1979-45F2-A49C-B8C31857F805}" name="Particular"/>
    <tableColumn id="2" xr3:uid="{76599D97-267A-459F-BD7A-DAABE04B6D2D}" name="Value" dataDxfId="116"/>
  </tableColumns>
  <tableStyleInfo name="TableStyleLight1"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20E7987-E6A5-4B0F-BF18-2B48FE287DC8}" name="Table1527" displayName="Table1527" ref="A24:D25" totalsRowShown="0" tableBorderDxfId="115">
  <tableColumns count="4">
    <tableColumn id="1" xr3:uid="{8FB9B39B-5EE9-4844-BEE8-EB6082B920DA}" name="Growth rate_r#1" dataDxfId="114">
      <calculatedColumnFormula>B17</calculatedColumnFormula>
    </tableColumn>
    <tableColumn id="2" xr3:uid="{F71D8F41-62DF-40E5-B985-737BCED851B1}" name="Growth rate_low" dataDxfId="113"/>
    <tableColumn id="3" xr3:uid="{763212BA-6CCD-4D85-92E0-D2E7186E89EA}" name="Growth rate_med" dataDxfId="112"/>
    <tableColumn id="4" xr3:uid="{2DEA49DC-33F0-4DDA-AE5A-47C88D6443E3}" name="Growth rate_high" dataDxfId="111"/>
  </tableColumns>
  <tableStyleInfo name="TableStyleLight1"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A55EE3E2-8531-4BAC-BE87-3CA158ED6EAC}" name="Table14452" displayName="Table14452" ref="A28:F31" totalsRowShown="0" tableBorderDxfId="91">
  <tableColumns count="6">
    <tableColumn id="1" xr3:uid="{4BB3AE0A-1DE9-480C-A36E-254BD892A113}" name="Growth rate" dataDxfId="90">
      <calculatedColumnFormula>#REF!</calculatedColumnFormula>
    </tableColumn>
    <tableColumn id="2" xr3:uid="{492B6976-1C01-4A66-A473-94DCDA8AFFA3}" name="Fair Value_x000a_Method 1" dataDxfId="89">
      <calculatedColumnFormula>Z19</calculatedColumnFormula>
    </tableColumn>
    <tableColumn id="3" xr3:uid="{5F36CA92-DDF5-418B-B965-8E092BC749D6}" name="MOS_x000a_Method 1" dataDxfId="88">
      <calculatedColumnFormula>1-$B$6/Table14452[[#This Row],[Fair Value
Method 1]]</calculatedColumnFormula>
    </tableColumn>
    <tableColumn id="5" xr3:uid="{77B7F5BC-2973-4485-A995-B64E05EFD4F9}" name="Fair Value _x000a_Method 2" dataDxfId="87"/>
    <tableColumn id="6" xr3:uid="{F7C82FEC-29FB-4E11-ACCF-0E12CCFD2CB4}" name="MOS _x000a_Method 2" dataDxfId="86" dataCellStyle="Percent">
      <calculatedColumnFormula>1-$B$6/Table14452[[#This Row],[Fair Value 
Method 2]]</calculatedColumnFormula>
    </tableColumn>
    <tableColumn id="4" xr3:uid="{AC55FBA9-5B74-47AA-B950-081205B946C0}" name="Average" dataDxfId="85" dataCellStyle="Percent">
      <calculatedColumnFormula>AVERAGE(Table14452[[#This Row],[MOS
Method 1]],Table14452[[#This Row],[MOS 
Method 2]])</calculatedColumnFormula>
    </tableColumn>
  </tableColumns>
  <tableStyleInfo name="TableStyleLight1"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5475B8FB-C61A-4EF4-B46C-13CCF4F5924B}" name="Table24553" displayName="Table24553" ref="A15:E22" totalsRowShown="0" headerRowDxfId="84" tableBorderDxfId="83">
  <tableColumns count="5">
    <tableColumn id="1" xr3:uid="{FFBBB963-A474-41F8-8C6C-9AFF4C5C9A51}" name="Particular" dataDxfId="82"/>
    <tableColumn id="2" xr3:uid="{90B8C12C-1C40-4641-9F9F-D7E14C39DF2E}" name="10 yr average [%]" dataDxfId="81"/>
    <tableColumn id="3" xr3:uid="{BF31F165-9FCB-42A1-9947-48AD43D0330A}" name="5yr average [%]" dataDxfId="80"/>
    <tableColumn id="4" xr3:uid="{54838335-E6E0-450C-932F-4C493C9C7AF1}" name="1yr average [%]" dataDxfId="79"/>
    <tableColumn id="5" xr3:uid="{C96DADCB-9DD2-45BF-9438-7AC547FE77CE}" name="[years]"/>
  </tableColumns>
  <tableStyleInfo name="TableStyleLight1"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C8336FB-E583-4D5B-8BC2-7ACF7ADDD0A3}" name="Table44654" displayName="Table44654" ref="A2:B12" totalsRowShown="0">
  <tableColumns count="2">
    <tableColumn id="1" xr3:uid="{84764E09-DF03-4B12-8DD8-A32C69B099A0}" name="Particular"/>
    <tableColumn id="2" xr3:uid="{EA95E3EF-1D15-482F-859C-887E99886562}" name="Value" dataDxfId="78"/>
  </tableColumns>
  <tableStyleInfo name="TableStyleLight1"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234E759B-4EF0-4B20-9944-77F6F24F21DA}" name="Table154755" displayName="Table154755" ref="A25:C26" totalsRowShown="0" tableBorderDxfId="77">
  <tableColumns count="3">
    <tableColumn id="1" xr3:uid="{997E54AA-F133-4000-8F8D-FC6BC4F81F32}" name="Growth rate_r#1" dataDxfId="76">
      <calculatedColumnFormula>B18</calculatedColumnFormula>
    </tableColumn>
    <tableColumn id="2" xr3:uid="{8B935066-4184-4706-B079-D8786C5E2B0B}" name="Growth rate_yahoo" dataDxfId="75"/>
    <tableColumn id="3" xr3:uid="{7EEBD710-E690-4E0C-9047-147616779CE4}" name="Growth rate_3rd" dataDxfId="7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Y2" dT="2021-04-30T15:40:01.87" personId="{C4054291-96BB-4AF9-BB96-97EFD344905D}" id="{46552B9C-02DB-4135-A0A8-ADF02DE6D0DF}">
    <text>Minimum of Equity Growth Rate of past 10yrs &amp; Analist Growth Rate</text>
  </threadedComment>
  <threadedComment ref="Y4" dT="2021-04-30T15:40:10.29" personId="{C4054291-96BB-4AF9-BB96-97EFD344905D}" id="{C41765E5-03AF-4720-9396-2FFC17A01475}">
    <text>Minimum of 2x Growth Rate &amp; P/E average</text>
  </threadedComment>
  <threadedComment ref="Y5" dT="2021-04-30T15:39:51.99" personId="{C4054291-96BB-4AF9-BB96-97EFD344905D}" id="{0558FD3A-1F96-48DB-B90D-5E5F298162D7}">
    <text>Earnings per Share (EPS) of past year</text>
  </threadedComment>
  <threadedComment ref="Y10" dT="2021-04-30T15:40:01.87" personId="{C4054291-96BB-4AF9-BB96-97EFD344905D}" id="{13D905A1-E411-42C1-A966-76ADB353C7D0}">
    <text>Minimum of Equity Growth Rate of past 10yrs &amp; Analist Growth Rate</text>
  </threadedComment>
  <threadedComment ref="Y12" dT="2021-04-30T15:40:10.29" personId="{C4054291-96BB-4AF9-BB96-97EFD344905D}" id="{480AE1C6-9375-495F-8158-0285A144A9B6}">
    <text>Minimum of 2x Growth Rate &amp; P/E average</text>
  </threadedComment>
  <threadedComment ref="Y13" dT="2021-04-30T15:39:51.99" personId="{C4054291-96BB-4AF9-BB96-97EFD344905D}" id="{F078B20B-C641-4DC9-907C-961036161CD6}">
    <text>Earnings per Share (EPS) of past year</text>
  </threadedComment>
  <threadedComment ref="Y17" dT="2021-04-30T15:40:01.87" personId="{C4054291-96BB-4AF9-BB96-97EFD344905D}" id="{A1EB6ED1-4DF2-434D-BE73-7BCAE9F23C26}">
    <text>Minimum of Equity Growth Rate of past 10yrs &amp; Analist Growth Rate</text>
  </threadedComment>
  <threadedComment ref="Y19" dT="2021-04-30T15:40:10.29" personId="{C4054291-96BB-4AF9-BB96-97EFD344905D}" id="{B3322854-119C-4CB3-B66B-E5F9D9F3CD33}">
    <text>Minimum of 2x Growth Rate &amp; P/E average</text>
  </threadedComment>
  <threadedComment ref="Y20" dT="2021-04-30T15:39:51.99" personId="{C4054291-96BB-4AF9-BB96-97EFD344905D}" id="{FF3EA551-4C19-4D46-A864-2BBD6F080DFA}">
    <text>Earnings per Share (EPS) of past year</text>
  </threadedComment>
</ThreadedComments>
</file>

<file path=xl/threadedComments/threadedComment2.xml><?xml version="1.0" encoding="utf-8"?>
<ThreadedComments xmlns="http://schemas.microsoft.com/office/spreadsheetml/2018/threadedcomments" xmlns:x="http://schemas.openxmlformats.org/spreadsheetml/2006/main">
  <threadedComment ref="Y2" dT="2021-04-30T15:40:01.87" personId="{C4054291-96BB-4AF9-BB96-97EFD344905D}" id="{D1CBB5A9-9EE7-4E14-87D6-471C05483B0E}">
    <text>Minimum of Equity Growth Rate of past 10yrs &amp; Analist Growth Rate</text>
  </threadedComment>
  <threadedComment ref="Y4" dT="2021-04-30T15:40:10.29" personId="{C4054291-96BB-4AF9-BB96-97EFD344905D}" id="{71D77C32-0E70-48FF-B0F7-0A6D543A86FC}">
    <text>Minimum of 2x Growth Rate &amp; P/E average</text>
  </threadedComment>
  <threadedComment ref="Y5" dT="2021-04-30T15:39:51.99" personId="{C4054291-96BB-4AF9-BB96-97EFD344905D}" id="{CE07D08F-CE21-4181-8266-B2532EE7947A}">
    <text>Earnings per Share (EPS) of past year</text>
  </threadedComment>
  <threadedComment ref="Y10" dT="2021-04-30T15:40:01.87" personId="{C4054291-96BB-4AF9-BB96-97EFD344905D}" id="{A29B63B4-6FBD-40A1-9055-2E0FDFC8B020}">
    <text>Minimum of Equity Growth Rate of past 10yrs &amp; Analist Growth Rate</text>
  </threadedComment>
  <threadedComment ref="Y12" dT="2021-04-30T15:40:10.29" personId="{C4054291-96BB-4AF9-BB96-97EFD344905D}" id="{1C21F7F9-CE0B-4325-A4AF-2AC8961DEB6D}">
    <text>Minimum of 2x Growth Rate &amp; P/E average</text>
  </threadedComment>
  <threadedComment ref="Y13" dT="2021-04-30T15:39:51.99" personId="{C4054291-96BB-4AF9-BB96-97EFD344905D}" id="{34938C6D-0D0D-4C52-9724-6B144D758CD7}">
    <text>Earnings per Share (EPS) of past year</text>
  </threadedComment>
  <threadedComment ref="Y17" dT="2021-04-30T15:40:01.87" personId="{C4054291-96BB-4AF9-BB96-97EFD344905D}" id="{DEDEFBDA-DED4-4CD0-A19B-060DDA6FF459}">
    <text>Minimum of Equity Growth Rate of past 10yrs &amp; Analist Growth Rate</text>
  </threadedComment>
  <threadedComment ref="Y19" dT="2021-04-30T15:40:10.29" personId="{C4054291-96BB-4AF9-BB96-97EFD344905D}" id="{28BC678A-533E-4B7E-9C34-AC1277108C40}">
    <text>Minimum of 2x Growth Rate &amp; P/E average</text>
  </threadedComment>
  <threadedComment ref="Y20" dT="2021-04-30T15:39:51.99" personId="{C4054291-96BB-4AF9-BB96-97EFD344905D}" id="{1431B19A-FE8C-4FEA-A691-1ED183784716}">
    <text>Earnings per Share (EPS) of past year</text>
  </threadedComment>
</ThreadedComments>
</file>

<file path=xl/threadedComments/threadedComment3.xml><?xml version="1.0" encoding="utf-8"?>
<ThreadedComments xmlns="http://schemas.microsoft.com/office/spreadsheetml/2018/threadedcomments" xmlns:x="http://schemas.openxmlformats.org/spreadsheetml/2006/main">
  <threadedComment ref="Y2" dT="2021-04-30T15:40:01.87" personId="{C4054291-96BB-4AF9-BB96-97EFD344905D}" id="{BF503D7B-1476-4D3A-9C02-010C03990DFE}">
    <text>Minimum of Equity Growth Rate of past 10yrs &amp; Analist Growth Rate</text>
  </threadedComment>
  <threadedComment ref="Y4" dT="2021-04-30T15:40:10.29" personId="{C4054291-96BB-4AF9-BB96-97EFD344905D}" id="{EB8AB5FC-CE20-4235-9809-806C797A7346}">
    <text>Minimum of 2x Growth Rate &amp; P/E average</text>
  </threadedComment>
  <threadedComment ref="Y5" dT="2021-04-30T15:39:51.99" personId="{C4054291-96BB-4AF9-BB96-97EFD344905D}" id="{88D73639-4038-4DA5-B4C9-313DEE1B4B2F}">
    <text>Earnings per Share (EPS) of past year</text>
  </threadedComment>
  <threadedComment ref="Y10" dT="2021-04-30T15:40:01.87" personId="{C4054291-96BB-4AF9-BB96-97EFD344905D}" id="{4C35F764-E97F-44A5-AE52-20A2E67434F5}">
    <text>Minimum of Equity Growth Rate of past 10yrs &amp; Analist Growth Rate</text>
  </threadedComment>
  <threadedComment ref="Y12" dT="2021-04-30T15:40:10.29" personId="{C4054291-96BB-4AF9-BB96-97EFD344905D}" id="{F69829DC-420F-4E0C-AE2F-6976F8344F6C}">
    <text>Minimum of 2x Growth Rate &amp; P/E average</text>
  </threadedComment>
  <threadedComment ref="Y13" dT="2021-04-30T15:39:51.99" personId="{C4054291-96BB-4AF9-BB96-97EFD344905D}" id="{D00ECA5D-9CA1-4212-B91F-4A6EC2959416}">
    <text>Earnings per Share (EPS) of past year</text>
  </threadedComment>
  <threadedComment ref="Y17" dT="2021-04-30T15:40:01.87" personId="{C4054291-96BB-4AF9-BB96-97EFD344905D}" id="{1E2847C9-8671-4A9E-BA69-FF8AEF0ACC58}">
    <text>Minimum of Equity Growth Rate of past 10yrs &amp; Analist Growth Rate</text>
  </threadedComment>
  <threadedComment ref="Y19" dT="2021-04-30T15:40:10.29" personId="{C4054291-96BB-4AF9-BB96-97EFD344905D}" id="{AC803EC5-F413-46E4-98BC-C0335849BEA4}">
    <text>Minimum of 2x Growth Rate &amp; P/E average</text>
  </threadedComment>
  <threadedComment ref="Y20" dT="2021-04-30T15:39:51.99" personId="{C4054291-96BB-4AF9-BB96-97EFD344905D}" id="{0314B067-D645-48D4-A87F-449A20556AD7}">
    <text>Earnings per Share (EPS) of past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Y2" dT="2021-04-30T15:40:01.87" personId="{C4054291-96BB-4AF9-BB96-97EFD344905D}" id="{968476A1-AA61-4524-BF18-B3D32050E410}">
    <text>Minimum of Equity Growth Rate of past 10yrs &amp; Analist Growth Rate</text>
  </threadedComment>
  <threadedComment ref="Y4" dT="2021-04-30T15:40:10.29" personId="{C4054291-96BB-4AF9-BB96-97EFD344905D}" id="{9F9EE82E-5E60-494B-8D8F-C086535BDA92}">
    <text>Minimum of 2x Growth Rate &amp; P/E average</text>
  </threadedComment>
  <threadedComment ref="Y5" dT="2021-04-30T15:39:51.99" personId="{C4054291-96BB-4AF9-BB96-97EFD344905D}" id="{8ABDEA0D-3EC3-47CC-AC90-78F7E9A15CF7}">
    <text>Earnings per Share (EPS) of past year</text>
  </threadedComment>
  <threadedComment ref="Y10" dT="2021-04-30T15:40:01.87" personId="{C4054291-96BB-4AF9-BB96-97EFD344905D}" id="{617652C8-185D-47A9-B3D2-51D248926329}">
    <text>Minimum of Equity Growth Rate of past 10yrs &amp; Analist Growth Rate</text>
  </threadedComment>
  <threadedComment ref="Y12" dT="2021-04-30T15:40:10.29" personId="{C4054291-96BB-4AF9-BB96-97EFD344905D}" id="{F8B60085-257D-420C-98C9-8152268C8703}">
    <text>Minimum of 2x Growth Rate &amp; P/E average</text>
  </threadedComment>
  <threadedComment ref="Y13" dT="2021-04-30T15:39:51.99" personId="{C4054291-96BB-4AF9-BB96-97EFD344905D}" id="{99C1DA60-82DE-430D-8869-43AA9465DEB8}">
    <text>Earnings per Share (EPS) of past year</text>
  </threadedComment>
  <threadedComment ref="Y17" dT="2021-04-30T15:40:01.87" personId="{C4054291-96BB-4AF9-BB96-97EFD344905D}" id="{E285492A-9604-4EDD-8DE2-E1BF2EF45ADF}">
    <text>Minimum of Equity Growth Rate of past 10yrs &amp; Analist Growth Rate</text>
  </threadedComment>
  <threadedComment ref="Y19" dT="2021-04-30T15:40:10.29" personId="{C4054291-96BB-4AF9-BB96-97EFD344905D}" id="{1B6728DC-DA13-4016-A852-038EB59E2D92}">
    <text>Minimum of 2x Growth Rate &amp; P/E average</text>
  </threadedComment>
  <threadedComment ref="Y20" dT="2021-04-30T15:39:51.99" personId="{C4054291-96BB-4AF9-BB96-97EFD344905D}" id="{5641C530-6466-48FE-A8C5-5977D0F28663}">
    <text>Earnings per Share (EPS) of past year</text>
  </threadedComment>
</ThreadedComments>
</file>

<file path=xl/threadedComments/threadedComment5.xml><?xml version="1.0" encoding="utf-8"?>
<ThreadedComments xmlns="http://schemas.microsoft.com/office/spreadsheetml/2018/threadedcomments" xmlns:x="http://schemas.openxmlformats.org/spreadsheetml/2006/main">
  <threadedComment ref="Y2" dT="2021-04-30T15:40:01.87" personId="{C4054291-96BB-4AF9-BB96-97EFD344905D}" id="{10A657A5-725C-4C58-85C3-64CA6E82AE4E}">
    <text>Minimum of Equity Growth Rate of past 10yrs &amp; Analist Growth Rate</text>
  </threadedComment>
  <threadedComment ref="Y4" dT="2021-04-30T15:40:10.29" personId="{C4054291-96BB-4AF9-BB96-97EFD344905D}" id="{6D37EE30-2411-49C6-84BC-807CF64ED08B}">
    <text>Minimum of 2x Growth Rate &amp; P/E average</text>
  </threadedComment>
  <threadedComment ref="Y5" dT="2021-04-30T15:39:51.99" personId="{C4054291-96BB-4AF9-BB96-97EFD344905D}" id="{7AA1EB78-883F-4E5F-AADF-E6E559751134}">
    <text>Earnings per Share (EPS) of past year</text>
  </threadedComment>
  <threadedComment ref="Y10" dT="2021-04-30T15:40:01.87" personId="{C4054291-96BB-4AF9-BB96-97EFD344905D}" id="{2F525D67-5EDC-4A69-9956-64A98B9514AB}">
    <text>Minimum of Equity Growth Rate of past 10yrs &amp; Analist Growth Rate</text>
  </threadedComment>
  <threadedComment ref="Y12" dT="2021-04-30T15:40:10.29" personId="{C4054291-96BB-4AF9-BB96-97EFD344905D}" id="{DF6E6789-3390-410E-8DBF-C096DFBD91BA}">
    <text>Minimum of 2x Growth Rate &amp; P/E average</text>
  </threadedComment>
  <threadedComment ref="Y13" dT="2021-04-30T15:39:51.99" personId="{C4054291-96BB-4AF9-BB96-97EFD344905D}" id="{480AE939-5C02-45AD-9CAF-594C3D69B124}">
    <text>Earnings per Share (EPS) of past year</text>
  </threadedComment>
  <threadedComment ref="Y17" dT="2021-04-30T15:40:01.87" personId="{C4054291-96BB-4AF9-BB96-97EFD344905D}" id="{C56031B3-193C-427C-848A-2A42F09B751B}">
    <text>Minimum of Equity Growth Rate of past 10yrs &amp; Analist Growth Rate</text>
  </threadedComment>
  <threadedComment ref="Y19" dT="2021-04-30T15:40:10.29" personId="{C4054291-96BB-4AF9-BB96-97EFD344905D}" id="{2EF5E8D8-11AF-4D40-AC0C-F68E4CA0ED9D}">
    <text>Minimum of 2x Growth Rate &amp; P/E average</text>
  </threadedComment>
  <threadedComment ref="Y20" dT="2021-04-30T15:39:51.99" personId="{C4054291-96BB-4AF9-BB96-97EFD344905D}" id="{EF802442-5B47-4F87-B597-96B8973BF0ED}">
    <text>Earnings per Share (EPS) of past year</text>
  </threadedComment>
</ThreadedComments>
</file>

<file path=xl/threadedComments/threadedComment6.xml><?xml version="1.0" encoding="utf-8"?>
<ThreadedComments xmlns="http://schemas.microsoft.com/office/spreadsheetml/2018/threadedcomments" xmlns:x="http://schemas.openxmlformats.org/spreadsheetml/2006/main">
  <threadedComment ref="Y2" dT="2021-04-30T15:40:01.87" personId="{C4054291-96BB-4AF9-BB96-97EFD344905D}" id="{43534D16-0D77-4AF4-BE43-43F83269A5FD}">
    <text>Minimum of Equity Growth Rate of past 10yrs &amp; Analist Growth Rate</text>
  </threadedComment>
  <threadedComment ref="Y4" dT="2021-04-30T15:40:10.29" personId="{C4054291-96BB-4AF9-BB96-97EFD344905D}" id="{EFAE9212-57EC-44DB-AF4D-C9C363FCF26C}">
    <text>Minimum of 2x Growth Rate &amp; P/E average</text>
  </threadedComment>
  <threadedComment ref="Y5" dT="2021-04-30T15:39:51.99" personId="{C4054291-96BB-4AF9-BB96-97EFD344905D}" id="{02ED4E2A-21D8-470F-8E17-1406E25021FE}">
    <text>Earnings per Share (EPS) of past year</text>
  </threadedComment>
  <threadedComment ref="Y9" dT="2021-04-30T15:40:01.87" personId="{C4054291-96BB-4AF9-BB96-97EFD344905D}" id="{95B3BA2F-ED79-476D-8509-E2F499171489}">
    <text>Minimum of Equity Growth Rate of past 10yrs &amp; Analist Growth Rate</text>
  </threadedComment>
  <threadedComment ref="Y11" dT="2021-04-30T15:40:10.29" personId="{C4054291-96BB-4AF9-BB96-97EFD344905D}" id="{6510AD3D-5988-44A6-9F60-0D4D4DCBEBCE}">
    <text>Minimum of 2x Growth Rate &amp; P/E average</text>
  </threadedComment>
  <threadedComment ref="Y12" dT="2021-04-30T15:39:51.99" personId="{C4054291-96BB-4AF9-BB96-97EFD344905D}" id="{26A4AFDD-AD1A-48A0-A496-1AB5AA60F700}">
    <text>Earnings per Share (EPS) of past year</text>
  </threadedComment>
  <threadedComment ref="Y16" dT="2021-04-30T15:40:01.87" personId="{C4054291-96BB-4AF9-BB96-97EFD344905D}" id="{807DE49B-F986-4A4E-821A-029C7C33D2BC}">
    <text>Minimum of Equity Growth Rate of past 10yrs &amp; Analist Growth Rate</text>
  </threadedComment>
  <threadedComment ref="Y18" dT="2021-04-30T15:40:10.29" personId="{C4054291-96BB-4AF9-BB96-97EFD344905D}" id="{D9B8B34B-22B9-448F-BACF-6412683E3E79}">
    <text>Minimum of 2x Growth Rate &amp; P/E average</text>
  </threadedComment>
  <threadedComment ref="Y19" dT="2021-04-30T15:39:51.99" personId="{C4054291-96BB-4AF9-BB96-97EFD344905D}" id="{DEA445ED-9495-4035-9281-4284FB497D20}">
    <text>Earnings per Share (EPS) of past year</text>
  </threadedComment>
</ThreadedComments>
</file>

<file path=xl/threadedComments/threadedComment7.xml><?xml version="1.0" encoding="utf-8"?>
<ThreadedComments xmlns="http://schemas.microsoft.com/office/spreadsheetml/2018/threadedcomments" xmlns:x="http://schemas.openxmlformats.org/spreadsheetml/2006/main">
  <threadedComment ref="Y2" dT="2021-04-30T15:40:01.87" personId="{C4054291-96BB-4AF9-BB96-97EFD344905D}" id="{714BD2CC-8114-42E8-B59A-EBE2AB8C119F}">
    <text>Minimum of Equity Growth Rate of past 10yrs &amp; Analist Growth Rate</text>
  </threadedComment>
  <threadedComment ref="Y4" dT="2021-04-30T15:40:10.29" personId="{C4054291-96BB-4AF9-BB96-97EFD344905D}" id="{5C9E6170-B7B4-454A-B7FB-2F8FB267465F}">
    <text>Minimum of 2x Growth Rate &amp; P/E average</text>
  </threadedComment>
  <threadedComment ref="Y5" dT="2021-04-30T15:39:51.99" personId="{C4054291-96BB-4AF9-BB96-97EFD344905D}" id="{BAB2911E-99BF-47B4-B009-37DCA55568CF}">
    <text>Earnings per Share (EPS) of past year</text>
  </threadedComment>
  <threadedComment ref="Y10" dT="2021-04-30T15:40:01.87" personId="{C4054291-96BB-4AF9-BB96-97EFD344905D}" id="{9F55A96A-DDD4-4107-B1D0-84A5E376F533}">
    <text>Minimum of Equity Growth Rate of past 10yrs &amp; Analist Growth Rate</text>
  </threadedComment>
  <threadedComment ref="Y12" dT="2021-04-30T15:40:10.29" personId="{C4054291-96BB-4AF9-BB96-97EFD344905D}" id="{1589B25C-7675-4DE6-866C-6627833A0146}">
    <text>Minimum of 2x Growth Rate &amp; P/E average</text>
  </threadedComment>
  <threadedComment ref="Y13" dT="2021-04-30T15:39:51.99" personId="{C4054291-96BB-4AF9-BB96-97EFD344905D}" id="{CA8CB314-D581-4C9A-99F0-624C53D4C19B}">
    <text>Earnings per Share (EPS) of past year</text>
  </threadedComment>
  <threadedComment ref="Y17" dT="2021-04-30T15:40:01.87" personId="{C4054291-96BB-4AF9-BB96-97EFD344905D}" id="{2C151CA1-E2F7-4FB8-BC0E-C055AE7048B6}">
    <text>Minimum of Equity Growth Rate of past 10yrs &amp; Analist Growth Rate</text>
  </threadedComment>
  <threadedComment ref="Y19" dT="2021-04-30T15:40:10.29" personId="{C4054291-96BB-4AF9-BB96-97EFD344905D}" id="{B1EECAB6-C27D-4F19-BFB2-D6FA485100F4}">
    <text>Minimum of 2x Growth Rate &amp; P/E average</text>
  </threadedComment>
  <threadedComment ref="Y20" dT="2021-04-30T15:39:51.99" personId="{C4054291-96BB-4AF9-BB96-97EFD344905D}" id="{F7A0A6AB-61BE-4A9B-912F-248A132D0654}">
    <text>Earnings per Share (EPS) of past year</text>
  </threadedComment>
</ThreadedComments>
</file>

<file path=xl/threadedComments/threadedComment8.xml><?xml version="1.0" encoding="utf-8"?>
<ThreadedComments xmlns="http://schemas.microsoft.com/office/spreadsheetml/2018/threadedcomments" xmlns:x="http://schemas.openxmlformats.org/spreadsheetml/2006/main">
  <threadedComment ref="Y2" dT="2021-04-30T15:40:01.87" personId="{C4054291-96BB-4AF9-BB96-97EFD344905D}" id="{E7D9086D-0623-473C-BBE1-70C937D31561}">
    <text>Minimum of Equity Growth Rate of past 10yrs &amp; Analist Growth Rate</text>
  </threadedComment>
  <threadedComment ref="Y4" dT="2021-04-30T15:40:10.29" personId="{C4054291-96BB-4AF9-BB96-97EFD344905D}" id="{A4F82913-DC14-4F71-8C39-676A4E40CC75}">
    <text>Minimum of 2x Growth Rate &amp; P/E average</text>
  </threadedComment>
  <threadedComment ref="Y5" dT="2021-04-30T15:39:51.99" personId="{C4054291-96BB-4AF9-BB96-97EFD344905D}" id="{98CBB229-306F-40D6-9A09-7458CD70C344}">
    <text>Earnings per Share (EPS) of past year</text>
  </threadedComment>
  <threadedComment ref="Y9" dT="2021-04-30T15:40:01.87" personId="{C4054291-96BB-4AF9-BB96-97EFD344905D}" id="{481C7EC8-32FE-4CAE-AB7A-5C14C5619614}">
    <text>Minimum of Equity Growth Rate of past 10yrs &amp; Analist Growth Rate</text>
  </threadedComment>
  <threadedComment ref="Y11" dT="2021-04-30T15:40:10.29" personId="{C4054291-96BB-4AF9-BB96-97EFD344905D}" id="{F5246133-9986-4E41-A5D8-11E60A7E48F6}">
    <text>Minimum of 2x Growth Rate &amp; P/E average</text>
  </threadedComment>
  <threadedComment ref="Y12" dT="2021-04-30T15:39:51.99" personId="{C4054291-96BB-4AF9-BB96-97EFD344905D}" id="{8DB68B9A-3938-4319-AE8E-6E4462D65063}">
    <text>Earnings per Share (EPS) of past year</text>
  </threadedComment>
  <threadedComment ref="Y16" dT="2021-04-30T15:40:01.87" personId="{C4054291-96BB-4AF9-BB96-97EFD344905D}" id="{8DBC05D2-8F6E-4E2A-A269-7884BED74EB1}">
    <text>Minimum of Equity Growth Rate of past 10yrs &amp; Analist Growth Rate</text>
  </threadedComment>
  <threadedComment ref="Y18" dT="2021-04-30T15:40:10.29" personId="{C4054291-96BB-4AF9-BB96-97EFD344905D}" id="{BA3B963A-BD03-4BF7-ADE7-FFE30123056F}">
    <text>Minimum of 2x Growth Rate &amp; P/E average</text>
  </threadedComment>
  <threadedComment ref="Y19" dT="2021-04-30T15:39:51.99" personId="{C4054291-96BB-4AF9-BB96-97EFD344905D}" id="{F100CB3B-0CC8-4EA2-A0D5-E94BF6110DEB}">
    <text>Earnings per Share (EPS) of past year</text>
  </threadedComment>
</ThreadedComments>
</file>

<file path=xl/threadedComments/threadedComment9.xml><?xml version="1.0" encoding="utf-8"?>
<ThreadedComments xmlns="http://schemas.microsoft.com/office/spreadsheetml/2018/threadedcomments" xmlns:x="http://schemas.openxmlformats.org/spreadsheetml/2006/main">
  <threadedComment ref="Y2" dT="2021-04-30T15:40:01.87" personId="{C4054291-96BB-4AF9-BB96-97EFD344905D}" id="{A77BA8A4-1566-4907-A8B9-A29BDC130E1A}">
    <text>Minimum of Equity Growth Rate of past 10yrs &amp; Analist Growth Rate</text>
  </threadedComment>
  <threadedComment ref="Y4" dT="2021-04-30T15:40:10.29" personId="{C4054291-96BB-4AF9-BB96-97EFD344905D}" id="{FAE32A62-477F-47EF-BE8A-4013905396AF}">
    <text>Minimum of 2x Growth Rate &amp; P/E average</text>
  </threadedComment>
  <threadedComment ref="Y5" dT="2021-04-30T15:39:51.99" personId="{C4054291-96BB-4AF9-BB96-97EFD344905D}" id="{30DE680B-8939-42D0-82F6-B2EC77A2A658}">
    <text>Earnings per Share (EPS) of past year</text>
  </threadedComment>
  <threadedComment ref="Y10" dT="2021-04-30T15:40:01.87" personId="{C4054291-96BB-4AF9-BB96-97EFD344905D}" id="{51EEBF42-CC5B-4B57-AF92-E48D3E1D54AC}">
    <text>Minimum of Equity Growth Rate of past 10yrs &amp; Analist Growth Rate</text>
  </threadedComment>
  <threadedComment ref="Y12" dT="2021-04-30T15:40:10.29" personId="{C4054291-96BB-4AF9-BB96-97EFD344905D}" id="{83FC6A46-2A54-4A3B-A65F-B66CAB4CF25E}">
    <text>Minimum of 2x Growth Rate &amp; P/E average</text>
  </threadedComment>
  <threadedComment ref="Y13" dT="2021-04-30T15:39:51.99" personId="{C4054291-96BB-4AF9-BB96-97EFD344905D}" id="{BB8BFAB0-133D-47C7-AA00-418A39EDFF3C}">
    <text>Earnings per Share (EPS) of past year</text>
  </threadedComment>
  <threadedComment ref="Y17" dT="2021-04-30T15:40:01.87" personId="{C4054291-96BB-4AF9-BB96-97EFD344905D}" id="{5A1A736C-715A-4B39-A360-6B86768681EE}">
    <text>Minimum of Equity Growth Rate of past 10yrs &amp; Analist Growth Rate</text>
  </threadedComment>
  <threadedComment ref="Y19" dT="2021-04-30T15:40:10.29" personId="{C4054291-96BB-4AF9-BB96-97EFD344905D}" id="{5DCE3CB6-3AEA-4746-8E43-414933544552}">
    <text>Minimum of 2x Growth Rate &amp; P/E average</text>
  </threadedComment>
  <threadedComment ref="Y20" dT="2021-04-30T15:39:51.99" personId="{C4054291-96BB-4AF9-BB96-97EFD344905D}" id="{F4AFFD08-6F49-42CE-A123-78B53E2D913E}">
    <text>Earnings per Share (EPS) of past year</text>
  </threadedComment>
</ThreadedComments>
</file>

<file path=xl/threadedComments/threadedComment10.xml><?xml version="1.0" encoding="utf-8"?>
<ThreadedComments xmlns="http://schemas.microsoft.com/office/spreadsheetml/2018/threadedcomments" xmlns:x="http://schemas.openxmlformats.org/spreadsheetml/2006/main">
  <threadedComment ref="Y2" dT="2021-04-30T15:40:01.87" personId="{C4054291-96BB-4AF9-BB96-97EFD344905D}" id="{49A12664-EDF9-41CE-BE63-DF0736FB698D}">
    <text>Minimum of Equity Growth Rate of past 10yrs &amp; Analist Growth Rate</text>
  </threadedComment>
  <threadedComment ref="Y4" dT="2021-04-30T15:40:10.29" personId="{C4054291-96BB-4AF9-BB96-97EFD344905D}" id="{15993D78-D925-4A28-88FD-143448EC6677}">
    <text>Minimum of 2x Growth Rate &amp; P/E average</text>
  </threadedComment>
  <threadedComment ref="Y5" dT="2021-04-30T15:39:51.99" personId="{C4054291-96BB-4AF9-BB96-97EFD344905D}" id="{03972004-F77E-42B1-9EC1-417AA60E7D37}">
    <text>Earnings per Share (EPS) of past year</text>
  </threadedComment>
  <threadedComment ref="Y9" dT="2021-04-30T15:40:01.87" personId="{C4054291-96BB-4AF9-BB96-97EFD344905D}" id="{86F7562E-AA03-4145-98C1-05D14E2C1936}">
    <text>Minimum of Equity Growth Rate of past 10yrs &amp; Analist Growth Rate</text>
  </threadedComment>
  <threadedComment ref="Y11" dT="2021-04-30T15:40:10.29" personId="{C4054291-96BB-4AF9-BB96-97EFD344905D}" id="{128DE2A3-311A-4FF2-8DC5-11FFF6FB4023}">
    <text>Minimum of 2x Growth Rate &amp; P/E average</text>
  </threadedComment>
  <threadedComment ref="Y12" dT="2021-04-30T15:39:51.99" personId="{C4054291-96BB-4AF9-BB96-97EFD344905D}" id="{89258A9C-E1F6-4AB9-A967-E5780A189D86}">
    <text>Earnings per Share (EPS) of past year</text>
  </threadedComment>
  <threadedComment ref="Y16" dT="2021-04-30T15:40:01.87" personId="{C4054291-96BB-4AF9-BB96-97EFD344905D}" id="{258853AA-C688-4883-88D6-93504FDDBC3E}">
    <text>Minimum of Equity Growth Rate of past 10yrs &amp; Analist Growth Rate</text>
  </threadedComment>
  <threadedComment ref="Y18" dT="2021-04-30T15:40:10.29" personId="{C4054291-96BB-4AF9-BB96-97EFD344905D}" id="{D5142508-4BAB-4FD4-BC53-3428FDF79909}">
    <text>Minimum of 2x Growth Rate &amp; P/E average</text>
  </threadedComment>
  <threadedComment ref="Y19" dT="2021-04-30T15:39:51.99" personId="{C4054291-96BB-4AF9-BB96-97EFD344905D}" id="{741CA072-215B-4237-96E3-FF5BF180FE07}">
    <text>Earnings per Share (EPS) of past year</text>
  </threadedComment>
</ThreadedComments>
</file>

<file path=xl/threadedComments/threadedComment11.xml><?xml version="1.0" encoding="utf-8"?>
<ThreadedComments xmlns="http://schemas.microsoft.com/office/spreadsheetml/2018/threadedcomments" xmlns:x="http://schemas.openxmlformats.org/spreadsheetml/2006/main">
  <threadedComment ref="Y2" dT="2021-04-30T15:40:01.87" personId="{C4054291-96BB-4AF9-BB96-97EFD344905D}" id="{A87BE7EA-14A7-4899-B2FF-B0E97B3F2029}">
    <text>Minimum of Equity Growth Rate of past 10yrs &amp; Analist Growth Rate</text>
  </threadedComment>
  <threadedComment ref="Y4" dT="2021-04-30T15:40:10.29" personId="{C4054291-96BB-4AF9-BB96-97EFD344905D}" id="{5FF2127F-FF26-44EA-A534-69C94ECFE99F}">
    <text>Minimum of 2x Growth Rate &amp; P/E average</text>
  </threadedComment>
  <threadedComment ref="Y5" dT="2021-04-30T15:39:51.99" personId="{C4054291-96BB-4AF9-BB96-97EFD344905D}" id="{ADFE0149-A1C6-4033-B097-3787D115228E}">
    <text>Earnings per Share (EPS) of past year</text>
  </threadedComment>
  <threadedComment ref="Y10" dT="2021-04-30T15:40:01.87" personId="{C4054291-96BB-4AF9-BB96-97EFD344905D}" id="{12879A5D-A9B2-4ABB-B20A-21FAD2039A95}">
    <text>Minimum of Equity Growth Rate of past 10yrs &amp; Analist Growth Rate</text>
  </threadedComment>
  <threadedComment ref="Y12" dT="2021-04-30T15:40:10.29" personId="{C4054291-96BB-4AF9-BB96-97EFD344905D}" id="{DD6DCD86-651F-43CC-80EF-98A7045B2B2C}">
    <text>Minimum of 2x Growth Rate &amp; P/E average</text>
  </threadedComment>
  <threadedComment ref="Y13" dT="2021-04-30T15:39:51.99" personId="{C4054291-96BB-4AF9-BB96-97EFD344905D}" id="{D30FE36C-021F-416F-BAAF-EA8C3BBE0D28}">
    <text>Earnings per Share (EPS) of past year</text>
  </threadedComment>
  <threadedComment ref="Y17" dT="2021-04-30T15:40:01.87" personId="{C4054291-96BB-4AF9-BB96-97EFD344905D}" id="{C24F6336-DCB5-469A-A677-3996EB0067A5}">
    <text>Minimum of Equity Growth Rate of past 10yrs &amp; Analist Growth Rate</text>
  </threadedComment>
  <threadedComment ref="Y19" dT="2021-04-30T15:40:10.29" personId="{C4054291-96BB-4AF9-BB96-97EFD344905D}" id="{1C2FEA34-E33A-4B81-B318-42877D030A18}">
    <text>Minimum of 2x Growth Rate &amp; P/E average</text>
  </threadedComment>
  <threadedComment ref="Y20" dT="2021-04-30T15:39:51.99" personId="{C4054291-96BB-4AF9-BB96-97EFD344905D}" id="{A31D9FE9-86BD-46FB-8754-B046B2DCEAB0}">
    <text>Earnings per Share (EPS) of past year</text>
  </threadedComment>
</ThreadedComments>
</file>

<file path=xl/threadedComments/threadedComment12.xml><?xml version="1.0" encoding="utf-8"?>
<ThreadedComments xmlns="http://schemas.microsoft.com/office/spreadsheetml/2018/threadedcomments" xmlns:x="http://schemas.openxmlformats.org/spreadsheetml/2006/main">
  <threadedComment ref="Y2" dT="2021-04-30T15:40:01.87" personId="{C4054291-96BB-4AF9-BB96-97EFD344905D}" id="{D136D9C8-88AB-4FEA-BCC8-AAD611FBFBCC}">
    <text>Minimum of Equity Growth Rate of past 10yrs &amp; Analist Growth Rate</text>
  </threadedComment>
  <threadedComment ref="Y4" dT="2021-04-30T15:40:10.29" personId="{C4054291-96BB-4AF9-BB96-97EFD344905D}" id="{3295C635-A798-4D3C-B802-A0997FD16EE2}">
    <text>Minimum of 2x Growth Rate &amp; P/E average</text>
  </threadedComment>
  <threadedComment ref="Y5" dT="2021-04-30T15:39:51.99" personId="{C4054291-96BB-4AF9-BB96-97EFD344905D}" id="{E003361E-3E8A-4C7B-B6FE-478A92F4F12C}">
    <text>Earnings per Share (EPS) of past year</text>
  </threadedComment>
  <threadedComment ref="Y10" dT="2021-04-30T15:40:01.87" personId="{C4054291-96BB-4AF9-BB96-97EFD344905D}" id="{BDC23B2D-7E3E-421D-80C5-78A7DB6EF549}">
    <text>Minimum of Equity Growth Rate of past 10yrs &amp; Analist Growth Rate</text>
  </threadedComment>
  <threadedComment ref="Y12" dT="2021-04-30T15:40:10.29" personId="{C4054291-96BB-4AF9-BB96-97EFD344905D}" id="{5BBBB835-0E1F-419E-843D-1D8FA77E4A9B}">
    <text>Minimum of 2x Growth Rate &amp; P/E average</text>
  </threadedComment>
  <threadedComment ref="Y13" dT="2021-04-30T15:39:51.99" personId="{C4054291-96BB-4AF9-BB96-97EFD344905D}" id="{396D6DCB-7293-47C5-A2CA-491C2CD668B8}">
    <text>Earnings per Share (EPS) of past year</text>
  </threadedComment>
  <threadedComment ref="Y17" dT="2021-04-30T15:40:01.87" personId="{C4054291-96BB-4AF9-BB96-97EFD344905D}" id="{B7BAFB70-6AC9-4920-9055-2F0F6EAA2FB4}">
    <text>Minimum of Equity Growth Rate of past 10yrs &amp; Analist Growth Rate</text>
  </threadedComment>
  <threadedComment ref="Y19" dT="2021-04-30T15:40:10.29" personId="{C4054291-96BB-4AF9-BB96-97EFD344905D}" id="{FB179F8D-8970-446F-A951-0027E72CCE0C}">
    <text>Minimum of 2x Growth Rate &amp; P/E average</text>
  </threadedComment>
  <threadedComment ref="Y20" dT="2021-04-30T15:39:51.99" personId="{C4054291-96BB-4AF9-BB96-97EFD344905D}" id="{29279332-ED92-47E8-936A-86859628AD30}">
    <text>Earnings per Share (EPS) of past year</text>
  </threadedComment>
</ThreadedComments>
</file>

<file path=xl/threadedComments/threadedComment13.xml><?xml version="1.0" encoding="utf-8"?>
<ThreadedComments xmlns="http://schemas.microsoft.com/office/spreadsheetml/2018/threadedcomments" xmlns:x="http://schemas.openxmlformats.org/spreadsheetml/2006/main">
  <threadedComment ref="Y2" dT="2021-04-30T15:40:01.87" personId="{C4054291-96BB-4AF9-BB96-97EFD344905D}" id="{0C3E96D6-BBDD-4558-BF64-72BC4442F9B6}">
    <text>Minimum of Equity Growth Rate of past 10yrs &amp; Analist Growth Rate</text>
  </threadedComment>
  <threadedComment ref="Y4" dT="2021-04-30T15:40:10.29" personId="{C4054291-96BB-4AF9-BB96-97EFD344905D}" id="{E3A9DEAE-E6EF-4FBC-B328-F972306F2AB4}">
    <text>Minimum of 2x Growth Rate &amp; P/E average</text>
  </threadedComment>
  <threadedComment ref="Y5" dT="2021-04-30T15:39:51.99" personId="{C4054291-96BB-4AF9-BB96-97EFD344905D}" id="{A9FAC41C-D2D1-47A4-AD38-B6EDAB54BB41}">
    <text>Earnings per Share (EPS) of past year</text>
  </threadedComment>
  <threadedComment ref="Y9" dT="2021-04-30T15:40:01.87" personId="{C4054291-96BB-4AF9-BB96-97EFD344905D}" id="{BDCFF2C1-F5E9-4F97-AB25-EF84D0232E80}">
    <text>Minimum of Equity Growth Rate of past 10yrs &amp; Analist Growth Rate</text>
  </threadedComment>
  <threadedComment ref="Y11" dT="2021-04-30T15:40:10.29" personId="{C4054291-96BB-4AF9-BB96-97EFD344905D}" id="{3F6E542C-4478-4B7D-8967-CB6234058FF9}">
    <text>Minimum of 2x Growth Rate &amp; P/E average</text>
  </threadedComment>
  <threadedComment ref="Y12" dT="2021-04-30T15:39:51.99" personId="{C4054291-96BB-4AF9-BB96-97EFD344905D}" id="{107DC844-CA1C-446E-B63C-EEA22CB17A97}">
    <text>Earnings per Share (EPS) of past year</text>
  </threadedComment>
  <threadedComment ref="Y16" dT="2021-04-30T15:40:01.87" personId="{C4054291-96BB-4AF9-BB96-97EFD344905D}" id="{DED97648-360D-4B93-8FD6-FB6012D27C4F}">
    <text>Minimum of Equity Growth Rate of past 10yrs &amp; Analist Growth Rate</text>
  </threadedComment>
  <threadedComment ref="Y18" dT="2021-04-30T15:40:10.29" personId="{C4054291-96BB-4AF9-BB96-97EFD344905D}" id="{76A1D6D4-813C-4E81-8211-F015588F08B7}">
    <text>Minimum of 2x Growth Rate &amp; P/E average</text>
  </threadedComment>
  <threadedComment ref="Y19" dT="2021-04-30T15:39:51.99" personId="{C4054291-96BB-4AF9-BB96-97EFD344905D}" id="{48FBFE73-446F-490A-A971-7D7B4D31AEA9}">
    <text>Earnings per Share (EPS) of past year</text>
  </threadedComment>
</ThreadedComments>
</file>

<file path=xl/threadedComments/threadedComment14.xml><?xml version="1.0" encoding="utf-8"?>
<ThreadedComments xmlns="http://schemas.microsoft.com/office/spreadsheetml/2018/threadedcomments" xmlns:x="http://schemas.openxmlformats.org/spreadsheetml/2006/main">
  <threadedComment ref="Y2" dT="2021-04-30T15:40:01.87" personId="{C4054291-96BB-4AF9-BB96-97EFD344905D}" id="{66C5B9DB-3E8F-4CFF-BBC7-C27938B55E69}">
    <text>Minimum of Equity Growth Rate of past 10yrs &amp; Analist Growth Rate</text>
  </threadedComment>
  <threadedComment ref="Y4" dT="2021-04-30T15:40:10.29" personId="{C4054291-96BB-4AF9-BB96-97EFD344905D}" id="{B641A2A3-7762-43EF-9503-B265476567F9}">
    <text>Minimum of 2x Growth Rate &amp; P/E average</text>
  </threadedComment>
  <threadedComment ref="Y5" dT="2021-04-30T15:39:51.99" personId="{C4054291-96BB-4AF9-BB96-97EFD344905D}" id="{E8DBBF3B-BFAB-4EF2-8C9D-614063C0CAF7}">
    <text>Earnings per Share (EPS) of past year</text>
  </threadedComment>
  <threadedComment ref="Y9" dT="2021-04-30T15:40:01.87" personId="{C4054291-96BB-4AF9-BB96-97EFD344905D}" id="{13FE5701-1410-474C-ABF2-1E684D04DC97}">
    <text>Minimum of Equity Growth Rate of past 10yrs &amp; Analist Growth Rate</text>
  </threadedComment>
  <threadedComment ref="Y11" dT="2021-04-30T15:40:10.29" personId="{C4054291-96BB-4AF9-BB96-97EFD344905D}" id="{16A322B8-5694-4BC1-B1DE-A74E72E8DF08}">
    <text>Minimum of 2x Growth Rate &amp; P/E average</text>
  </threadedComment>
  <threadedComment ref="Y12" dT="2021-04-30T15:39:51.99" personId="{C4054291-96BB-4AF9-BB96-97EFD344905D}" id="{C080F989-C04F-4D08-B1D2-22B44E79AE36}">
    <text>Earnings per Share (EPS) of past year</text>
  </threadedComment>
  <threadedComment ref="Y16" dT="2021-04-30T15:40:01.87" personId="{C4054291-96BB-4AF9-BB96-97EFD344905D}" id="{CEA6863A-1DE2-4380-99A5-CD8BCDB79944}">
    <text>Minimum of Equity Growth Rate of past 10yrs &amp; Analist Growth Rate</text>
  </threadedComment>
  <threadedComment ref="Y18" dT="2021-04-30T15:40:10.29" personId="{C4054291-96BB-4AF9-BB96-97EFD344905D}" id="{65F9A26C-06AD-4A2E-927A-644CE3AA1AFA}">
    <text>Minimum of 2x Growth Rate &amp; P/E average</text>
  </threadedComment>
  <threadedComment ref="Y19" dT="2021-04-30T15:39:51.99" personId="{C4054291-96BB-4AF9-BB96-97EFD344905D}" id="{9E16A7ED-3C62-4855-8A15-F31504CC0768}">
    <text>Earnings per Share (EPS) of past year</text>
  </threadedComment>
</ThreadedComments>
</file>

<file path=xl/threadedComments/threadedComment15.xml><?xml version="1.0" encoding="utf-8"?>
<ThreadedComments xmlns="http://schemas.microsoft.com/office/spreadsheetml/2018/threadedcomments" xmlns:x="http://schemas.openxmlformats.org/spreadsheetml/2006/main">
  <threadedComment ref="Y2" dT="2021-04-30T15:40:01.87" personId="{C4054291-96BB-4AF9-BB96-97EFD344905D}" id="{75DF02D3-F414-4866-931A-A6E635EC7848}">
    <text>Minimum of Equity Growth Rate of past 10yrs &amp; Analist Growth Rate</text>
  </threadedComment>
  <threadedComment ref="Y4" dT="2021-04-30T15:40:10.29" personId="{C4054291-96BB-4AF9-BB96-97EFD344905D}" id="{BCA6F05F-BBC1-4B2B-AC0E-B06C6C9B01C1}">
    <text>Minimum of 2x Growth Rate &amp; P/E average</text>
  </threadedComment>
  <threadedComment ref="Y5" dT="2021-04-30T15:39:51.99" personId="{C4054291-96BB-4AF9-BB96-97EFD344905D}" id="{330722E4-9FAF-4B8A-924D-06D98AFC83DB}">
    <text>Earnings per Share (EPS) of past year</text>
  </threadedComment>
  <threadedComment ref="Y9" dT="2021-04-30T15:40:01.87" personId="{C4054291-96BB-4AF9-BB96-97EFD344905D}" id="{3B5C2391-52A1-4020-9CA0-0150EE3DB43F}">
    <text>Minimum of Equity Growth Rate of past 10yrs &amp; Analist Growth Rate</text>
  </threadedComment>
  <threadedComment ref="Y11" dT="2021-04-30T15:40:10.29" personId="{C4054291-96BB-4AF9-BB96-97EFD344905D}" id="{BDB2B2B4-D903-41DB-A277-65B5927A0A12}">
    <text>Minimum of 2x Growth Rate &amp; P/E average</text>
  </threadedComment>
  <threadedComment ref="Y12" dT="2021-04-30T15:39:51.99" personId="{C4054291-96BB-4AF9-BB96-97EFD344905D}" id="{3D2D241D-4F1F-4D5C-8707-84C715F85074}">
    <text>Earnings per Share (EPS) of past year</text>
  </threadedComment>
  <threadedComment ref="Y16" dT="2021-04-30T15:40:01.87" personId="{C4054291-96BB-4AF9-BB96-97EFD344905D}" id="{8F03A71A-3A7A-49DA-9E93-B09E8E450A8D}">
    <text>Minimum of Equity Growth Rate of past 10yrs &amp; Analist Growth Rate</text>
  </threadedComment>
  <threadedComment ref="Y18" dT="2021-04-30T15:40:10.29" personId="{C4054291-96BB-4AF9-BB96-97EFD344905D}" id="{2FBF8C8F-9A5F-4C28-AF26-C0B28D0EBF7F}">
    <text>Minimum of 2x Growth Rate &amp; P/E average</text>
  </threadedComment>
  <threadedComment ref="Y19" dT="2021-04-30T15:39:51.99" personId="{C4054291-96BB-4AF9-BB96-97EFD344905D}" id="{5138B1D2-6385-453C-8D20-133D2D0AAED2}">
    <text>Earnings per Share (EPS) of past year</text>
  </threadedComment>
</ThreadedComments>
</file>

<file path=xl/threadedComments/threadedComment16.xml><?xml version="1.0" encoding="utf-8"?>
<ThreadedComments xmlns="http://schemas.microsoft.com/office/spreadsheetml/2018/threadedcomments" xmlns:x="http://schemas.openxmlformats.org/spreadsheetml/2006/main">
  <threadedComment ref="Y2" dT="2021-04-30T15:40:01.87" personId="{C4054291-96BB-4AF9-BB96-97EFD344905D}" id="{AD6CCDF3-DEF0-4F8F-902D-BB6ED530F305}">
    <text>Minimum of Equity Growth Rate of past 10yrs &amp; Analist Growth Rate</text>
  </threadedComment>
  <threadedComment ref="Y4" dT="2021-04-30T15:40:10.29" personId="{C4054291-96BB-4AF9-BB96-97EFD344905D}" id="{F9DA200C-72F2-4AD8-A173-197535EB1BF2}">
    <text>Minimum of 2x Growth Rate &amp; P/E average</text>
  </threadedComment>
  <threadedComment ref="Y5" dT="2021-04-30T15:39:51.99" personId="{C4054291-96BB-4AF9-BB96-97EFD344905D}" id="{749525B3-FD22-41DD-B4AB-92BFCA6CB9B0}">
    <text>Earnings per Share (EPS) of past year</text>
  </threadedComment>
  <threadedComment ref="Y10" dT="2021-04-30T15:40:01.87" personId="{C4054291-96BB-4AF9-BB96-97EFD344905D}" id="{0D56D0BE-497E-4F5B-91E4-50F09C7EC7A9}">
    <text>Minimum of Equity Growth Rate of past 10yrs &amp; Analist Growth Rate</text>
  </threadedComment>
  <threadedComment ref="Y12" dT="2021-04-30T15:40:10.29" personId="{C4054291-96BB-4AF9-BB96-97EFD344905D}" id="{F27C2470-1C25-4535-9E86-74E08C57C3FA}">
    <text>Minimum of 2x Growth Rate &amp; P/E average</text>
  </threadedComment>
  <threadedComment ref="Y13" dT="2021-04-30T15:39:51.99" personId="{C4054291-96BB-4AF9-BB96-97EFD344905D}" id="{4E7355F7-B4D6-4ED5-888B-D8DF93DB0E1F}">
    <text>Earnings per Share (EPS) of past year</text>
  </threadedComment>
  <threadedComment ref="Y17" dT="2021-04-30T15:40:01.87" personId="{C4054291-96BB-4AF9-BB96-97EFD344905D}" id="{3561C90A-3846-4070-A6E2-B693A3A28C69}">
    <text>Minimum of Equity Growth Rate of past 10yrs &amp; Analist Growth Rate</text>
  </threadedComment>
  <threadedComment ref="Y19" dT="2021-04-30T15:40:10.29" personId="{C4054291-96BB-4AF9-BB96-97EFD344905D}" id="{0A4E814F-1FC4-4206-A91A-FF8605200E34}">
    <text>Minimum of 2x Growth Rate &amp; P/E average</text>
  </threadedComment>
  <threadedComment ref="Y20" dT="2021-04-30T15:39:51.99" personId="{C4054291-96BB-4AF9-BB96-97EFD344905D}" id="{20B1BE0D-A943-463B-BD9D-95CB3E719DA9}">
    <text>Earnings per Share (EPS) of past year</text>
  </threadedComment>
</ThreadedComments>
</file>

<file path=xl/threadedComments/threadedComment17.xml><?xml version="1.0" encoding="utf-8"?>
<ThreadedComments xmlns="http://schemas.microsoft.com/office/spreadsheetml/2018/threadedcomments" xmlns:x="http://schemas.openxmlformats.org/spreadsheetml/2006/main">
  <threadedComment ref="Y2" dT="2021-04-30T15:40:01.87" personId="{C4054291-96BB-4AF9-BB96-97EFD344905D}" id="{75898306-F920-4AC8-89BD-5640135FE6C1}">
    <text>Minimum of Equity Growth Rate of past 10yrs &amp; Analist Growth Rate</text>
  </threadedComment>
  <threadedComment ref="Y4" dT="2021-04-30T15:40:10.29" personId="{C4054291-96BB-4AF9-BB96-97EFD344905D}" id="{69DFBD0E-8099-4999-9A36-08F7A77BC915}">
    <text>Minimum of 2x Growth Rate &amp; P/E average</text>
  </threadedComment>
  <threadedComment ref="Y5" dT="2021-04-30T15:39:51.99" personId="{C4054291-96BB-4AF9-BB96-97EFD344905D}" id="{33C5EBC9-C68C-4C12-98AF-63DCF05A69F9}">
    <text>Earnings per Share (EPS) of past year</text>
  </threadedComment>
  <threadedComment ref="Y10" dT="2021-04-30T15:40:01.87" personId="{C4054291-96BB-4AF9-BB96-97EFD344905D}" id="{CFB4850B-EECC-4E12-8F92-F32F1EF5E98A}">
    <text>Minimum of Equity Growth Rate of past 10yrs &amp; Analist Growth Rate</text>
  </threadedComment>
  <threadedComment ref="Y12" dT="2021-04-30T15:40:10.29" personId="{C4054291-96BB-4AF9-BB96-97EFD344905D}" id="{82196C7D-1F39-499A-9722-D0175DCD0782}">
    <text>Minimum of 2x Growth Rate &amp; P/E average</text>
  </threadedComment>
  <threadedComment ref="Y13" dT="2021-04-30T15:39:51.99" personId="{C4054291-96BB-4AF9-BB96-97EFD344905D}" id="{7808A408-2502-45A6-8FFB-0023968C9F0D}">
    <text>Earnings per Share (EPS) of past year</text>
  </threadedComment>
  <threadedComment ref="Y17" dT="2021-04-30T15:40:01.87" personId="{C4054291-96BB-4AF9-BB96-97EFD344905D}" id="{3E06192E-D44D-4144-BF06-AD4C0B1B24E7}">
    <text>Minimum of Equity Growth Rate of past 10yrs &amp; Analist Growth Rate</text>
  </threadedComment>
  <threadedComment ref="Y19" dT="2021-04-30T15:40:10.29" personId="{C4054291-96BB-4AF9-BB96-97EFD344905D}" id="{34533892-867A-4F96-A126-C3FA9EB66F58}">
    <text>Minimum of 2x Growth Rate &amp; P/E average</text>
  </threadedComment>
  <threadedComment ref="Y20" dT="2021-04-30T15:39:51.99" personId="{C4054291-96BB-4AF9-BB96-97EFD344905D}" id="{CC0CA38D-125E-4677-A450-60A55A11A44E}">
    <text>Earnings per Share (EPS) of past year</text>
  </threadedComment>
</ThreadedComments>
</file>

<file path=xl/threadedComments/threadedComment18.xml><?xml version="1.0" encoding="utf-8"?>
<ThreadedComments xmlns="http://schemas.microsoft.com/office/spreadsheetml/2018/threadedcomments" xmlns:x="http://schemas.openxmlformats.org/spreadsheetml/2006/main">
  <threadedComment ref="Y2" dT="2021-04-30T15:40:01.87" personId="{C4054291-96BB-4AF9-BB96-97EFD344905D}" id="{4668719B-AD31-4192-95EF-BB2D26265626}">
    <text>Minimum of Equity Growth Rate of past 10yrs &amp; Analist Growth Rate</text>
  </threadedComment>
  <threadedComment ref="Y4" dT="2021-04-30T15:40:10.29" personId="{C4054291-96BB-4AF9-BB96-97EFD344905D}" id="{891BEEEC-54E2-4A97-AA36-C20468960E65}">
    <text>Minimum of 2x Growth Rate &amp; P/E average</text>
  </threadedComment>
  <threadedComment ref="Y5" dT="2021-04-30T15:39:51.99" personId="{C4054291-96BB-4AF9-BB96-97EFD344905D}" id="{1CAAB96F-5FD4-4E9E-A4F5-B415F2783018}">
    <text>Earnings per Share (EPS) of past year</text>
  </threadedComment>
  <threadedComment ref="Y10" dT="2021-04-30T15:40:01.87" personId="{C4054291-96BB-4AF9-BB96-97EFD344905D}" id="{8F659FF2-342C-47BB-8A94-CDC2D3BD6D3D}">
    <text>Minimum of Equity Growth Rate of past 10yrs &amp; Analist Growth Rate</text>
  </threadedComment>
  <threadedComment ref="Y12" dT="2021-04-30T15:40:10.29" personId="{C4054291-96BB-4AF9-BB96-97EFD344905D}" id="{95D9256A-9D1C-47E8-A21B-29F3C9222212}">
    <text>Minimum of 2x Growth Rate &amp; P/E average</text>
  </threadedComment>
  <threadedComment ref="Y13" dT="2021-04-30T15:39:51.99" personId="{C4054291-96BB-4AF9-BB96-97EFD344905D}" id="{86571361-A586-4185-9887-79AEFE57BF9F}">
    <text>Earnings per Share (EPS) of past year</text>
  </threadedComment>
  <threadedComment ref="Y17" dT="2021-04-30T15:40:01.87" personId="{C4054291-96BB-4AF9-BB96-97EFD344905D}" id="{942FB8B0-9E23-4B74-8DC1-202821656564}">
    <text>Minimum of Equity Growth Rate of past 10yrs &amp; Analist Growth Rate</text>
  </threadedComment>
  <threadedComment ref="Y19" dT="2021-04-30T15:40:10.29" personId="{C4054291-96BB-4AF9-BB96-97EFD344905D}" id="{0C1772AA-431D-4D66-9004-F2F7887A9417}">
    <text>Minimum of 2x Growth Rate &amp; P/E average</text>
  </threadedComment>
  <threadedComment ref="Y20" dT="2021-04-30T15:39:51.99" personId="{C4054291-96BB-4AF9-BB96-97EFD344905D}" id="{38210693-116C-4C21-A527-C141F0333AED}">
    <text>Earnings per Share (EPS) of past year</text>
  </threadedComment>
</ThreadedComments>
</file>

<file path=xl/threadedComments/threadedComment19.xml><?xml version="1.0" encoding="utf-8"?>
<ThreadedComments xmlns="http://schemas.microsoft.com/office/spreadsheetml/2018/threadedcomments" xmlns:x="http://schemas.openxmlformats.org/spreadsheetml/2006/main">
  <threadedComment ref="Y2" dT="2021-04-30T15:40:01.87" personId="{C4054291-96BB-4AF9-BB96-97EFD344905D}" id="{888DE800-3412-4EB4-AABB-308B23D5B2DB}">
    <text>Minimum of Equity Growth Rate of past 10yrs &amp; Analist Growth Rate</text>
  </threadedComment>
  <threadedComment ref="Y4" dT="2021-04-30T15:40:10.29" personId="{C4054291-96BB-4AF9-BB96-97EFD344905D}" id="{27329E15-F8B9-4FCE-BC70-F1EAC607C827}">
    <text>Minimum of 2x Growth Rate &amp; P/E average</text>
  </threadedComment>
  <threadedComment ref="Y5" dT="2021-04-30T15:39:51.99" personId="{C4054291-96BB-4AF9-BB96-97EFD344905D}" id="{FEFFE087-56EC-4B5C-A261-FE0725A1343A}">
    <text>Earnings per Share (EPS) of past year</text>
  </threadedComment>
  <threadedComment ref="Y9" dT="2021-04-30T15:40:01.87" personId="{C4054291-96BB-4AF9-BB96-97EFD344905D}" id="{47D01F90-8175-409E-93BE-35EC41B2E601}">
    <text>Minimum of Equity Growth Rate of past 10yrs &amp; Analist Growth Rate</text>
  </threadedComment>
  <threadedComment ref="Y11" dT="2021-04-30T15:40:10.29" personId="{C4054291-96BB-4AF9-BB96-97EFD344905D}" id="{572E86DA-026D-46E0-9868-820F5C2B0EBA}">
    <text>Minimum of 2x Growth Rate &amp; P/E average</text>
  </threadedComment>
  <threadedComment ref="Y12" dT="2021-04-30T15:39:51.99" personId="{C4054291-96BB-4AF9-BB96-97EFD344905D}" id="{587D9198-9ED2-463A-978D-58F5CEDB30F9}">
    <text>Earnings per Share (EPS) of past year</text>
  </threadedComment>
  <threadedComment ref="Y16" dT="2021-04-30T15:40:01.87" personId="{C4054291-96BB-4AF9-BB96-97EFD344905D}" id="{6CACCB08-4C0D-4A0F-9055-4BF205A9BB9A}">
    <text>Minimum of Equity Growth Rate of past 10yrs &amp; Analist Growth Rate</text>
  </threadedComment>
  <threadedComment ref="Y18" dT="2021-04-30T15:40:10.29" personId="{C4054291-96BB-4AF9-BB96-97EFD344905D}" id="{0C48367C-78FC-4E8F-85E0-D427D53885B0}">
    <text>Minimum of 2x Growth Rate &amp; P/E average</text>
  </threadedComment>
  <threadedComment ref="Y19" dT="2021-04-30T15:39:51.99" personId="{C4054291-96BB-4AF9-BB96-97EFD344905D}" id="{D354BA9E-3F20-4C69-8513-BD6EC9785AD0}">
    <text>Earnings per Share (EPS) of past year</text>
  </threadedComment>
</ThreadedComments>
</file>

<file path=xl/threadedComments/threadedComment20.xml><?xml version="1.0" encoding="utf-8"?>
<ThreadedComments xmlns="http://schemas.microsoft.com/office/spreadsheetml/2018/threadedcomments" xmlns:x="http://schemas.openxmlformats.org/spreadsheetml/2006/main">
  <threadedComment ref="Y2" dT="2021-04-30T15:40:01.87" personId="{C4054291-96BB-4AF9-BB96-97EFD344905D}" id="{8B7F63D0-DE47-4FC6-B4D4-2FE27A1969A0}">
    <text>Minimum of Equity Growth Rate of past 10yrs &amp; Analist Growth Rate</text>
  </threadedComment>
  <threadedComment ref="Y4" dT="2021-04-30T15:40:10.29" personId="{C4054291-96BB-4AF9-BB96-97EFD344905D}" id="{28DE99AD-ECA0-4FE9-83A1-703F77A2B150}">
    <text>Minimum of 2x Growth Rate &amp; P/E average</text>
  </threadedComment>
  <threadedComment ref="Y5" dT="2021-04-30T15:39:51.99" personId="{C4054291-96BB-4AF9-BB96-97EFD344905D}" id="{38EA717C-FFE6-4C47-AA06-E6C6DFEB9A1E}">
    <text>Earnings per Share (EPS) of past year</text>
  </threadedComment>
  <threadedComment ref="Y9" dT="2021-04-30T15:40:01.87" personId="{C4054291-96BB-4AF9-BB96-97EFD344905D}" id="{8B5A8DDF-C8AD-40E4-A044-EAB0EF2FBE39}">
    <text>Minimum of Equity Growth Rate of past 10yrs &amp; Analist Growth Rate</text>
  </threadedComment>
  <threadedComment ref="Y11" dT="2021-04-30T15:40:10.29" personId="{C4054291-96BB-4AF9-BB96-97EFD344905D}" id="{D17CED78-A3BE-45A1-925A-FCBF1E10E123}">
    <text>Minimum of 2x Growth Rate &amp; P/E average</text>
  </threadedComment>
  <threadedComment ref="Y12" dT="2021-04-30T15:39:51.99" personId="{C4054291-96BB-4AF9-BB96-97EFD344905D}" id="{24ABB81E-3425-4FC5-9161-179F7B052BB3}">
    <text>Earnings per Share (EPS) of past year</text>
  </threadedComment>
  <threadedComment ref="Y16" dT="2021-04-30T15:40:01.87" personId="{C4054291-96BB-4AF9-BB96-97EFD344905D}" id="{884609F6-719C-4BCE-B198-D331B2B66EE2}">
    <text>Minimum of Equity Growth Rate of past 10yrs &amp; Analist Growth Rate</text>
  </threadedComment>
  <threadedComment ref="Y18" dT="2021-04-30T15:40:10.29" personId="{C4054291-96BB-4AF9-BB96-97EFD344905D}" id="{8EB3B612-2BE7-41A8-9430-A2CA0E5CAB5F}">
    <text>Minimum of 2x Growth Rate &amp; P/E average</text>
  </threadedComment>
  <threadedComment ref="Y19" dT="2021-04-30T15:39:51.99" personId="{C4054291-96BB-4AF9-BB96-97EFD344905D}" id="{96C451D8-6286-4389-BFE5-09E6C7ADFCA1}">
    <text>Earnings per Share (EPS) of past year</text>
  </threadedComment>
</ThreadedComments>
</file>

<file path=xl/threadedComments/threadedComment21.xml><?xml version="1.0" encoding="utf-8"?>
<ThreadedComments xmlns="http://schemas.microsoft.com/office/spreadsheetml/2018/threadedcomments" xmlns:x="http://schemas.openxmlformats.org/spreadsheetml/2006/main">
  <threadedComment ref="Y2" dT="2021-04-30T15:40:01.87" personId="{C4054291-96BB-4AF9-BB96-97EFD344905D}" id="{9395F219-1D91-4AEE-A57F-61CE2CD4F90A}">
    <text>Minimum of Equity Growth Rate of past 10yrs &amp; Analist Growth Rate</text>
  </threadedComment>
  <threadedComment ref="Y4" dT="2021-04-30T15:40:10.29" personId="{C4054291-96BB-4AF9-BB96-97EFD344905D}" id="{78E125BB-C595-4F46-B52C-737FB013BBA7}">
    <text>Minimum of 2x Growth Rate &amp; P/E average</text>
  </threadedComment>
  <threadedComment ref="Y5" dT="2021-04-30T15:39:51.99" personId="{C4054291-96BB-4AF9-BB96-97EFD344905D}" id="{97F97F06-C100-4449-A700-7637877D0EA7}">
    <text>Earnings per Share (EPS) of past year</text>
  </threadedComment>
  <threadedComment ref="Y9" dT="2021-04-30T15:40:01.87" personId="{C4054291-96BB-4AF9-BB96-97EFD344905D}" id="{99E6B377-7F2D-4327-8CB2-9E5F16175FF7}">
    <text>Minimum of Equity Growth Rate of past 10yrs &amp; Analist Growth Rate</text>
  </threadedComment>
  <threadedComment ref="Y11" dT="2021-04-30T15:40:10.29" personId="{C4054291-96BB-4AF9-BB96-97EFD344905D}" id="{409F3735-3405-44AB-8B45-BB44C908AB97}">
    <text>Minimum of 2x Growth Rate &amp; P/E average</text>
  </threadedComment>
  <threadedComment ref="Y12" dT="2021-04-30T15:39:51.99" personId="{C4054291-96BB-4AF9-BB96-97EFD344905D}" id="{9D61C2B4-578C-4A11-8B15-24D31EF2B173}">
    <text>Earnings per Share (EPS) of past year</text>
  </threadedComment>
  <threadedComment ref="Y16" dT="2021-04-30T15:40:01.87" personId="{C4054291-96BB-4AF9-BB96-97EFD344905D}" id="{34D3FCCA-FA60-41C3-9E0F-7A88BCEC3953}">
    <text>Minimum of Equity Growth Rate of past 10yrs &amp; Analist Growth Rate</text>
  </threadedComment>
  <threadedComment ref="Y18" dT="2021-04-30T15:40:10.29" personId="{C4054291-96BB-4AF9-BB96-97EFD344905D}" id="{52407E69-31ED-440A-B208-912286FF3D46}">
    <text>Minimum of 2x Growth Rate &amp; P/E average</text>
  </threadedComment>
  <threadedComment ref="Y19" dT="2021-04-30T15:39:51.99" personId="{C4054291-96BB-4AF9-BB96-97EFD344905D}" id="{BD0D69FF-5BF1-4C48-9E51-6FA50F0E4989}">
    <text>Earnings per Share (EPS) of past year</text>
  </threadedComment>
</ThreadedComments>
</file>

<file path=xl/threadedComments/threadedComment22.xml><?xml version="1.0" encoding="utf-8"?>
<ThreadedComments xmlns="http://schemas.microsoft.com/office/spreadsheetml/2018/threadedcomments" xmlns:x="http://schemas.openxmlformats.org/spreadsheetml/2006/main">
  <threadedComment ref="Y2" dT="2021-04-30T15:40:01.87" personId="{C4054291-96BB-4AF9-BB96-97EFD344905D}" id="{537E15E6-F8D2-4CC0-AA36-1E46F2A245C6}">
    <text>Minimum of Equity Growth Rate of past 10yrs &amp; Analist Growth Rate</text>
  </threadedComment>
  <threadedComment ref="Y4" dT="2021-04-30T15:40:10.29" personId="{C4054291-96BB-4AF9-BB96-97EFD344905D}" id="{82F04860-DE85-4F04-87E9-166F2A659610}">
    <text>Minimum of 2x Growth Rate &amp; P/E average</text>
  </threadedComment>
  <threadedComment ref="Y5" dT="2021-04-30T15:39:51.99" personId="{C4054291-96BB-4AF9-BB96-97EFD344905D}" id="{D466E283-E52B-4EBC-BAF7-DBD4E44CC400}">
    <text>Earnings per Share (EPS) of past year</text>
  </threadedComment>
  <threadedComment ref="Y9" dT="2021-04-30T15:40:01.87" personId="{C4054291-96BB-4AF9-BB96-97EFD344905D}" id="{B010AA52-D3E8-4903-A48B-29FC13CC8056}">
    <text>Minimum of Equity Growth Rate of past 10yrs &amp; Analist Growth Rate</text>
  </threadedComment>
  <threadedComment ref="Y11" dT="2021-04-30T15:40:10.29" personId="{C4054291-96BB-4AF9-BB96-97EFD344905D}" id="{8F81FF75-B8EE-4EE6-B094-D96F6C14315A}">
    <text>Minimum of 2x Growth Rate &amp; P/E average</text>
  </threadedComment>
  <threadedComment ref="Y12" dT="2021-04-30T15:39:51.99" personId="{C4054291-96BB-4AF9-BB96-97EFD344905D}" id="{76186BBB-644D-49AA-A407-8E8C461C2F05}">
    <text>Earnings per Share (EPS) of past year</text>
  </threadedComment>
  <threadedComment ref="Y16" dT="2021-04-30T15:40:01.87" personId="{C4054291-96BB-4AF9-BB96-97EFD344905D}" id="{177B4077-EBB0-4A31-9D72-591F10C210C2}">
    <text>Minimum of Equity Growth Rate of past 10yrs &amp; Analist Growth Rate</text>
  </threadedComment>
  <threadedComment ref="Y18" dT="2021-04-30T15:40:10.29" personId="{C4054291-96BB-4AF9-BB96-97EFD344905D}" id="{1FF07A8E-E8A5-4276-A42B-7370A053FA13}">
    <text>Minimum of 2x Growth Rate &amp; P/E average</text>
  </threadedComment>
  <threadedComment ref="Y19" dT="2021-04-30T15:39:51.99" personId="{C4054291-96BB-4AF9-BB96-97EFD344905D}" id="{C8CA235C-A8BE-4EA3-8D46-3E2137C61485}">
    <text>Earnings per Share (EPS) of past year</text>
  </threadedComment>
</ThreadedComments>
</file>

<file path=xl/threadedComments/threadedComment23.xml><?xml version="1.0" encoding="utf-8"?>
<ThreadedComments xmlns="http://schemas.microsoft.com/office/spreadsheetml/2018/threadedcomments" xmlns:x="http://schemas.openxmlformats.org/spreadsheetml/2006/main">
  <threadedComment ref="Y2" dT="2021-04-30T15:40:01.87" personId="{C4054291-96BB-4AF9-BB96-97EFD344905D}" id="{8B909BBB-C5E4-4BEA-B81A-4675DE2DF651}">
    <text>Minimum of Equity Growth Rate of past 10yrs &amp; Analist Growth Rate</text>
  </threadedComment>
  <threadedComment ref="Y4" dT="2021-04-30T15:40:10.29" personId="{C4054291-96BB-4AF9-BB96-97EFD344905D}" id="{B4762A93-ED4E-4E1F-BAE2-5200448A3ED2}">
    <text>Minimum of 2x Growth Rate &amp; P/E average</text>
  </threadedComment>
  <threadedComment ref="Y5" dT="2021-04-30T15:39:51.99" personId="{C4054291-96BB-4AF9-BB96-97EFD344905D}" id="{21450920-B4F2-41E0-BC0B-80FE5A2C2EF3}">
    <text>Earnings per Share (EPS) of past year</text>
  </threadedComment>
  <threadedComment ref="Y10" dT="2021-04-30T15:40:01.87" personId="{C4054291-96BB-4AF9-BB96-97EFD344905D}" id="{EB46E929-D654-48B4-A497-7BCF79092CCC}">
    <text>Minimum of Equity Growth Rate of past 10yrs &amp; Analist Growth Rate</text>
  </threadedComment>
  <threadedComment ref="Y12" dT="2021-04-30T15:40:10.29" personId="{C4054291-96BB-4AF9-BB96-97EFD344905D}" id="{406BB21B-F9A6-48C3-ACC3-644B32B10666}">
    <text>Minimum of 2x Growth Rate &amp; P/E average</text>
  </threadedComment>
  <threadedComment ref="Y13" dT="2021-04-30T15:39:51.99" personId="{C4054291-96BB-4AF9-BB96-97EFD344905D}" id="{7E84DA50-1D95-4A54-A7ED-AEC9E36A20C1}">
    <text>Earnings per Share (EPS) of past year</text>
  </threadedComment>
  <threadedComment ref="Y17" dT="2021-04-30T15:40:01.87" personId="{C4054291-96BB-4AF9-BB96-97EFD344905D}" id="{685818EF-730B-498E-90F1-DCF11491561B}">
    <text>Minimum of Equity Growth Rate of past 10yrs &amp; Analist Growth Rate</text>
  </threadedComment>
  <threadedComment ref="Y19" dT="2021-04-30T15:40:10.29" personId="{C4054291-96BB-4AF9-BB96-97EFD344905D}" id="{CE8A297D-C4A5-49AE-BEC8-2A7787C8F5BC}">
    <text>Minimum of 2x Growth Rate &amp; P/E average</text>
  </threadedComment>
  <threadedComment ref="Y20" dT="2021-04-30T15:39:51.99" personId="{C4054291-96BB-4AF9-BB96-97EFD344905D}" id="{F10B6277-E3F2-491B-8B01-ABA5FFC191FE}">
    <text>Earnings per Share (EPS) of past year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rinterSettings" Target="../printerSettings/printerSettings1.bin"/><Relationship Id="rId7" Type="http://schemas.openxmlformats.org/officeDocument/2006/relationships/table" Target="../tables/table3.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THO?w=941" TargetMode="External"/><Relationship Id="rId6" Type="http://schemas.openxmlformats.org/officeDocument/2006/relationships/table" Target="../tables/table2.xml"/><Relationship Id="rId11" Type="http://schemas.microsoft.com/office/2017/10/relationships/threadedComment" Target="../threadedComments/threadedComment1.xml"/><Relationship Id="rId5" Type="http://schemas.openxmlformats.org/officeDocument/2006/relationships/vmlDrawing" Target="../drawings/vmlDrawing1.vml"/><Relationship Id="rId10" Type="http://schemas.openxmlformats.org/officeDocument/2006/relationships/comments" Target="../comments1.xml"/><Relationship Id="rId4" Type="http://schemas.openxmlformats.org/officeDocument/2006/relationships/drawing" Target="../drawings/drawing1.xml"/><Relationship Id="rId9" Type="http://schemas.openxmlformats.org/officeDocument/2006/relationships/table" Target="../tables/table5.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printerSettings" Target="../printerSettings/printerSettings2.bin"/><Relationship Id="rId7" Type="http://schemas.openxmlformats.org/officeDocument/2006/relationships/table" Target="../tables/table7.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adbe?w=1903" TargetMode="External"/><Relationship Id="rId6" Type="http://schemas.openxmlformats.org/officeDocument/2006/relationships/table" Target="../tables/table6.xml"/><Relationship Id="rId11" Type="http://schemas.microsoft.com/office/2017/10/relationships/threadedComment" Target="../threadedComments/threadedComment2.xml"/><Relationship Id="rId5" Type="http://schemas.openxmlformats.org/officeDocument/2006/relationships/vmlDrawing" Target="../drawings/vmlDrawing2.vml"/><Relationship Id="rId10" Type="http://schemas.openxmlformats.org/officeDocument/2006/relationships/comments" Target="../comments2.xml"/><Relationship Id="rId4" Type="http://schemas.openxmlformats.org/officeDocument/2006/relationships/drawing" Target="../drawings/drawing2.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printerSettings" Target="../printerSettings/printerSettings3.bin"/><Relationship Id="rId7" Type="http://schemas.openxmlformats.org/officeDocument/2006/relationships/table" Target="../tables/table11.xml"/><Relationship Id="rId2" Type="http://schemas.openxmlformats.org/officeDocument/2006/relationships/hyperlink" Target="https://www.stock2own.com/stockanalysis/stock/us/amd?w=1903" TargetMode="External"/><Relationship Id="rId1" Type="http://schemas.openxmlformats.org/officeDocument/2006/relationships/hyperlink" Target="https://www.investopedia.com/articles/active-trading/022315/stock-analysis-forecasting-revenue-and-growth.asp" TargetMode="External"/><Relationship Id="rId6" Type="http://schemas.openxmlformats.org/officeDocument/2006/relationships/table" Target="../tables/table10.xml"/><Relationship Id="rId11" Type="http://schemas.microsoft.com/office/2017/10/relationships/threadedComment" Target="../threadedComments/threadedComment3.xml"/><Relationship Id="rId5" Type="http://schemas.openxmlformats.org/officeDocument/2006/relationships/vmlDrawing" Target="../drawings/vmlDrawing3.vml"/><Relationship Id="rId10" Type="http://schemas.openxmlformats.org/officeDocument/2006/relationships/comments" Target="../comments3.xml"/><Relationship Id="rId4" Type="http://schemas.openxmlformats.org/officeDocument/2006/relationships/drawing" Target="../drawings/drawing3.xml"/><Relationship Id="rId9" Type="http://schemas.openxmlformats.org/officeDocument/2006/relationships/table" Target="../tables/table13.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drawing" Target="../drawings/drawing4.xml"/><Relationship Id="rId7" Type="http://schemas.openxmlformats.org/officeDocument/2006/relationships/table" Target="../tables/table16.xml"/><Relationship Id="rId2" Type="http://schemas.openxmlformats.org/officeDocument/2006/relationships/printerSettings" Target="../printerSettings/printerSettings4.bin"/><Relationship Id="rId1" Type="http://schemas.openxmlformats.org/officeDocument/2006/relationships/hyperlink" Target="https://www.investopedia.com/articles/active-trading/022315/stock-analysis-forecasting-revenue-and-growth.asp" TargetMode="External"/><Relationship Id="rId6" Type="http://schemas.openxmlformats.org/officeDocument/2006/relationships/table" Target="../tables/table15.xml"/><Relationship Id="rId5" Type="http://schemas.openxmlformats.org/officeDocument/2006/relationships/table" Target="../tables/table14.xml"/><Relationship Id="rId10" Type="http://schemas.microsoft.com/office/2017/10/relationships/threadedComment" Target="../threadedComments/threadedComment4.xml"/><Relationship Id="rId4" Type="http://schemas.openxmlformats.org/officeDocument/2006/relationships/vmlDrawing" Target="../drawings/vmlDrawing4.vml"/><Relationship Id="rId9"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table" Target="../tables/table21.xml"/><Relationship Id="rId3" Type="http://schemas.openxmlformats.org/officeDocument/2006/relationships/drawing" Target="../drawings/drawing5.xml"/><Relationship Id="rId7" Type="http://schemas.openxmlformats.org/officeDocument/2006/relationships/table" Target="../tables/table20.xml"/><Relationship Id="rId2" Type="http://schemas.openxmlformats.org/officeDocument/2006/relationships/printerSettings" Target="../printerSettings/printerSettings5.bin"/><Relationship Id="rId1" Type="http://schemas.openxmlformats.org/officeDocument/2006/relationships/hyperlink" Target="https://www.investopedia.com/articles/active-trading/022315/stock-analysis-forecasting-revenue-and-growth.asp" TargetMode="External"/><Relationship Id="rId6" Type="http://schemas.openxmlformats.org/officeDocument/2006/relationships/table" Target="../tables/table19.xml"/><Relationship Id="rId5" Type="http://schemas.openxmlformats.org/officeDocument/2006/relationships/table" Target="../tables/table18.xml"/><Relationship Id="rId10" Type="http://schemas.microsoft.com/office/2017/10/relationships/threadedComment" Target="../threadedComments/threadedComment5.xml"/><Relationship Id="rId4" Type="http://schemas.openxmlformats.org/officeDocument/2006/relationships/vmlDrawing" Target="../drawings/vmlDrawing5.vml"/><Relationship Id="rId9" Type="http://schemas.openxmlformats.org/officeDocument/2006/relationships/comments" Target="../comments5.xml"/></Relationships>
</file>

<file path=xl/worksheets/_rels/sheet7.xml.rels><?xml version="1.0" encoding="UTF-8" standalone="yes"?>
<Relationships xmlns="http://schemas.openxmlformats.org/package/2006/relationships"><Relationship Id="rId8" Type="http://schemas.openxmlformats.org/officeDocument/2006/relationships/table" Target="../tables/table25.xml"/><Relationship Id="rId3" Type="http://schemas.openxmlformats.org/officeDocument/2006/relationships/printerSettings" Target="../printerSettings/printerSettings6.bin"/><Relationship Id="rId7" Type="http://schemas.openxmlformats.org/officeDocument/2006/relationships/table" Target="../tables/table24.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NL/ADYEN?w=1903" TargetMode="External"/><Relationship Id="rId6" Type="http://schemas.openxmlformats.org/officeDocument/2006/relationships/table" Target="../tables/table23.xml"/><Relationship Id="rId5" Type="http://schemas.openxmlformats.org/officeDocument/2006/relationships/table" Target="../tables/table22.xml"/><Relationship Id="rId10" Type="http://schemas.microsoft.com/office/2017/10/relationships/threadedComment" Target="../threadedComments/threadedComment6.xml"/><Relationship Id="rId4" Type="http://schemas.openxmlformats.org/officeDocument/2006/relationships/vmlDrawing" Target="../drawings/vmlDrawing6.vml"/><Relationship Id="rId9" Type="http://schemas.openxmlformats.org/officeDocument/2006/relationships/comments" Target="../comments6.xml"/></Relationships>
</file>

<file path=xl/worksheets/_rels/sheet8.xml.rels><?xml version="1.0" encoding="UTF-8" standalone="yes"?>
<Relationships xmlns="http://schemas.openxmlformats.org/package/2006/relationships"><Relationship Id="rId8" Type="http://schemas.openxmlformats.org/officeDocument/2006/relationships/table" Target="../tables/table29.xml"/><Relationship Id="rId3" Type="http://schemas.openxmlformats.org/officeDocument/2006/relationships/drawing" Target="../drawings/drawing6.xml"/><Relationship Id="rId7" Type="http://schemas.openxmlformats.org/officeDocument/2006/relationships/table" Target="../tables/table28.xml"/><Relationship Id="rId2" Type="http://schemas.openxmlformats.org/officeDocument/2006/relationships/printerSettings" Target="../printerSettings/printerSettings7.bin"/><Relationship Id="rId1" Type="http://schemas.openxmlformats.org/officeDocument/2006/relationships/hyperlink" Target="https://www.investopedia.com/articles/active-trading/022315/stock-analysis-forecasting-revenue-and-growth.asp" TargetMode="External"/><Relationship Id="rId6" Type="http://schemas.openxmlformats.org/officeDocument/2006/relationships/table" Target="../tables/table27.xml"/><Relationship Id="rId5" Type="http://schemas.openxmlformats.org/officeDocument/2006/relationships/table" Target="../tables/table26.xml"/><Relationship Id="rId10" Type="http://schemas.microsoft.com/office/2017/10/relationships/threadedComment" Target="../threadedComments/threadedComment7.xml"/><Relationship Id="rId4" Type="http://schemas.openxmlformats.org/officeDocument/2006/relationships/vmlDrawing" Target="../drawings/vmlDrawing7.vml"/><Relationship Id="rId9"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32.xml"/><Relationship Id="rId3" Type="http://schemas.openxmlformats.org/officeDocument/2006/relationships/printerSettings" Target="../printerSettings/printerSettings8.bin"/><Relationship Id="rId7" Type="http://schemas.openxmlformats.org/officeDocument/2006/relationships/table" Target="../tables/table31.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THO?w=941" TargetMode="External"/><Relationship Id="rId6" Type="http://schemas.openxmlformats.org/officeDocument/2006/relationships/table" Target="../tables/table30.xml"/><Relationship Id="rId11" Type="http://schemas.microsoft.com/office/2017/10/relationships/threadedComment" Target="../threadedComments/threadedComment8.xml"/><Relationship Id="rId5" Type="http://schemas.openxmlformats.org/officeDocument/2006/relationships/vmlDrawing" Target="../drawings/vmlDrawing8.vml"/><Relationship Id="rId10" Type="http://schemas.openxmlformats.org/officeDocument/2006/relationships/comments" Target="../comments8.xml"/><Relationship Id="rId4" Type="http://schemas.openxmlformats.org/officeDocument/2006/relationships/drawing" Target="../drawings/drawing7.xml"/><Relationship Id="rId9" Type="http://schemas.openxmlformats.org/officeDocument/2006/relationships/table" Target="../tables/table33.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37.xml"/><Relationship Id="rId3" Type="http://schemas.openxmlformats.org/officeDocument/2006/relationships/drawing" Target="../drawings/drawing8.xml"/><Relationship Id="rId7" Type="http://schemas.openxmlformats.org/officeDocument/2006/relationships/table" Target="../tables/table36.xml"/><Relationship Id="rId2" Type="http://schemas.openxmlformats.org/officeDocument/2006/relationships/printerSettings" Target="../printerSettings/printerSettings9.bin"/><Relationship Id="rId1" Type="http://schemas.openxmlformats.org/officeDocument/2006/relationships/hyperlink" Target="https://www.investopedia.com/articles/active-trading/022315/stock-analysis-forecasting-revenue-and-growth.asp" TargetMode="External"/><Relationship Id="rId6" Type="http://schemas.openxmlformats.org/officeDocument/2006/relationships/table" Target="../tables/table35.xml"/><Relationship Id="rId5" Type="http://schemas.openxmlformats.org/officeDocument/2006/relationships/table" Target="../tables/table34.xml"/><Relationship Id="rId10" Type="http://schemas.microsoft.com/office/2017/10/relationships/threadedComment" Target="../threadedComments/threadedComment9.xml"/><Relationship Id="rId4" Type="http://schemas.openxmlformats.org/officeDocument/2006/relationships/vmlDrawing" Target="../drawings/vmlDrawing9.vml"/><Relationship Id="rId9"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8" Type="http://schemas.openxmlformats.org/officeDocument/2006/relationships/comments" Target="../comments10.xml"/><Relationship Id="rId3" Type="http://schemas.openxmlformats.org/officeDocument/2006/relationships/printerSettings" Target="../printerSettings/printerSettings10.bin"/><Relationship Id="rId7" Type="http://schemas.openxmlformats.org/officeDocument/2006/relationships/table" Target="../tables/table40.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CRM?w=1903" TargetMode="External"/><Relationship Id="rId6" Type="http://schemas.openxmlformats.org/officeDocument/2006/relationships/table" Target="../tables/table39.xml"/><Relationship Id="rId5" Type="http://schemas.openxmlformats.org/officeDocument/2006/relationships/table" Target="../tables/table38.xml"/><Relationship Id="rId4" Type="http://schemas.openxmlformats.org/officeDocument/2006/relationships/vmlDrawing" Target="../drawings/vmlDrawing10.vml"/><Relationship Id="rId9"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3.xml"/><Relationship Id="rId3" Type="http://schemas.openxmlformats.org/officeDocument/2006/relationships/printerSettings" Target="../printerSettings/printerSettings11.bin"/><Relationship Id="rId7" Type="http://schemas.openxmlformats.org/officeDocument/2006/relationships/table" Target="../tables/table42.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THO?w=941" TargetMode="External"/><Relationship Id="rId6" Type="http://schemas.openxmlformats.org/officeDocument/2006/relationships/table" Target="../tables/table41.xml"/><Relationship Id="rId11" Type="http://schemas.microsoft.com/office/2017/10/relationships/threadedComment" Target="../threadedComments/threadedComment11.xml"/><Relationship Id="rId5" Type="http://schemas.openxmlformats.org/officeDocument/2006/relationships/vmlDrawing" Target="../drawings/vmlDrawing11.vml"/><Relationship Id="rId10" Type="http://schemas.openxmlformats.org/officeDocument/2006/relationships/comments" Target="../comments11.xml"/><Relationship Id="rId4" Type="http://schemas.openxmlformats.org/officeDocument/2006/relationships/drawing" Target="../drawings/drawing9.xml"/><Relationship Id="rId9" Type="http://schemas.openxmlformats.org/officeDocument/2006/relationships/table" Target="../tables/table44.xml"/></Relationships>
</file>

<file path=xl/worksheets/_rels/sheet13.xml.rels><?xml version="1.0" encoding="UTF-8" standalone="yes"?>
<Relationships xmlns="http://schemas.openxmlformats.org/package/2006/relationships"><Relationship Id="rId8" Type="http://schemas.openxmlformats.org/officeDocument/2006/relationships/table" Target="../tables/table48.xml"/><Relationship Id="rId3" Type="http://schemas.openxmlformats.org/officeDocument/2006/relationships/drawing" Target="../drawings/drawing10.xml"/><Relationship Id="rId7" Type="http://schemas.openxmlformats.org/officeDocument/2006/relationships/table" Target="../tables/table47.xml"/><Relationship Id="rId2" Type="http://schemas.openxmlformats.org/officeDocument/2006/relationships/printerSettings" Target="../printerSettings/printerSettings12.bin"/><Relationship Id="rId1" Type="http://schemas.openxmlformats.org/officeDocument/2006/relationships/hyperlink" Target="https://www.investopedia.com/articles/active-trading/022315/stock-analysis-forecasting-revenue-and-growth.asp" TargetMode="External"/><Relationship Id="rId6" Type="http://schemas.openxmlformats.org/officeDocument/2006/relationships/table" Target="../tables/table46.xml"/><Relationship Id="rId5" Type="http://schemas.openxmlformats.org/officeDocument/2006/relationships/table" Target="../tables/table45.xml"/><Relationship Id="rId10" Type="http://schemas.microsoft.com/office/2017/10/relationships/threadedComment" Target="../threadedComments/threadedComment12.xml"/><Relationship Id="rId4" Type="http://schemas.openxmlformats.org/officeDocument/2006/relationships/vmlDrawing" Target="../drawings/vmlDrawing12.vml"/><Relationship Id="rId9"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8" Type="http://schemas.openxmlformats.org/officeDocument/2006/relationships/table" Target="../tables/table52.xml"/><Relationship Id="rId3" Type="http://schemas.openxmlformats.org/officeDocument/2006/relationships/printerSettings" Target="../printerSettings/printerSettings13.bin"/><Relationship Id="rId7" Type="http://schemas.openxmlformats.org/officeDocument/2006/relationships/table" Target="../tables/table51.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THO?w=941" TargetMode="External"/><Relationship Id="rId6" Type="http://schemas.openxmlformats.org/officeDocument/2006/relationships/table" Target="../tables/table50.xml"/><Relationship Id="rId5" Type="http://schemas.openxmlformats.org/officeDocument/2006/relationships/table" Target="../tables/table49.xml"/><Relationship Id="rId10" Type="http://schemas.microsoft.com/office/2017/10/relationships/threadedComment" Target="../threadedComments/threadedComment13.xml"/><Relationship Id="rId4" Type="http://schemas.openxmlformats.org/officeDocument/2006/relationships/vmlDrawing" Target="../drawings/vmlDrawing13.vml"/><Relationship Id="rId9"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8" Type="http://schemas.openxmlformats.org/officeDocument/2006/relationships/table" Target="../tables/table56.xml"/><Relationship Id="rId3" Type="http://schemas.openxmlformats.org/officeDocument/2006/relationships/printerSettings" Target="../printerSettings/printerSettings14.bin"/><Relationship Id="rId7" Type="http://schemas.openxmlformats.org/officeDocument/2006/relationships/table" Target="../tables/table55.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THO?w=941" TargetMode="External"/><Relationship Id="rId6" Type="http://schemas.openxmlformats.org/officeDocument/2006/relationships/table" Target="../tables/table54.xml"/><Relationship Id="rId5" Type="http://schemas.openxmlformats.org/officeDocument/2006/relationships/table" Target="../tables/table53.xml"/><Relationship Id="rId10" Type="http://schemas.microsoft.com/office/2017/10/relationships/threadedComment" Target="../threadedComments/threadedComment14.xml"/><Relationship Id="rId4" Type="http://schemas.openxmlformats.org/officeDocument/2006/relationships/vmlDrawing" Target="../drawings/vmlDrawing14.vml"/><Relationship Id="rId9"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8" Type="http://schemas.openxmlformats.org/officeDocument/2006/relationships/table" Target="../tables/table59.xml"/><Relationship Id="rId3" Type="http://schemas.openxmlformats.org/officeDocument/2006/relationships/printerSettings" Target="../printerSettings/printerSettings15.bin"/><Relationship Id="rId7" Type="http://schemas.openxmlformats.org/officeDocument/2006/relationships/table" Target="../tables/table58.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THO?w=941" TargetMode="External"/><Relationship Id="rId6" Type="http://schemas.openxmlformats.org/officeDocument/2006/relationships/table" Target="../tables/table57.xml"/><Relationship Id="rId11" Type="http://schemas.microsoft.com/office/2017/10/relationships/threadedComment" Target="../threadedComments/threadedComment15.xml"/><Relationship Id="rId5" Type="http://schemas.openxmlformats.org/officeDocument/2006/relationships/vmlDrawing" Target="../drawings/vmlDrawing15.vml"/><Relationship Id="rId10" Type="http://schemas.openxmlformats.org/officeDocument/2006/relationships/comments" Target="../comments15.xml"/><Relationship Id="rId4" Type="http://schemas.openxmlformats.org/officeDocument/2006/relationships/drawing" Target="../drawings/drawing11.xml"/><Relationship Id="rId9" Type="http://schemas.openxmlformats.org/officeDocument/2006/relationships/table" Target="../tables/table60.xml"/></Relationships>
</file>

<file path=xl/worksheets/_rels/sheet17.xml.rels><?xml version="1.0" encoding="UTF-8" standalone="yes"?>
<Relationships xmlns="http://schemas.openxmlformats.org/package/2006/relationships"><Relationship Id="rId8" Type="http://schemas.openxmlformats.org/officeDocument/2006/relationships/table" Target="../tables/table63.xml"/><Relationship Id="rId3" Type="http://schemas.openxmlformats.org/officeDocument/2006/relationships/printerSettings" Target="../printerSettings/printerSettings16.bin"/><Relationship Id="rId7" Type="http://schemas.openxmlformats.org/officeDocument/2006/relationships/table" Target="../tables/table62.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THO?w=941" TargetMode="External"/><Relationship Id="rId6" Type="http://schemas.openxmlformats.org/officeDocument/2006/relationships/table" Target="../tables/table61.xml"/><Relationship Id="rId11" Type="http://schemas.microsoft.com/office/2017/10/relationships/threadedComment" Target="../threadedComments/threadedComment16.xml"/><Relationship Id="rId5" Type="http://schemas.openxmlformats.org/officeDocument/2006/relationships/vmlDrawing" Target="../drawings/vmlDrawing16.vml"/><Relationship Id="rId10" Type="http://schemas.openxmlformats.org/officeDocument/2006/relationships/comments" Target="../comments16.xml"/><Relationship Id="rId4" Type="http://schemas.openxmlformats.org/officeDocument/2006/relationships/drawing" Target="../drawings/drawing12.xml"/><Relationship Id="rId9" Type="http://schemas.openxmlformats.org/officeDocument/2006/relationships/table" Target="../tables/table64.xml"/></Relationships>
</file>

<file path=xl/worksheets/_rels/sheet18.xml.rels><?xml version="1.0" encoding="UTF-8" standalone="yes"?>
<Relationships xmlns="http://schemas.openxmlformats.org/package/2006/relationships"><Relationship Id="rId8" Type="http://schemas.openxmlformats.org/officeDocument/2006/relationships/table" Target="../tables/table67.xml"/><Relationship Id="rId3" Type="http://schemas.openxmlformats.org/officeDocument/2006/relationships/printerSettings" Target="../printerSettings/printerSettings17.bin"/><Relationship Id="rId7" Type="http://schemas.openxmlformats.org/officeDocument/2006/relationships/table" Target="../tables/table66.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adbe?w=1903" TargetMode="External"/><Relationship Id="rId6" Type="http://schemas.openxmlformats.org/officeDocument/2006/relationships/table" Target="../tables/table65.xml"/><Relationship Id="rId11" Type="http://schemas.microsoft.com/office/2017/10/relationships/threadedComment" Target="../threadedComments/threadedComment17.xml"/><Relationship Id="rId5" Type="http://schemas.openxmlformats.org/officeDocument/2006/relationships/vmlDrawing" Target="../drawings/vmlDrawing17.vml"/><Relationship Id="rId10" Type="http://schemas.openxmlformats.org/officeDocument/2006/relationships/comments" Target="../comments17.xml"/><Relationship Id="rId4" Type="http://schemas.openxmlformats.org/officeDocument/2006/relationships/drawing" Target="../drawings/drawing13.xml"/><Relationship Id="rId9" Type="http://schemas.openxmlformats.org/officeDocument/2006/relationships/table" Target="../tables/table68.xml"/></Relationships>
</file>

<file path=xl/worksheets/_rels/sheet19.xml.rels><?xml version="1.0" encoding="UTF-8" standalone="yes"?>
<Relationships xmlns="http://schemas.openxmlformats.org/package/2006/relationships"><Relationship Id="rId8" Type="http://schemas.openxmlformats.org/officeDocument/2006/relationships/table" Target="../tables/table71.xml"/><Relationship Id="rId3" Type="http://schemas.openxmlformats.org/officeDocument/2006/relationships/printerSettings" Target="../printerSettings/printerSettings18.bin"/><Relationship Id="rId7" Type="http://schemas.openxmlformats.org/officeDocument/2006/relationships/table" Target="../tables/table70.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THO?w=941" TargetMode="External"/><Relationship Id="rId6" Type="http://schemas.openxmlformats.org/officeDocument/2006/relationships/table" Target="../tables/table69.xml"/><Relationship Id="rId11" Type="http://schemas.microsoft.com/office/2017/10/relationships/threadedComment" Target="../threadedComments/threadedComment18.xml"/><Relationship Id="rId5" Type="http://schemas.openxmlformats.org/officeDocument/2006/relationships/vmlDrawing" Target="../drawings/vmlDrawing18.vml"/><Relationship Id="rId10" Type="http://schemas.openxmlformats.org/officeDocument/2006/relationships/comments" Target="../comments18.xml"/><Relationship Id="rId4" Type="http://schemas.openxmlformats.org/officeDocument/2006/relationships/drawing" Target="../drawings/drawing14.xml"/><Relationship Id="rId9" Type="http://schemas.openxmlformats.org/officeDocument/2006/relationships/table" Target="../tables/table72.xml"/></Relationships>
</file>

<file path=xl/worksheets/_rels/sheet20.xml.rels><?xml version="1.0" encoding="UTF-8" standalone="yes"?>
<Relationships xmlns="http://schemas.openxmlformats.org/package/2006/relationships"><Relationship Id="rId8" Type="http://schemas.openxmlformats.org/officeDocument/2006/relationships/table" Target="../tables/table75.xml"/><Relationship Id="rId3" Type="http://schemas.openxmlformats.org/officeDocument/2006/relationships/printerSettings" Target="../printerSettings/printerSettings19.bin"/><Relationship Id="rId7" Type="http://schemas.openxmlformats.org/officeDocument/2006/relationships/table" Target="../tables/table74.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TSM?w=1903" TargetMode="External"/><Relationship Id="rId6" Type="http://schemas.openxmlformats.org/officeDocument/2006/relationships/table" Target="../tables/table73.xml"/><Relationship Id="rId11" Type="http://schemas.microsoft.com/office/2017/10/relationships/threadedComment" Target="../threadedComments/threadedComment19.xml"/><Relationship Id="rId5" Type="http://schemas.openxmlformats.org/officeDocument/2006/relationships/vmlDrawing" Target="../drawings/vmlDrawing19.vml"/><Relationship Id="rId10" Type="http://schemas.openxmlformats.org/officeDocument/2006/relationships/comments" Target="../comments19.xml"/><Relationship Id="rId4" Type="http://schemas.openxmlformats.org/officeDocument/2006/relationships/drawing" Target="../drawings/drawing15.xml"/><Relationship Id="rId9" Type="http://schemas.openxmlformats.org/officeDocument/2006/relationships/table" Target="../tables/table76.xml"/></Relationships>
</file>

<file path=xl/worksheets/_rels/sheet21.xml.rels><?xml version="1.0" encoding="UTF-8" standalone="yes"?>
<Relationships xmlns="http://schemas.openxmlformats.org/package/2006/relationships"><Relationship Id="rId8" Type="http://schemas.openxmlformats.org/officeDocument/2006/relationships/comments" Target="../comments20.xml"/><Relationship Id="rId3" Type="http://schemas.openxmlformats.org/officeDocument/2006/relationships/printerSettings" Target="../printerSettings/printerSettings20.bin"/><Relationship Id="rId7" Type="http://schemas.openxmlformats.org/officeDocument/2006/relationships/table" Target="../tables/table79.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THO?w=941" TargetMode="External"/><Relationship Id="rId6" Type="http://schemas.openxmlformats.org/officeDocument/2006/relationships/table" Target="../tables/table78.xml"/><Relationship Id="rId5" Type="http://schemas.openxmlformats.org/officeDocument/2006/relationships/table" Target="../tables/table77.xml"/><Relationship Id="rId4" Type="http://schemas.openxmlformats.org/officeDocument/2006/relationships/vmlDrawing" Target="../drawings/vmlDrawing20.vml"/><Relationship Id="rId9" Type="http://schemas.microsoft.com/office/2017/10/relationships/threadedComment" Target="../threadedComments/threadedComment20.xml"/></Relationships>
</file>

<file path=xl/worksheets/_rels/sheet22.xml.rels><?xml version="1.0" encoding="UTF-8" standalone="yes"?>
<Relationships xmlns="http://schemas.openxmlformats.org/package/2006/relationships"><Relationship Id="rId8" Type="http://schemas.openxmlformats.org/officeDocument/2006/relationships/comments" Target="../comments21.xml"/><Relationship Id="rId3" Type="http://schemas.openxmlformats.org/officeDocument/2006/relationships/printerSettings" Target="../printerSettings/printerSettings21.bin"/><Relationship Id="rId7" Type="http://schemas.openxmlformats.org/officeDocument/2006/relationships/table" Target="../tables/table82.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FR/TRI?w=943" TargetMode="External"/><Relationship Id="rId6" Type="http://schemas.openxmlformats.org/officeDocument/2006/relationships/table" Target="../tables/table81.xml"/><Relationship Id="rId5" Type="http://schemas.openxmlformats.org/officeDocument/2006/relationships/table" Target="../tables/table80.xml"/><Relationship Id="rId4" Type="http://schemas.openxmlformats.org/officeDocument/2006/relationships/vmlDrawing" Target="../drawings/vmlDrawing21.vml"/><Relationship Id="rId9" Type="http://schemas.microsoft.com/office/2017/10/relationships/threadedComment" Target="../threadedComments/threadedComment21.xml"/></Relationships>
</file>

<file path=xl/worksheets/_rels/sheet23.xml.rels><?xml version="1.0" encoding="UTF-8" standalone="yes"?>
<Relationships xmlns="http://schemas.openxmlformats.org/package/2006/relationships"><Relationship Id="rId8" Type="http://schemas.openxmlformats.org/officeDocument/2006/relationships/table" Target="../tables/table86.xml"/><Relationship Id="rId3" Type="http://schemas.openxmlformats.org/officeDocument/2006/relationships/printerSettings" Target="../printerSettings/printerSettings22.bin"/><Relationship Id="rId7" Type="http://schemas.openxmlformats.org/officeDocument/2006/relationships/table" Target="../tables/table85.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VEEV?w=1903" TargetMode="External"/><Relationship Id="rId6" Type="http://schemas.openxmlformats.org/officeDocument/2006/relationships/table" Target="../tables/table84.xml"/><Relationship Id="rId5" Type="http://schemas.openxmlformats.org/officeDocument/2006/relationships/table" Target="../tables/table83.xml"/><Relationship Id="rId10" Type="http://schemas.microsoft.com/office/2017/10/relationships/threadedComment" Target="../threadedComments/threadedComment22.xml"/><Relationship Id="rId4" Type="http://schemas.openxmlformats.org/officeDocument/2006/relationships/vmlDrawing" Target="../drawings/vmlDrawing22.vml"/><Relationship Id="rId9"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8" Type="http://schemas.openxmlformats.org/officeDocument/2006/relationships/table" Target="../tables/table89.xml"/><Relationship Id="rId3" Type="http://schemas.openxmlformats.org/officeDocument/2006/relationships/printerSettings" Target="../printerSettings/printerSettings23.bin"/><Relationship Id="rId7" Type="http://schemas.openxmlformats.org/officeDocument/2006/relationships/table" Target="../tables/table88.xml"/><Relationship Id="rId2" Type="http://schemas.openxmlformats.org/officeDocument/2006/relationships/hyperlink" Target="https://www.investopedia.com/articles/active-trading/022315/stock-analysis-forecasting-revenue-and-growth.asp" TargetMode="External"/><Relationship Id="rId1" Type="http://schemas.openxmlformats.org/officeDocument/2006/relationships/hyperlink" Target="https://www.stock2own.com/stockanalysis/stock/us/veev?w=1903" TargetMode="External"/><Relationship Id="rId6" Type="http://schemas.openxmlformats.org/officeDocument/2006/relationships/table" Target="../tables/table87.xml"/><Relationship Id="rId11" Type="http://schemas.microsoft.com/office/2017/10/relationships/threadedComment" Target="../threadedComments/threadedComment23.xml"/><Relationship Id="rId5" Type="http://schemas.openxmlformats.org/officeDocument/2006/relationships/vmlDrawing" Target="../drawings/vmlDrawing23.vml"/><Relationship Id="rId10" Type="http://schemas.openxmlformats.org/officeDocument/2006/relationships/comments" Target="../comments23.xml"/><Relationship Id="rId4" Type="http://schemas.openxmlformats.org/officeDocument/2006/relationships/drawing" Target="../drawings/drawing16.xml"/><Relationship Id="rId9" Type="http://schemas.openxmlformats.org/officeDocument/2006/relationships/table" Target="../tables/table9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11C8D-DFDB-409F-8FB9-FAE9547ED607}">
  <dimension ref="A1:K28"/>
  <sheetViews>
    <sheetView workbookViewId="0">
      <selection activeCell="D9" sqref="D9"/>
    </sheetView>
  </sheetViews>
  <sheetFormatPr defaultRowHeight="15" x14ac:dyDescent="0.25"/>
  <cols>
    <col min="2" max="2" width="9.42578125" customWidth="1"/>
    <col min="3" max="3" width="7.7109375" customWidth="1"/>
    <col min="4" max="4" width="7.7109375" style="95" customWidth="1"/>
    <col min="5" max="5" width="56.42578125" bestFit="1" customWidth="1"/>
    <col min="6" max="6" width="22.42578125" customWidth="1"/>
    <col min="7" max="7" width="43.42578125" bestFit="1" customWidth="1"/>
    <col min="8" max="8" width="9.7109375" bestFit="1" customWidth="1"/>
    <col min="9" max="9" width="14.28515625" customWidth="1"/>
    <col min="10" max="10" width="11.85546875" customWidth="1"/>
    <col min="11" max="11" width="9.42578125" customWidth="1"/>
  </cols>
  <sheetData>
    <row r="1" spans="1:11" x14ac:dyDescent="0.25">
      <c r="A1" t="s">
        <v>74</v>
      </c>
      <c r="B1" t="s">
        <v>80</v>
      </c>
      <c r="C1" t="s">
        <v>75</v>
      </c>
      <c r="D1" s="96" t="s">
        <v>81</v>
      </c>
      <c r="E1" t="s">
        <v>77</v>
      </c>
      <c r="F1" t="s">
        <v>46</v>
      </c>
      <c r="G1" t="s">
        <v>82</v>
      </c>
      <c r="H1" t="s">
        <v>90</v>
      </c>
      <c r="I1" t="s">
        <v>85</v>
      </c>
      <c r="J1" t="s">
        <v>78</v>
      </c>
      <c r="K1" t="s">
        <v>79</v>
      </c>
    </row>
    <row r="2" spans="1:11" x14ac:dyDescent="0.25">
      <c r="A2" t="s">
        <v>83</v>
      </c>
      <c r="B2" t="s">
        <v>84</v>
      </c>
      <c r="C2" t="s">
        <v>84</v>
      </c>
      <c r="D2" s="95" t="s">
        <v>144</v>
      </c>
      <c r="E2" t="e" vm="1">
        <v>#VALUE!</v>
      </c>
      <c r="F2" t="s">
        <v>110</v>
      </c>
      <c r="G2" t="str" cm="1">
        <f t="array" ref="G2">_FV(Table10[[#This Row],[object]],"Industry")</f>
        <v>Beverages</v>
      </c>
      <c r="H2" s="90">
        <v>44805</v>
      </c>
      <c r="I2" s="73">
        <v>2.59</v>
      </c>
      <c r="J2" s="73" cm="1">
        <f t="array" ref="J2">_FV(E2,"Price")</f>
        <v>2.75</v>
      </c>
      <c r="K2" s="80">
        <f t="shared" ref="K2:K23" si="0">1-(I2/J2)</f>
        <v>5.8181818181818223E-2</v>
      </c>
    </row>
    <row r="3" spans="1:11" x14ac:dyDescent="0.25">
      <c r="A3" t="s">
        <v>119</v>
      </c>
      <c r="B3" t="s">
        <v>88</v>
      </c>
      <c r="C3" t="s">
        <v>76</v>
      </c>
      <c r="D3" s="95">
        <v>0.2</v>
      </c>
      <c r="E3" t="e" vm="2">
        <v>#VALUE!</v>
      </c>
      <c r="F3" t="s">
        <v>70</v>
      </c>
      <c r="G3" t="str" cm="1">
        <f t="array" ref="G3">_FV(Table10[[#This Row],[object]],"Industry")</f>
        <v>Financial Technology (Fintech) &amp; Infrastructure</v>
      </c>
      <c r="H3" s="90">
        <v>44595</v>
      </c>
      <c r="I3" s="73">
        <v>1619</v>
      </c>
      <c r="J3" s="73" cm="1">
        <f t="array" ref="J3">_FV(E3,"Price")</f>
        <v>1296.4000000000001</v>
      </c>
      <c r="K3" s="80">
        <f t="shared" si="0"/>
        <v>-0.24884294970688048</v>
      </c>
    </row>
    <row r="4" spans="1:11" x14ac:dyDescent="0.25">
      <c r="A4" t="s">
        <v>91</v>
      </c>
      <c r="B4" t="s">
        <v>88</v>
      </c>
      <c r="C4" t="s">
        <v>88</v>
      </c>
      <c r="D4" s="95" t="s">
        <v>88</v>
      </c>
      <c r="E4" t="e" vm="3">
        <v>#VALUE!</v>
      </c>
      <c r="F4" t="s">
        <v>70</v>
      </c>
      <c r="G4" t="str" cm="1">
        <f t="array" ref="G4">_FV(Table10[[#This Row],[object]],"Industry")</f>
        <v>Semiconductors &amp; Semiconductor Equipment</v>
      </c>
      <c r="H4" s="90">
        <v>44595</v>
      </c>
      <c r="I4" s="73">
        <v>574</v>
      </c>
      <c r="J4" s="73" cm="1">
        <f t="array" ref="J4">_FV(E4,"Price")</f>
        <v>506.8</v>
      </c>
      <c r="K4" s="80">
        <f t="shared" si="0"/>
        <v>-0.13259668508287281</v>
      </c>
    </row>
    <row r="5" spans="1:11" x14ac:dyDescent="0.25">
      <c r="A5" t="s">
        <v>149</v>
      </c>
      <c r="B5" t="s">
        <v>84</v>
      </c>
      <c r="C5" t="s">
        <v>84</v>
      </c>
      <c r="D5" s="95">
        <v>-0.71</v>
      </c>
      <c r="H5" s="90"/>
      <c r="I5" s="73"/>
      <c r="J5" s="73" t="e" cm="1" vm="4">
        <f t="array" ref="J5">_FV(E5,"Price")</f>
        <v>#VALUE!</v>
      </c>
      <c r="K5" s="80" t="e" vm="5">
        <f>1-(I5/J5)</f>
        <v>#VALUE!</v>
      </c>
    </row>
    <row r="6" spans="1:11" x14ac:dyDescent="0.25">
      <c r="A6" t="s">
        <v>86</v>
      </c>
      <c r="B6" t="s">
        <v>84</v>
      </c>
      <c r="C6" t="s">
        <v>84</v>
      </c>
      <c r="D6" s="95" t="s">
        <v>144</v>
      </c>
      <c r="E6" t="e" vm="6">
        <v>#VALUE!</v>
      </c>
      <c r="F6" t="s">
        <v>109</v>
      </c>
      <c r="G6" t="str" cm="1">
        <f t="array" ref="G6">_FV(Table10[[#This Row],[object]],"Industry")</f>
        <v>Consumer Goods Conglomerates</v>
      </c>
      <c r="H6" s="90">
        <v>44805</v>
      </c>
      <c r="I6" s="73">
        <v>319.77999999999997</v>
      </c>
      <c r="J6" s="73" cm="1">
        <f t="array" ref="J6">_FV(E6,"Price")</f>
        <v>206.82</v>
      </c>
      <c r="K6" s="80">
        <f t="shared" si="0"/>
        <v>-0.54617541823808136</v>
      </c>
    </row>
    <row r="7" spans="1:11" x14ac:dyDescent="0.25">
      <c r="A7" t="s">
        <v>116</v>
      </c>
      <c r="B7" t="s">
        <v>84</v>
      </c>
      <c r="C7" t="s">
        <v>84</v>
      </c>
      <c r="D7" s="95">
        <v>-1.1100000000000001</v>
      </c>
      <c r="E7" t="e" vm="7">
        <v>#VALUE!</v>
      </c>
      <c r="F7" t="s">
        <v>114</v>
      </c>
      <c r="G7" t="str" cm="1">
        <f t="array" ref="G7">_FV(Table10[[#This Row],[object]],"Industry")</f>
        <v>Aerospace &amp; Defense</v>
      </c>
      <c r="H7" s="90">
        <v>44594</v>
      </c>
      <c r="I7" s="73">
        <v>44.24</v>
      </c>
      <c r="J7" s="73" cm="1">
        <f t="array" ref="J7">_FV(E7,"Price")</f>
        <v>57.91</v>
      </c>
      <c r="K7" s="80">
        <f t="shared" si="0"/>
        <v>0.23605594888620263</v>
      </c>
    </row>
    <row r="8" spans="1:11" x14ac:dyDescent="0.25">
      <c r="A8" t="s">
        <v>68</v>
      </c>
      <c r="B8" t="s">
        <v>76</v>
      </c>
      <c r="C8" t="s">
        <v>76</v>
      </c>
      <c r="D8" s="95">
        <v>0.13</v>
      </c>
      <c r="E8" t="e" vm="8">
        <v>#VALUE!</v>
      </c>
      <c r="F8" t="s">
        <v>70</v>
      </c>
      <c r="G8" t="str" cm="1">
        <f t="array" ref="G8">_FV(Table10[[#This Row],[object]],"Industry")</f>
        <v>Software &amp; IT Services</v>
      </c>
      <c r="H8" s="90">
        <v>44568</v>
      </c>
      <c r="I8" s="73">
        <v>291.83300000000003</v>
      </c>
      <c r="J8" s="73" cm="1">
        <f t="array" ref="J8">_FV(E8,"Price")</f>
        <v>132.55000000000001</v>
      </c>
      <c r="K8" s="80">
        <f t="shared" si="0"/>
        <v>-1.2016823840060353</v>
      </c>
    </row>
    <row r="9" spans="1:11" x14ac:dyDescent="0.25">
      <c r="A9" t="s">
        <v>156</v>
      </c>
      <c r="B9" t="s">
        <v>84</v>
      </c>
      <c r="C9" t="s">
        <v>84</v>
      </c>
      <c r="H9" s="90"/>
      <c r="I9" s="73"/>
      <c r="J9" s="73" t="e" cm="1" vm="4">
        <f t="array" ref="J9">_FV(E9,"Price")</f>
        <v>#VALUE!</v>
      </c>
      <c r="K9" s="80" t="e" vm="5">
        <f>1-(I9/J9)</f>
        <v>#VALUE!</v>
      </c>
    </row>
    <row r="10" spans="1:11" x14ac:dyDescent="0.25">
      <c r="A10" t="s">
        <v>118</v>
      </c>
      <c r="B10" t="s">
        <v>84</v>
      </c>
      <c r="C10" t="s">
        <v>84</v>
      </c>
      <c r="D10" s="95" t="s">
        <v>144</v>
      </c>
      <c r="E10" t="e" vm="9">
        <v>#VALUE!</v>
      </c>
      <c r="F10" t="s">
        <v>112</v>
      </c>
      <c r="G10" t="str" cm="1">
        <f t="array" ref="G10">_FV(Table10[[#This Row],[object]],"Industry")</f>
        <v>Electrical Utilities &amp; IPPs</v>
      </c>
      <c r="H10" s="90">
        <v>44562</v>
      </c>
      <c r="I10" s="73">
        <v>79.075000000000003</v>
      </c>
      <c r="J10" s="73" cm="1">
        <f t="array" ref="J10">_FV(E10,"Price")</f>
        <v>61.64</v>
      </c>
      <c r="K10" s="80">
        <f t="shared" si="0"/>
        <v>-0.28285204412719023</v>
      </c>
    </row>
    <row r="11" spans="1:11" x14ac:dyDescent="0.25">
      <c r="A11" t="s">
        <v>151</v>
      </c>
      <c r="B11" t="s">
        <v>84</v>
      </c>
      <c r="C11" t="s">
        <v>84</v>
      </c>
      <c r="D11" s="95">
        <v>-0.3</v>
      </c>
      <c r="H11" s="90"/>
      <c r="I11" s="73"/>
      <c r="J11" s="73" t="e" cm="1" vm="4">
        <f t="array" ref="J11">_FV(E11,"Price")</f>
        <v>#VALUE!</v>
      </c>
      <c r="K11" s="80" t="e" vm="5">
        <f>1-(I11/J11)</f>
        <v>#VALUE!</v>
      </c>
    </row>
    <row r="12" spans="1:11" x14ac:dyDescent="0.25">
      <c r="A12" t="s">
        <v>87</v>
      </c>
      <c r="B12" t="s">
        <v>88</v>
      </c>
      <c r="C12" t="s">
        <v>88</v>
      </c>
      <c r="D12" s="95" t="s">
        <v>88</v>
      </c>
      <c r="E12" t="e" vm="10">
        <v>#VALUE!</v>
      </c>
      <c r="F12" t="s">
        <v>109</v>
      </c>
      <c r="G12" t="str" cm="1">
        <f t="array" ref="G12">_FV(Table10[[#This Row],[object]],"Industry")</f>
        <v>Banking Services</v>
      </c>
      <c r="H12" s="90">
        <v>44595</v>
      </c>
      <c r="I12" s="73">
        <v>769</v>
      </c>
      <c r="J12" s="73" cm="1">
        <f t="array" ref="J12">_FV(E12,"Price")</f>
        <v>758.07</v>
      </c>
      <c r="K12" s="80">
        <f t="shared" si="0"/>
        <v>-1.4418193570514548E-2</v>
      </c>
    </row>
    <row r="13" spans="1:11" ht="14.25" customHeight="1" x14ac:dyDescent="0.25">
      <c r="A13" t="s">
        <v>115</v>
      </c>
      <c r="B13" t="s">
        <v>76</v>
      </c>
      <c r="C13" t="s">
        <v>76</v>
      </c>
      <c r="D13" s="95">
        <v>0.92</v>
      </c>
      <c r="E13" t="e" vm="11">
        <v>#VALUE!</v>
      </c>
      <c r="F13" t="s">
        <v>113</v>
      </c>
      <c r="G13" t="str" cm="1">
        <f t="array" ref="G13">_FV(Table10[[#This Row],[object]],"Industry")</f>
        <v>Metals &amp; Mining</v>
      </c>
      <c r="H13" s="90">
        <v>44593</v>
      </c>
      <c r="I13" s="73">
        <v>13</v>
      </c>
      <c r="J13" s="73" cm="1">
        <f t="array" ref="J13">_FV(E13,"Price")</f>
        <v>13.25</v>
      </c>
      <c r="K13" s="80">
        <f t="shared" si="0"/>
        <v>1.8867924528301883E-2</v>
      </c>
    </row>
    <row r="14" spans="1:11" x14ac:dyDescent="0.25">
      <c r="A14" t="s">
        <v>89</v>
      </c>
      <c r="B14" t="s">
        <v>88</v>
      </c>
      <c r="C14" t="s">
        <v>88</v>
      </c>
      <c r="D14" s="95" t="s">
        <v>88</v>
      </c>
      <c r="E14" t="e" vm="12">
        <v>#VALUE!</v>
      </c>
      <c r="F14" t="s">
        <v>108</v>
      </c>
      <c r="G14" t="str" cm="1">
        <f t="array" ref="G14">_FV(Table10[[#This Row],[object]],"Industry")</f>
        <v>Healthcare Equipment &amp; Supplies</v>
      </c>
      <c r="H14" s="90">
        <v>44595</v>
      </c>
      <c r="I14" s="73">
        <v>47</v>
      </c>
      <c r="J14" s="73" cm="1">
        <f t="array" ref="J14">_FV(E14,"Price")</f>
        <v>35.56</v>
      </c>
      <c r="K14" s="80">
        <f t="shared" si="0"/>
        <v>-0.32170978627671531</v>
      </c>
    </row>
    <row r="15" spans="1:11" x14ac:dyDescent="0.25">
      <c r="A15" t="s">
        <v>92</v>
      </c>
      <c r="B15" t="s">
        <v>88</v>
      </c>
      <c r="C15" t="s">
        <v>88</v>
      </c>
      <c r="D15" s="95" t="s">
        <v>88</v>
      </c>
      <c r="E15" t="e" vm="13">
        <v>#VALUE!</v>
      </c>
      <c r="F15" t="s">
        <v>93</v>
      </c>
      <c r="G15" t="str" cm="1">
        <f t="array" ref="G15">_FV(Table10[[#This Row],[object]],"Industry")</f>
        <v>Biotechnology &amp; Medical Research</v>
      </c>
      <c r="H15" s="90">
        <v>44595</v>
      </c>
      <c r="I15" s="73">
        <v>169</v>
      </c>
      <c r="J15" s="73" cm="1">
        <f t="array" ref="J15">_FV(E15,"Price")</f>
        <v>215.62</v>
      </c>
      <c r="K15" s="80">
        <f t="shared" si="0"/>
        <v>0.21621370930340411</v>
      </c>
    </row>
    <row r="16" spans="1:11" x14ac:dyDescent="0.25">
      <c r="A16" t="s">
        <v>122</v>
      </c>
      <c r="B16" t="s">
        <v>84</v>
      </c>
      <c r="C16" t="s">
        <v>76</v>
      </c>
      <c r="D16" s="95">
        <v>-0.37</v>
      </c>
      <c r="E16" t="e" vm="14">
        <v>#VALUE!</v>
      </c>
      <c r="F16" t="s">
        <v>109</v>
      </c>
      <c r="G16" t="str" cm="1">
        <f t="array" ref="G16">_FV(Table10[[#This Row],[object]],"Industry")</f>
        <v>Investment Banking &amp; Investment Services</v>
      </c>
      <c r="H16" s="90">
        <v>44591</v>
      </c>
      <c r="I16" s="73">
        <v>335.31</v>
      </c>
      <c r="J16" s="73" cm="1">
        <f t="array" ref="J16">_FV(E16,"Price")</f>
        <v>283.33</v>
      </c>
      <c r="K16" s="80">
        <f t="shared" si="0"/>
        <v>-0.18346098189390481</v>
      </c>
    </row>
    <row r="17" spans="1:11" x14ac:dyDescent="0.25">
      <c r="A17" t="s">
        <v>94</v>
      </c>
      <c r="B17" t="s">
        <v>76</v>
      </c>
      <c r="C17" t="s">
        <v>76</v>
      </c>
      <c r="D17" s="95">
        <v>0.23</v>
      </c>
      <c r="E17" t="e" vm="15">
        <v>#VALUE!</v>
      </c>
      <c r="F17" t="s">
        <v>70</v>
      </c>
      <c r="G17" t="str" cm="1">
        <f t="array" ref="G17">_FV(Table10[[#This Row],[object]],"Industry")</f>
        <v>Software &amp; IT Services</v>
      </c>
      <c r="H17" s="90">
        <v>44805</v>
      </c>
      <c r="I17" s="73">
        <v>303</v>
      </c>
      <c r="J17" s="73" cm="1">
        <f t="array" ref="J17">_FV(E17,"Price")</f>
        <v>241.01</v>
      </c>
      <c r="K17" s="80">
        <f t="shared" si="0"/>
        <v>-0.25720924442969184</v>
      </c>
    </row>
    <row r="18" spans="1:11" x14ac:dyDescent="0.25">
      <c r="A18" t="s">
        <v>96</v>
      </c>
      <c r="B18" t="s">
        <v>84</v>
      </c>
      <c r="C18" t="s">
        <v>84</v>
      </c>
      <c r="D18" s="95" t="s">
        <v>88</v>
      </c>
      <c r="E18" t="e" vm="16">
        <v>#VALUE!</v>
      </c>
      <c r="F18" t="s">
        <v>93</v>
      </c>
      <c r="G18" t="str" cm="1">
        <f t="array" ref="G18">_FV(Table10[[#This Row],[object]],"Industry")</f>
        <v>Biotechnology &amp; Medical Research</v>
      </c>
      <c r="H18" s="90">
        <v>44595</v>
      </c>
      <c r="I18" s="73">
        <v>79</v>
      </c>
      <c r="J18" s="73" cm="1">
        <f t="array" ref="J18">_FV(E18,"Price")</f>
        <v>120.2</v>
      </c>
      <c r="K18" s="80">
        <f t="shared" si="0"/>
        <v>0.34276206322795344</v>
      </c>
    </row>
    <row r="19" spans="1:11" x14ac:dyDescent="0.25">
      <c r="A19" t="s">
        <v>54</v>
      </c>
      <c r="B19" t="s">
        <v>76</v>
      </c>
      <c r="C19" t="s">
        <v>76</v>
      </c>
      <c r="D19" s="95">
        <v>0.5</v>
      </c>
      <c r="E19" t="e" vm="17">
        <v>#VALUE!</v>
      </c>
      <c r="F19" t="s">
        <v>111</v>
      </c>
      <c r="G19" t="str" cm="1">
        <f t="array" ref="G19">_FV(Table10[[#This Row],[object]],"Industry")</f>
        <v>Leisure Products</v>
      </c>
      <c r="H19" s="90">
        <v>44570</v>
      </c>
      <c r="I19" s="73">
        <v>101.88</v>
      </c>
      <c r="J19" s="73" cm="1">
        <f t="array" ref="J19">_FV(E19,"Price")</f>
        <v>75.41</v>
      </c>
      <c r="K19" s="80">
        <f t="shared" si="0"/>
        <v>-0.35101445431640377</v>
      </c>
    </row>
    <row r="20" spans="1:11" x14ac:dyDescent="0.25">
      <c r="A20" t="s">
        <v>95</v>
      </c>
      <c r="B20" t="s">
        <v>84</v>
      </c>
      <c r="C20" t="s">
        <v>76</v>
      </c>
      <c r="D20" s="95">
        <v>0.44</v>
      </c>
      <c r="E20" t="e" vm="18">
        <v>#VALUE!</v>
      </c>
      <c r="F20" t="s">
        <v>111</v>
      </c>
      <c r="G20" t="str" cm="1">
        <f t="array" ref="G20">_FV(Table10[[#This Row],[object]],"Industry")</f>
        <v>Leisure Products</v>
      </c>
      <c r="H20" s="90">
        <v>44573</v>
      </c>
      <c r="I20" s="73">
        <v>181.1</v>
      </c>
      <c r="J20" s="73" cm="1">
        <f t="array" ref="J20">_FV(E20,"Price")</f>
        <v>127.5</v>
      </c>
      <c r="K20" s="80">
        <f t="shared" si="0"/>
        <v>-0.42039215686274511</v>
      </c>
    </row>
    <row r="21" spans="1:11" x14ac:dyDescent="0.25">
      <c r="A21" t="s">
        <v>117</v>
      </c>
      <c r="B21" t="s">
        <v>76</v>
      </c>
      <c r="C21" t="s">
        <v>76</v>
      </c>
      <c r="D21" s="95">
        <v>0.91</v>
      </c>
      <c r="E21" t="e" vm="19">
        <v>#VALUE!</v>
      </c>
      <c r="F21" t="s">
        <v>70</v>
      </c>
      <c r="G21" t="str" cm="1">
        <f t="array" ref="G21">_FV(Table10[[#This Row],[object]],"Industry")</f>
        <v>Semiconductors &amp; Semiconductor Equipment</v>
      </c>
      <c r="H21" s="90">
        <v>44595</v>
      </c>
      <c r="I21" s="73">
        <v>120</v>
      </c>
      <c r="J21" s="73" cm="1">
        <f t="array" ref="J21">_FV(E21,"Price")</f>
        <v>76</v>
      </c>
      <c r="K21" s="80">
        <f t="shared" si="0"/>
        <v>-0.57894736842105265</v>
      </c>
    </row>
    <row r="22" spans="1:11" x14ac:dyDescent="0.25">
      <c r="A22" t="s">
        <v>130</v>
      </c>
      <c r="B22" t="s">
        <v>84</v>
      </c>
      <c r="C22" t="s">
        <v>76</v>
      </c>
      <c r="D22" s="95">
        <v>-0.89</v>
      </c>
      <c r="E22" t="e" vm="20">
        <v>#VALUE!</v>
      </c>
      <c r="F22" t="s">
        <v>93</v>
      </c>
      <c r="G22" t="str" cm="1">
        <f t="array" ref="G22">_FV(Table10[[#This Row],[object]],"Industry")</f>
        <v>Healthcare Equipment &amp; Supplies</v>
      </c>
      <c r="H22" s="90">
        <v>44591</v>
      </c>
      <c r="I22" s="73">
        <v>39.35</v>
      </c>
      <c r="J22" s="73" cm="1">
        <f t="array" ref="J22">_FV(E22,"Price")</f>
        <v>33.299999999999997</v>
      </c>
      <c r="K22" s="80">
        <f t="shared" si="0"/>
        <v>-0.18168168168168175</v>
      </c>
    </row>
    <row r="23" spans="1:11" x14ac:dyDescent="0.25">
      <c r="A23" t="s">
        <v>131</v>
      </c>
      <c r="B23" t="s">
        <v>84</v>
      </c>
      <c r="C23" t="s">
        <v>88</v>
      </c>
      <c r="D23" s="95" t="s">
        <v>144</v>
      </c>
      <c r="E23" t="e" vm="21">
        <v>#VALUE!</v>
      </c>
      <c r="F23" t="s">
        <v>111</v>
      </c>
      <c r="G23" t="str" cm="1">
        <f t="array" ref="G23">_FV(Table10[[#This Row],[object]],"Industry")</f>
        <v>Automobiles &amp; Auto Parts</v>
      </c>
      <c r="H23" s="90">
        <v>44591</v>
      </c>
      <c r="I23" s="73">
        <v>59.81</v>
      </c>
      <c r="J23" s="73" cm="1">
        <f t="array" ref="J23">_FV(E23,"Price")</f>
        <v>60.76</v>
      </c>
      <c r="K23" s="80">
        <f t="shared" si="0"/>
        <v>1.5635286372613466E-2</v>
      </c>
    </row>
    <row r="24" spans="1:11" x14ac:dyDescent="0.25">
      <c r="A24" t="s">
        <v>145</v>
      </c>
      <c r="C24" t="s">
        <v>76</v>
      </c>
      <c r="D24" s="95">
        <v>-0.15</v>
      </c>
      <c r="H24" s="90"/>
      <c r="I24" s="73"/>
      <c r="J24" s="73"/>
      <c r="K24" s="80"/>
    </row>
    <row r="25" spans="1:11" x14ac:dyDescent="0.25">
      <c r="A25" t="s">
        <v>147</v>
      </c>
      <c r="C25" t="s">
        <v>84</v>
      </c>
      <c r="H25" s="90"/>
      <c r="I25" s="73"/>
      <c r="J25" s="73"/>
      <c r="K25" s="80"/>
    </row>
    <row r="26" spans="1:11" x14ac:dyDescent="0.25">
      <c r="H26" s="90"/>
      <c r="I26" s="91"/>
      <c r="J26" s="91"/>
      <c r="K26" s="80"/>
    </row>
    <row r="27" spans="1:11" x14ac:dyDescent="0.25">
      <c r="H27" s="90"/>
      <c r="I27" s="91"/>
      <c r="J27" s="91"/>
      <c r="K27" s="80"/>
    </row>
    <row r="28" spans="1:11" x14ac:dyDescent="0.25">
      <c r="H28" s="90"/>
      <c r="I28" s="91"/>
      <c r="J28" s="91"/>
      <c r="K28" s="80"/>
    </row>
  </sheetData>
  <conditionalFormatting sqref="B2:C25">
    <cfRule type="containsText" dxfId="834" priority="1" operator="containsText" text="TBD">
      <formula>NOT(ISERROR(SEARCH("TBD",B2)))</formula>
    </cfRule>
    <cfRule type="containsText" dxfId="833" priority="2" operator="containsText" text="NO">
      <formula>NOT(ISERROR(SEARCH("NO",B2)))</formula>
    </cfRule>
    <cfRule type="containsText" dxfId="832" priority="3" operator="containsText" text="YES">
      <formula>NOT(ISERROR(SEARCH("YES",B2)))</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5"/>
  <sheetViews>
    <sheetView zoomScale="70" zoomScaleNormal="70" workbookViewId="0">
      <selection activeCell="G45" sqref="G45"/>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346</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f>
        <v>0.13569999999999999</v>
      </c>
      <c r="AA2" s="8">
        <f>Z2</f>
        <v>0.13569999999999999</v>
      </c>
      <c r="AB2" s="9">
        <f t="shared" ref="AB2:AJ3" si="1">AA2</f>
        <v>0.13569999999999999</v>
      </c>
      <c r="AC2" s="9">
        <f t="shared" si="1"/>
        <v>0.13569999999999999</v>
      </c>
      <c r="AD2" s="9">
        <f t="shared" si="1"/>
        <v>0.13569999999999999</v>
      </c>
      <c r="AE2" s="9">
        <f t="shared" si="1"/>
        <v>0.13569999999999999</v>
      </c>
      <c r="AF2" s="9">
        <f t="shared" si="1"/>
        <v>0.13569999999999999</v>
      </c>
      <c r="AG2" s="9">
        <f t="shared" si="1"/>
        <v>0.13569999999999999</v>
      </c>
      <c r="AH2" s="9">
        <f t="shared" si="1"/>
        <v>0.13569999999999999</v>
      </c>
      <c r="AI2" s="9">
        <f t="shared" si="1"/>
        <v>0.13569999999999999</v>
      </c>
      <c r="AJ2" s="25">
        <f t="shared" si="1"/>
        <v>0.13569999999999999</v>
      </c>
      <c r="AL2" s="18" t="s">
        <v>36</v>
      </c>
      <c r="AM2" s="67">
        <f>Z2</f>
        <v>0.13569999999999999</v>
      </c>
      <c r="BA2" s="17"/>
    </row>
    <row r="3" spans="1:53" x14ac:dyDescent="0.25">
      <c r="A3" t="s">
        <v>49</v>
      </c>
      <c r="B3" s="58" t="s">
        <v>53</v>
      </c>
      <c r="H3" s="2" t="s">
        <v>6</v>
      </c>
      <c r="I3" s="8">
        <f>AVERAGE(M3:W3)</f>
        <v>0.16135454545454544</v>
      </c>
      <c r="J3" s="9">
        <f>AVERAGE(S3:W3)</f>
        <v>0.15351999999999999</v>
      </c>
      <c r="K3" s="9">
        <f>W3</f>
        <v>0.17219999999999999</v>
      </c>
      <c r="L3" s="10" t="s">
        <v>7</v>
      </c>
      <c r="M3" s="11">
        <v>0.1389</v>
      </c>
      <c r="N3" s="12">
        <v>0.14180000000000001</v>
      </c>
      <c r="O3" s="12">
        <v>0.17329999999999998</v>
      </c>
      <c r="P3" s="12">
        <v>0.19030000000000002</v>
      </c>
      <c r="Q3" s="12">
        <v>0.19440000000000002</v>
      </c>
      <c r="R3" s="12">
        <v>0.1686</v>
      </c>
      <c r="S3" s="12">
        <v>0.22719999999999999</v>
      </c>
      <c r="T3" s="12">
        <v>0.24600000000000002</v>
      </c>
      <c r="U3" s="12">
        <v>4.5100000000000001E-2</v>
      </c>
      <c r="V3" s="12">
        <v>7.7100000000000002E-2</v>
      </c>
      <c r="W3" s="13">
        <v>0.17219999999999999</v>
      </c>
      <c r="Y3" s="18" t="s">
        <v>14</v>
      </c>
      <c r="Z3" s="64">
        <v>0.15</v>
      </c>
      <c r="AA3" s="26">
        <f t="shared" ref="AA3"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54</v>
      </c>
      <c r="H4" s="14" t="s">
        <v>8</v>
      </c>
      <c r="I4" s="15">
        <f>AVERAGE(M4:W4)</f>
        <v>0.13569999999999999</v>
      </c>
      <c r="J4" s="16">
        <f>AVERAGE(S4:W4)</f>
        <v>0.17320000000000002</v>
      </c>
      <c r="K4" s="16">
        <f>W4</f>
        <v>0.30599999999999999</v>
      </c>
      <c r="L4" s="17" t="s">
        <v>7</v>
      </c>
      <c r="M4" s="18" t="s">
        <v>7</v>
      </c>
      <c r="N4" s="12">
        <v>0.11600000000000001</v>
      </c>
      <c r="O4" s="12">
        <v>-1.9E-2</v>
      </c>
      <c r="P4" s="12">
        <v>9.6000000000000002E-2</v>
      </c>
      <c r="Q4" s="12">
        <v>0.18099999999999999</v>
      </c>
      <c r="R4" s="12">
        <v>0.11700000000000001</v>
      </c>
      <c r="S4" s="12">
        <v>0.22800000000000001</v>
      </c>
      <c r="T4" s="12">
        <v>0.26500000000000001</v>
      </c>
      <c r="U4" s="12">
        <v>4.1000000000000002E-2</v>
      </c>
      <c r="V4" s="12">
        <v>2.5999999999999999E-2</v>
      </c>
      <c r="W4" s="13">
        <v>0.30599999999999999</v>
      </c>
      <c r="Y4" s="5" t="s">
        <v>15</v>
      </c>
      <c r="Z4" s="29">
        <v>20</v>
      </c>
      <c r="AA4" s="30">
        <f t="shared" ref="AA4:AJ4" si="3">Z4</f>
        <v>20</v>
      </c>
      <c r="AB4" s="31">
        <f t="shared" si="3"/>
        <v>20</v>
      </c>
      <c r="AC4" s="31">
        <f t="shared" si="3"/>
        <v>20</v>
      </c>
      <c r="AD4" s="31">
        <f t="shared" si="3"/>
        <v>20</v>
      </c>
      <c r="AE4" s="31">
        <f t="shared" si="3"/>
        <v>20</v>
      </c>
      <c r="AF4" s="31">
        <f t="shared" si="3"/>
        <v>20</v>
      </c>
      <c r="AG4" s="31">
        <f t="shared" si="3"/>
        <v>20</v>
      </c>
      <c r="AH4" s="31">
        <f t="shared" si="3"/>
        <v>20</v>
      </c>
      <c r="AI4" s="31">
        <f t="shared" si="3"/>
        <v>20</v>
      </c>
      <c r="AJ4" s="32">
        <f t="shared" si="3"/>
        <v>20</v>
      </c>
      <c r="AL4" s="18" t="s">
        <v>38</v>
      </c>
      <c r="AM4" s="64">
        <v>15</v>
      </c>
      <c r="BA4" s="17"/>
    </row>
    <row r="5" spans="1:53" x14ac:dyDescent="0.25">
      <c r="A5" t="s">
        <v>34</v>
      </c>
      <c r="B5" s="92">
        <v>44568</v>
      </c>
      <c r="H5" s="14" t="s">
        <v>9</v>
      </c>
      <c r="I5" s="15">
        <f>AVERAGE(M5:W5)</f>
        <v>0.3518</v>
      </c>
      <c r="J5" s="16">
        <f>AVERAGE(S5:W5)</f>
        <v>0.49660000000000004</v>
      </c>
      <c r="K5" s="16">
        <f>W5</f>
        <v>1.948</v>
      </c>
      <c r="L5" s="17" t="s">
        <v>7</v>
      </c>
      <c r="M5" s="18" t="s">
        <v>7</v>
      </c>
      <c r="N5" s="12">
        <v>0.17699999999999999</v>
      </c>
      <c r="O5" s="12">
        <v>0.27400000000000002</v>
      </c>
      <c r="P5" s="12">
        <v>0.16300000000000001</v>
      </c>
      <c r="Q5" s="12">
        <v>0.11600000000000001</v>
      </c>
      <c r="R5" s="12">
        <v>0.30499999999999999</v>
      </c>
      <c r="S5" s="12">
        <v>0.45300000000000001</v>
      </c>
      <c r="T5" s="12">
        <v>0.152</v>
      </c>
      <c r="U5" s="12">
        <v>-0.69799999999999995</v>
      </c>
      <c r="V5" s="12">
        <v>0.628</v>
      </c>
      <c r="W5" s="13">
        <v>1.948</v>
      </c>
      <c r="Y5" s="1" t="s">
        <v>16</v>
      </c>
      <c r="Z5" s="33">
        <v>11.85</v>
      </c>
      <c r="AA5" s="34">
        <f>Z5</f>
        <v>11.85</v>
      </c>
      <c r="AB5" s="35">
        <f t="shared" ref="AB5:AJ5" si="4">AA5*(1+$Z2)</f>
        <v>13.458044999999998</v>
      </c>
      <c r="AC5" s="35">
        <f t="shared" si="4"/>
        <v>15.284301706499997</v>
      </c>
      <c r="AD5" s="35">
        <f t="shared" si="4"/>
        <v>17.358381448072045</v>
      </c>
      <c r="AE5" s="35">
        <f t="shared" si="4"/>
        <v>19.71391381057542</v>
      </c>
      <c r="AF5" s="35">
        <f t="shared" si="4"/>
        <v>22.389091914670502</v>
      </c>
      <c r="AG5" s="35">
        <f t="shared" si="4"/>
        <v>25.427291687491287</v>
      </c>
      <c r="AH5" s="35">
        <f t="shared" si="4"/>
        <v>28.877775169483854</v>
      </c>
      <c r="AI5" s="35">
        <f t="shared" si="4"/>
        <v>32.796489259982813</v>
      </c>
      <c r="AJ5" s="36">
        <f t="shared" si="4"/>
        <v>37.246972852562479</v>
      </c>
      <c r="AL5" s="18" t="s">
        <v>39</v>
      </c>
      <c r="AM5" s="40">
        <v>330.32</v>
      </c>
      <c r="BA5" s="17"/>
    </row>
    <row r="6" spans="1:53" x14ac:dyDescent="0.25">
      <c r="A6" t="s">
        <v>44</v>
      </c>
      <c r="B6" s="62">
        <v>106.32</v>
      </c>
      <c r="H6" s="14" t="s">
        <v>10</v>
      </c>
      <c r="I6" s="15">
        <f>AVERAGE(M6:W6)</f>
        <v>0.19469999999999998</v>
      </c>
      <c r="J6" s="16">
        <f>AVERAGE(S6:W6)</f>
        <v>0.24440000000000001</v>
      </c>
      <c r="K6" s="16">
        <f>W6</f>
        <v>0.50800000000000001</v>
      </c>
      <c r="L6" s="17" t="s">
        <v>7</v>
      </c>
      <c r="M6" s="18" t="s">
        <v>7</v>
      </c>
      <c r="N6" s="12">
        <v>0.128</v>
      </c>
      <c r="O6" s="12">
        <v>0.22800000000000001</v>
      </c>
      <c r="P6" s="12">
        <v>8.7999999999999995E-2</v>
      </c>
      <c r="Q6" s="12">
        <v>0.13700000000000001</v>
      </c>
      <c r="R6" s="12">
        <v>0.14399999999999999</v>
      </c>
      <c r="S6" s="12">
        <v>0.58199999999999996</v>
      </c>
      <c r="T6" s="12">
        <v>0.14899999999999999</v>
      </c>
      <c r="U6" s="12">
        <v>-5.6000000000000001E-2</v>
      </c>
      <c r="V6" s="12">
        <v>3.9E-2</v>
      </c>
      <c r="W6" s="13">
        <v>0.50800000000000001</v>
      </c>
      <c r="Y6" s="5" t="s">
        <v>19</v>
      </c>
      <c r="Z6" s="37">
        <f>AA6</f>
        <v>211.75828688526474</v>
      </c>
      <c r="AA6" s="38">
        <f t="shared" ref="AA6:AI6" si="5">AB6/(1+$Z3)</f>
        <v>211.75828688526474</v>
      </c>
      <c r="AB6" s="38">
        <f t="shared" si="5"/>
        <v>243.52202991805441</v>
      </c>
      <c r="AC6" s="38">
        <f t="shared" si="5"/>
        <v>280.05033440576256</v>
      </c>
      <c r="AD6" s="38">
        <f t="shared" si="5"/>
        <v>322.05788456662691</v>
      </c>
      <c r="AE6" s="38">
        <f t="shared" si="5"/>
        <v>370.36656725162095</v>
      </c>
      <c r="AF6" s="38">
        <f t="shared" si="5"/>
        <v>425.92155233936404</v>
      </c>
      <c r="AG6" s="38">
        <f t="shared" si="5"/>
        <v>489.8097851902686</v>
      </c>
      <c r="AH6" s="38">
        <f t="shared" si="5"/>
        <v>563.28125296880887</v>
      </c>
      <c r="AI6" s="38">
        <f t="shared" si="5"/>
        <v>647.77344091413011</v>
      </c>
      <c r="AJ6" s="39">
        <f>AJ5*$Z4</f>
        <v>744.93945705124952</v>
      </c>
      <c r="AL6" s="5" t="s">
        <v>40</v>
      </c>
      <c r="AM6" s="45">
        <v>19</v>
      </c>
      <c r="BA6" s="17"/>
    </row>
    <row r="7" spans="1:53" x14ac:dyDescent="0.25">
      <c r="A7" t="s">
        <v>45</v>
      </c>
      <c r="B7" s="58" t="s">
        <v>55</v>
      </c>
      <c r="H7" s="14" t="s">
        <v>11</v>
      </c>
      <c r="I7" s="15">
        <f>AVERAGE(M7:W7)</f>
        <v>0.19209999999999999</v>
      </c>
      <c r="J7" s="16">
        <f>AVERAGE(S7:W7)</f>
        <v>6.9600000000000009E-2</v>
      </c>
      <c r="K7" s="16">
        <f>W7</f>
        <v>-8.3000000000000004E-2</v>
      </c>
      <c r="L7" s="17" t="s">
        <v>7</v>
      </c>
      <c r="M7" s="18" t="s">
        <v>7</v>
      </c>
      <c r="N7" s="12">
        <v>0.34599999999999997</v>
      </c>
      <c r="O7" s="12">
        <v>0.11</v>
      </c>
      <c r="P7" s="12">
        <v>-1.7000000000000001E-2</v>
      </c>
      <c r="Q7" s="12">
        <v>0.73099999999999998</v>
      </c>
      <c r="R7" s="12">
        <v>0.40300000000000002</v>
      </c>
      <c r="S7" s="12">
        <v>5.1999999999999998E-2</v>
      </c>
      <c r="T7" s="12">
        <v>7.9000000000000001E-2</v>
      </c>
      <c r="U7" s="12">
        <v>0.152</v>
      </c>
      <c r="V7" s="12">
        <v>0.14799999999999999</v>
      </c>
      <c r="W7" s="13">
        <v>-8.3000000000000004E-2</v>
      </c>
      <c r="AL7" s="18"/>
      <c r="BA7" s="17"/>
    </row>
    <row r="8" spans="1:53" x14ac:dyDescent="0.25">
      <c r="A8" t="s">
        <v>46</v>
      </c>
      <c r="B8" s="58" t="s">
        <v>56</v>
      </c>
      <c r="H8" s="19" t="s">
        <v>12</v>
      </c>
      <c r="I8" s="5" t="s">
        <v>7</v>
      </c>
      <c r="J8" s="6" t="s">
        <v>7</v>
      </c>
      <c r="K8" s="6" t="s">
        <v>7</v>
      </c>
      <c r="L8" s="20">
        <v>4</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82</v>
      </c>
      <c r="B9" s="58" t="s">
        <v>141</v>
      </c>
      <c r="H9" s="43"/>
      <c r="L9" s="20"/>
      <c r="Y9" s="1"/>
      <c r="AA9" s="1"/>
      <c r="AB9" s="42"/>
      <c r="AC9" s="42"/>
      <c r="AD9" s="42"/>
      <c r="AE9" s="42"/>
      <c r="AF9" s="42"/>
      <c r="AG9" s="42"/>
      <c r="AH9" s="42"/>
      <c r="AI9" s="42"/>
      <c r="AJ9" s="10"/>
      <c r="AL9" s="1"/>
      <c r="AM9" s="10"/>
      <c r="AN9" s="1"/>
      <c r="AO9" s="42"/>
      <c r="AP9" s="42"/>
      <c r="AQ9" s="42"/>
      <c r="AR9" s="42"/>
      <c r="AS9" s="42"/>
      <c r="AT9" s="42"/>
      <c r="AU9" s="42"/>
      <c r="AV9" s="42"/>
      <c r="AW9" s="42"/>
      <c r="AX9" s="10"/>
      <c r="AY9" s="93"/>
      <c r="AZ9" s="93"/>
      <c r="BA9" s="94"/>
    </row>
    <row r="10" spans="1:53" x14ac:dyDescent="0.25">
      <c r="A10" t="s">
        <v>47</v>
      </c>
      <c r="B10" s="58" t="s">
        <v>58</v>
      </c>
      <c r="Y10" s="1" t="s">
        <v>13</v>
      </c>
      <c r="Z10" s="65">
        <f>AVERAGE(Table15[])</f>
        <v>0.15423333333333331</v>
      </c>
      <c r="AA10" s="8">
        <f>Z10</f>
        <v>0.15423333333333331</v>
      </c>
      <c r="AB10" s="9">
        <f t="shared" ref="AB10:AB11" si="6">AA10</f>
        <v>0.15423333333333331</v>
      </c>
      <c r="AC10" s="9">
        <f t="shared" ref="AC10:AC11" si="7">AB10</f>
        <v>0.15423333333333331</v>
      </c>
      <c r="AD10" s="9">
        <f t="shared" ref="AD10:AD11" si="8">AC10</f>
        <v>0.15423333333333331</v>
      </c>
      <c r="AE10" s="9">
        <f t="shared" ref="AE10:AE11" si="9">AD10</f>
        <v>0.15423333333333331</v>
      </c>
      <c r="AF10" s="9">
        <f t="shared" ref="AF10:AF11" si="10">AE10</f>
        <v>0.15423333333333331</v>
      </c>
      <c r="AG10" s="9">
        <f t="shared" ref="AG10:AG11" si="11">AF10</f>
        <v>0.15423333333333331</v>
      </c>
      <c r="AH10" s="9">
        <f t="shared" ref="AH10:AH11" si="12">AG10</f>
        <v>0.15423333333333331</v>
      </c>
      <c r="AI10" s="9">
        <f t="shared" ref="AI10:AI11" si="13">AH10</f>
        <v>0.15423333333333331</v>
      </c>
      <c r="AJ10" s="25">
        <f t="shared" ref="AJ10:AJ11" si="14">AI10</f>
        <v>0.15423333333333331</v>
      </c>
      <c r="AL10" s="1" t="s">
        <v>42</v>
      </c>
      <c r="AM10" s="10"/>
      <c r="AN10" s="48">
        <f>$AM1</f>
        <v>346</v>
      </c>
      <c r="AO10" s="49">
        <f t="shared" ref="AO10:AW10" si="15">AN10+AN10*$AM2</f>
        <v>392.9522</v>
      </c>
      <c r="AP10" s="49">
        <f t="shared" si="15"/>
        <v>446.27581354</v>
      </c>
      <c r="AQ10" s="49">
        <f t="shared" si="15"/>
        <v>506.83544143737799</v>
      </c>
      <c r="AR10" s="49">
        <f t="shared" si="15"/>
        <v>575.61301084043021</v>
      </c>
      <c r="AS10" s="49">
        <f t="shared" si="15"/>
        <v>653.72369641147657</v>
      </c>
      <c r="AT10" s="49">
        <f t="shared" si="15"/>
        <v>742.43400201451391</v>
      </c>
      <c r="AU10" s="49">
        <f t="shared" si="15"/>
        <v>843.1822960878834</v>
      </c>
      <c r="AV10" s="49">
        <f t="shared" si="15"/>
        <v>957.60213366700918</v>
      </c>
      <c r="AW10" s="49">
        <f t="shared" si="15"/>
        <v>1087.5487432056223</v>
      </c>
      <c r="AX10" s="50">
        <f>$AM4*AW10</f>
        <v>16313.231148084335</v>
      </c>
      <c r="AY10" s="51"/>
      <c r="AZ10" s="49"/>
      <c r="BA10" s="10"/>
    </row>
    <row r="11" spans="1:53" x14ac:dyDescent="0.25">
      <c r="A11" t="s">
        <v>48</v>
      </c>
      <c r="B11" s="58" t="s">
        <v>57</v>
      </c>
      <c r="Y11" s="18" t="s">
        <v>14</v>
      </c>
      <c r="Z11">
        <f>Z3</f>
        <v>0.15</v>
      </c>
      <c r="AA11" s="26">
        <f t="shared" ref="AA11" si="16">Z11</f>
        <v>0.15</v>
      </c>
      <c r="AB11" s="27">
        <f t="shared" si="6"/>
        <v>0.15</v>
      </c>
      <c r="AC11" s="27">
        <f t="shared" si="7"/>
        <v>0.15</v>
      </c>
      <c r="AD11" s="27">
        <f t="shared" si="8"/>
        <v>0.15</v>
      </c>
      <c r="AE11" s="27">
        <f t="shared" si="9"/>
        <v>0.15</v>
      </c>
      <c r="AF11" s="27">
        <f t="shared" si="10"/>
        <v>0.15</v>
      </c>
      <c r="AG11" s="27">
        <f t="shared" si="11"/>
        <v>0.15</v>
      </c>
      <c r="AH11" s="27">
        <f t="shared" si="12"/>
        <v>0.15</v>
      </c>
      <c r="AI11" s="27">
        <f t="shared" si="13"/>
        <v>0.15</v>
      </c>
      <c r="AJ11" s="28">
        <f t="shared" si="14"/>
        <v>0.15</v>
      </c>
      <c r="AL11" s="5" t="s">
        <v>43</v>
      </c>
      <c r="AM11" s="7"/>
      <c r="AN11" s="52">
        <f>AN10/(1+$AM3)</f>
        <v>300.86956521739131</v>
      </c>
      <c r="AO11" s="53">
        <f t="shared" ref="AO11:AW11" si="17">(1+$AM2)*AN11/(1+$AM3)</f>
        <v>297.12831758034025</v>
      </c>
      <c r="AP11" s="53">
        <f t="shared" si="17"/>
        <v>293.43359154434125</v>
      </c>
      <c r="AQ11" s="53">
        <f t="shared" si="17"/>
        <v>289.78480862339853</v>
      </c>
      <c r="AR11" s="53">
        <f t="shared" si="17"/>
        <v>286.18139752486411</v>
      </c>
      <c r="AS11" s="53">
        <f t="shared" si="17"/>
        <v>282.6227940599897</v>
      </c>
      <c r="AT11" s="53">
        <f t="shared" si="17"/>
        <v>279.10844105559158</v>
      </c>
      <c r="AU11" s="53">
        <f t="shared" si="17"/>
        <v>275.63778826681335</v>
      </c>
      <c r="AV11" s="53">
        <f t="shared" si="17"/>
        <v>272.21029229097383</v>
      </c>
      <c r="AW11" s="53">
        <f t="shared" si="17"/>
        <v>268.82541648248605</v>
      </c>
      <c r="AX11" s="54">
        <f>AX10/(1+AM3)^AX8</f>
        <v>4032.3812472372947</v>
      </c>
      <c r="AY11" s="53">
        <f>SUM(AN11:AX11)</f>
        <v>6878.1836598834852</v>
      </c>
      <c r="AZ11" s="53">
        <f>AY11+AM5</f>
        <v>7208.5036598834849</v>
      </c>
      <c r="BA11" s="55">
        <f>AZ11/AM6</f>
        <v>379.39492946755183</v>
      </c>
    </row>
    <row r="12" spans="1:53" x14ac:dyDescent="0.25">
      <c r="A12" t="s">
        <v>65</v>
      </c>
      <c r="B12" s="92">
        <v>44627</v>
      </c>
      <c r="Y12" s="5" t="s">
        <v>15</v>
      </c>
      <c r="Z12" s="7">
        <f>Z4</f>
        <v>20</v>
      </c>
      <c r="AA12" s="30">
        <f t="shared" ref="AA12:AJ12" si="18">Z12</f>
        <v>20</v>
      </c>
      <c r="AB12" s="31">
        <f t="shared" si="18"/>
        <v>20</v>
      </c>
      <c r="AC12" s="31">
        <f t="shared" si="18"/>
        <v>20</v>
      </c>
      <c r="AD12" s="31">
        <f t="shared" si="18"/>
        <v>20</v>
      </c>
      <c r="AE12" s="31">
        <f t="shared" si="18"/>
        <v>20</v>
      </c>
      <c r="AF12" s="31">
        <f t="shared" si="18"/>
        <v>20</v>
      </c>
      <c r="AG12" s="31">
        <f t="shared" si="18"/>
        <v>20</v>
      </c>
      <c r="AH12" s="31">
        <f t="shared" si="18"/>
        <v>20</v>
      </c>
      <c r="AI12" s="31">
        <f t="shared" si="18"/>
        <v>20</v>
      </c>
      <c r="AJ12" s="32">
        <f t="shared" si="18"/>
        <v>20</v>
      </c>
    </row>
    <row r="13" spans="1:53" x14ac:dyDescent="0.25">
      <c r="Y13" s="1" t="s">
        <v>16</v>
      </c>
      <c r="Z13">
        <f>Z5</f>
        <v>11.85</v>
      </c>
      <c r="AA13" s="34">
        <f>Z13</f>
        <v>11.85</v>
      </c>
      <c r="AB13" s="35">
        <f t="shared" ref="AB13:AJ13" si="19">AA13*(1+$Z10)</f>
        <v>13.677664999999998</v>
      </c>
      <c r="AC13" s="35">
        <f t="shared" si="19"/>
        <v>15.787216865166663</v>
      </c>
      <c r="AD13" s="35">
        <f t="shared" si="19"/>
        <v>18.222131946337534</v>
      </c>
      <c r="AE13" s="35">
        <f t="shared" si="19"/>
        <v>21.032592096860991</v>
      </c>
      <c r="AF13" s="35">
        <f t="shared" si="19"/>
        <v>24.276518884600183</v>
      </c>
      <c r="AG13" s="35">
        <f t="shared" si="19"/>
        <v>28.020767313901683</v>
      </c>
      <c r="AH13" s="35">
        <f t="shared" si="19"/>
        <v>32.34250365928245</v>
      </c>
      <c r="AI13" s="35">
        <f t="shared" si="19"/>
        <v>37.330795806999106</v>
      </c>
      <c r="AJ13" s="36">
        <f t="shared" si="19"/>
        <v>43.0884488802986</v>
      </c>
      <c r="AL13" s="1" t="s">
        <v>35</v>
      </c>
      <c r="AM13" s="72">
        <f>AM1</f>
        <v>346</v>
      </c>
      <c r="AN13" s="42"/>
      <c r="AO13" s="42"/>
      <c r="AP13" s="42"/>
      <c r="AQ13" s="42"/>
      <c r="AR13" s="42"/>
      <c r="AS13" s="42"/>
      <c r="AT13" s="42"/>
      <c r="AU13" s="42"/>
      <c r="AV13" s="42"/>
      <c r="AW13" s="42"/>
      <c r="AX13" s="42"/>
      <c r="AY13" s="42"/>
      <c r="AZ13" s="42"/>
      <c r="BA13" s="10"/>
    </row>
    <row r="14" spans="1:53" ht="18.75" x14ac:dyDescent="0.3">
      <c r="A14" s="56" t="s">
        <v>29</v>
      </c>
      <c r="Y14" s="5" t="s">
        <v>19</v>
      </c>
      <c r="Z14" s="37">
        <f>AA14</f>
        <v>244.96852819564387</v>
      </c>
      <c r="AA14" s="38">
        <f t="shared" ref="AA14:AI14" si="20">AB14/(1+$Z11)</f>
        <v>244.96852819564387</v>
      </c>
      <c r="AB14" s="38">
        <f t="shared" si="20"/>
        <v>281.71380742499042</v>
      </c>
      <c r="AC14" s="38">
        <f t="shared" si="20"/>
        <v>323.97087853873893</v>
      </c>
      <c r="AD14" s="38">
        <f t="shared" si="20"/>
        <v>372.56651031954976</v>
      </c>
      <c r="AE14" s="38">
        <f t="shared" si="20"/>
        <v>428.45148686748217</v>
      </c>
      <c r="AF14" s="38">
        <f t="shared" si="20"/>
        <v>492.71920989760446</v>
      </c>
      <c r="AG14" s="38">
        <f t="shared" si="20"/>
        <v>566.62709138224511</v>
      </c>
      <c r="AH14" s="38">
        <f t="shared" si="20"/>
        <v>651.62115508958186</v>
      </c>
      <c r="AI14" s="38">
        <f t="shared" si="20"/>
        <v>749.36432835301912</v>
      </c>
      <c r="AJ14" s="39">
        <f>AJ13*$Z12</f>
        <v>861.76897760597194</v>
      </c>
      <c r="AL14" s="18" t="s">
        <v>36</v>
      </c>
      <c r="AM14" s="68">
        <f>Z10</f>
        <v>0.15423333333333331</v>
      </c>
      <c r="BA14" s="17"/>
    </row>
    <row r="15" spans="1:53" x14ac:dyDescent="0.25">
      <c r="A15" s="43" t="s">
        <v>32</v>
      </c>
      <c r="B15" s="18" t="s">
        <v>0</v>
      </c>
      <c r="C15" t="s">
        <v>1</v>
      </c>
      <c r="D15" t="s">
        <v>2</v>
      </c>
      <c r="E15" t="s">
        <v>3</v>
      </c>
      <c r="AL15" s="18" t="s">
        <v>37</v>
      </c>
      <c r="AM15" s="69">
        <f>AM3</f>
        <v>0.15</v>
      </c>
      <c r="BA15" s="17"/>
    </row>
    <row r="16" spans="1:53" x14ac:dyDescent="0.25">
      <c r="A16" t="s">
        <v>52</v>
      </c>
      <c r="B16" t="s">
        <v>4</v>
      </c>
      <c r="C16" t="s">
        <v>4</v>
      </c>
      <c r="D16" t="s">
        <v>4</v>
      </c>
      <c r="E16" t="s">
        <v>5</v>
      </c>
      <c r="Y16" s="21" t="s">
        <v>61</v>
      </c>
      <c r="Z16" s="22"/>
      <c r="AA16" s="21">
        <v>2021</v>
      </c>
      <c r="AB16" s="23">
        <v>2022</v>
      </c>
      <c r="AC16" s="23">
        <v>2023</v>
      </c>
      <c r="AD16" s="23">
        <v>2024</v>
      </c>
      <c r="AE16" s="23">
        <v>2025</v>
      </c>
      <c r="AF16" s="23">
        <v>2026</v>
      </c>
      <c r="AG16" s="23">
        <v>2027</v>
      </c>
      <c r="AH16" s="23">
        <v>2028</v>
      </c>
      <c r="AI16" s="23">
        <v>2029</v>
      </c>
      <c r="AJ16" s="24">
        <v>2030</v>
      </c>
      <c r="AL16" s="18" t="s">
        <v>38</v>
      </c>
      <c r="AM16" s="69">
        <f>AM4</f>
        <v>15</v>
      </c>
      <c r="BA16" s="17"/>
    </row>
    <row r="17" spans="1:53" x14ac:dyDescent="0.25">
      <c r="A17" t="s">
        <v>23</v>
      </c>
      <c r="B17" s="16">
        <f t="shared" ref="B17:D21" si="21">I3</f>
        <v>0.16135454545454544</v>
      </c>
      <c r="C17" s="16">
        <f t="shared" si="21"/>
        <v>0.15351999999999999</v>
      </c>
      <c r="D17" s="16">
        <f t="shared" si="21"/>
        <v>0.17219999999999999</v>
      </c>
      <c r="Y17" s="1" t="s">
        <v>13</v>
      </c>
      <c r="Z17" s="60">
        <f>MAX(Table15[])</f>
        <v>0.17699999999999999</v>
      </c>
      <c r="AA17" s="8">
        <f>Z17</f>
        <v>0.17699999999999999</v>
      </c>
      <c r="AB17" s="9">
        <f t="shared" ref="AB17:AB18" si="22">AA17</f>
        <v>0.17699999999999999</v>
      </c>
      <c r="AC17" s="9">
        <f t="shared" ref="AC17:AC18" si="23">AB17</f>
        <v>0.17699999999999999</v>
      </c>
      <c r="AD17" s="9">
        <f t="shared" ref="AD17:AD18" si="24">AC17</f>
        <v>0.17699999999999999</v>
      </c>
      <c r="AE17" s="9">
        <f t="shared" ref="AE17:AE18" si="25">AD17</f>
        <v>0.17699999999999999</v>
      </c>
      <c r="AF17" s="9">
        <f t="shared" ref="AF17:AF18" si="26">AE17</f>
        <v>0.17699999999999999</v>
      </c>
      <c r="AG17" s="9">
        <f t="shared" ref="AG17:AG18" si="27">AF17</f>
        <v>0.17699999999999999</v>
      </c>
      <c r="AH17" s="9">
        <f t="shared" ref="AH17:AH18" si="28">AG17</f>
        <v>0.17699999999999999</v>
      </c>
      <c r="AI17" s="9">
        <f t="shared" ref="AI17:AI18" si="29">AH17</f>
        <v>0.17699999999999999</v>
      </c>
      <c r="AJ17" s="25">
        <f t="shared" ref="AJ17:AJ18" si="30">AI17</f>
        <v>0.17699999999999999</v>
      </c>
      <c r="AL17" s="18" t="s">
        <v>39</v>
      </c>
      <c r="AM17" s="69">
        <f>AM5</f>
        <v>330.32</v>
      </c>
      <c r="BA17" s="17"/>
    </row>
    <row r="18" spans="1:53" x14ac:dyDescent="0.25">
      <c r="A18" t="s">
        <v>24</v>
      </c>
      <c r="B18" s="16">
        <f t="shared" si="21"/>
        <v>0.13569999999999999</v>
      </c>
      <c r="C18" s="16">
        <f t="shared" si="21"/>
        <v>0.17320000000000002</v>
      </c>
      <c r="D18" s="16">
        <f t="shared" si="21"/>
        <v>0.30599999999999999</v>
      </c>
      <c r="Y18" s="18" t="s">
        <v>14</v>
      </c>
      <c r="Z18">
        <f>Z3</f>
        <v>0.15</v>
      </c>
      <c r="AA18" s="26">
        <f t="shared" ref="AA18" si="31">Z18</f>
        <v>0.15</v>
      </c>
      <c r="AB18" s="27">
        <f t="shared" si="22"/>
        <v>0.15</v>
      </c>
      <c r="AC18" s="27">
        <f t="shared" si="23"/>
        <v>0.15</v>
      </c>
      <c r="AD18" s="27">
        <f t="shared" si="24"/>
        <v>0.15</v>
      </c>
      <c r="AE18" s="27">
        <f t="shared" si="25"/>
        <v>0.15</v>
      </c>
      <c r="AF18" s="27">
        <f t="shared" si="26"/>
        <v>0.15</v>
      </c>
      <c r="AG18" s="27">
        <f t="shared" si="27"/>
        <v>0.15</v>
      </c>
      <c r="AH18" s="27">
        <f t="shared" si="28"/>
        <v>0.15</v>
      </c>
      <c r="AI18" s="27">
        <f t="shared" si="29"/>
        <v>0.15</v>
      </c>
      <c r="AJ18" s="28">
        <f t="shared" si="30"/>
        <v>0.15</v>
      </c>
      <c r="AL18" s="5" t="s">
        <v>40</v>
      </c>
      <c r="AM18" s="70">
        <f>AM6</f>
        <v>19</v>
      </c>
      <c r="BA18" s="17"/>
    </row>
    <row r="19" spans="1:53" x14ac:dyDescent="0.25">
      <c r="A19" t="s">
        <v>25</v>
      </c>
      <c r="B19" s="16">
        <f t="shared" si="21"/>
        <v>0.3518</v>
      </c>
      <c r="C19" s="16">
        <f t="shared" si="21"/>
        <v>0.49660000000000004</v>
      </c>
      <c r="D19" s="16">
        <f t="shared" si="21"/>
        <v>1.948</v>
      </c>
      <c r="Y19" s="5" t="s">
        <v>15</v>
      </c>
      <c r="Z19" s="7">
        <f>Z4</f>
        <v>20</v>
      </c>
      <c r="AA19" s="30">
        <f t="shared" ref="AA19:AJ19" si="32">Z19</f>
        <v>20</v>
      </c>
      <c r="AB19" s="31">
        <f t="shared" si="32"/>
        <v>20</v>
      </c>
      <c r="AC19" s="31">
        <f t="shared" si="32"/>
        <v>20</v>
      </c>
      <c r="AD19" s="31">
        <f t="shared" si="32"/>
        <v>20</v>
      </c>
      <c r="AE19" s="31">
        <f t="shared" si="32"/>
        <v>20</v>
      </c>
      <c r="AF19" s="31">
        <f t="shared" si="32"/>
        <v>20</v>
      </c>
      <c r="AG19" s="31">
        <f t="shared" si="32"/>
        <v>20</v>
      </c>
      <c r="AH19" s="31">
        <f t="shared" si="32"/>
        <v>20</v>
      </c>
      <c r="AI19" s="31">
        <f t="shared" si="32"/>
        <v>20</v>
      </c>
      <c r="AJ19" s="32">
        <f t="shared" si="32"/>
        <v>20</v>
      </c>
      <c r="AL19" s="18"/>
      <c r="BA19" s="17"/>
    </row>
    <row r="20" spans="1:53" x14ac:dyDescent="0.25">
      <c r="A20" t="s">
        <v>26</v>
      </c>
      <c r="B20" s="16">
        <f t="shared" si="21"/>
        <v>0.19469999999999998</v>
      </c>
      <c r="C20" s="16">
        <f t="shared" si="21"/>
        <v>0.24440000000000001</v>
      </c>
      <c r="D20" s="16">
        <f t="shared" si="21"/>
        <v>0.50800000000000001</v>
      </c>
      <c r="Y20" s="1" t="s">
        <v>16</v>
      </c>
      <c r="Z20">
        <f>Z5</f>
        <v>11.85</v>
      </c>
      <c r="AA20" s="34">
        <f>Z20</f>
        <v>11.85</v>
      </c>
      <c r="AB20" s="35">
        <f t="shared" ref="AB20:AJ20" si="33">AA20*(1+$Z17)</f>
        <v>13.94745</v>
      </c>
      <c r="AC20" s="35">
        <f t="shared" si="33"/>
        <v>16.41614865</v>
      </c>
      <c r="AD20" s="35">
        <f t="shared" si="33"/>
        <v>19.321806961050001</v>
      </c>
      <c r="AE20" s="35">
        <f t="shared" si="33"/>
        <v>22.74176679315585</v>
      </c>
      <c r="AF20" s="35">
        <f t="shared" si="33"/>
        <v>26.767059515544435</v>
      </c>
      <c r="AG20" s="35">
        <f t="shared" si="33"/>
        <v>31.504829049795802</v>
      </c>
      <c r="AH20" s="35">
        <f t="shared" si="33"/>
        <v>37.081183791609661</v>
      </c>
      <c r="AI20" s="35">
        <f t="shared" si="33"/>
        <v>43.644553322724569</v>
      </c>
      <c r="AJ20" s="36">
        <f t="shared" si="33"/>
        <v>51.369639260846817</v>
      </c>
      <c r="AL20" s="21"/>
      <c r="AM20" s="24"/>
      <c r="AN20" s="21">
        <v>1</v>
      </c>
      <c r="AO20" s="23">
        <v>2</v>
      </c>
      <c r="AP20" s="23">
        <v>3</v>
      </c>
      <c r="AQ20" s="23">
        <v>4</v>
      </c>
      <c r="AR20" s="23">
        <v>5</v>
      </c>
      <c r="AS20" s="23">
        <v>6</v>
      </c>
      <c r="AT20" s="23">
        <v>7</v>
      </c>
      <c r="AU20" s="23">
        <v>8</v>
      </c>
      <c r="AV20" s="23">
        <v>9</v>
      </c>
      <c r="AW20" s="23">
        <v>10</v>
      </c>
      <c r="AX20" s="24">
        <v>10</v>
      </c>
      <c r="AY20" s="46" t="s">
        <v>41</v>
      </c>
      <c r="AZ20" s="46" t="s">
        <v>62</v>
      </c>
      <c r="BA20" s="47" t="s">
        <v>63</v>
      </c>
    </row>
    <row r="21" spans="1:53" x14ac:dyDescent="0.25">
      <c r="A21" t="s">
        <v>27</v>
      </c>
      <c r="B21" s="16">
        <f t="shared" si="21"/>
        <v>0.19209999999999999</v>
      </c>
      <c r="C21" s="16">
        <f t="shared" si="21"/>
        <v>6.9600000000000009E-2</v>
      </c>
      <c r="D21" s="16">
        <f t="shared" si="21"/>
        <v>-8.3000000000000004E-2</v>
      </c>
      <c r="Y21" s="5" t="s">
        <v>19</v>
      </c>
      <c r="Z21" s="37">
        <f>AA21</f>
        <v>292.04915123840959</v>
      </c>
      <c r="AA21" s="38">
        <f t="shared" ref="AA21:AI21" si="34">AB21/(1+$Z18)</f>
        <v>292.04915123840959</v>
      </c>
      <c r="AB21" s="38">
        <f t="shared" si="34"/>
        <v>335.85652392417103</v>
      </c>
      <c r="AC21" s="38">
        <f t="shared" si="34"/>
        <v>386.23500251279665</v>
      </c>
      <c r="AD21" s="38">
        <f t="shared" si="34"/>
        <v>444.1702528897161</v>
      </c>
      <c r="AE21" s="38">
        <f t="shared" si="34"/>
        <v>510.79579082317349</v>
      </c>
      <c r="AF21" s="38">
        <f t="shared" si="34"/>
        <v>587.41515944664945</v>
      </c>
      <c r="AG21" s="38">
        <f t="shared" si="34"/>
        <v>675.52743336364688</v>
      </c>
      <c r="AH21" s="38">
        <f t="shared" si="34"/>
        <v>776.8565483681939</v>
      </c>
      <c r="AI21" s="38">
        <f t="shared" si="34"/>
        <v>893.38503062342295</v>
      </c>
      <c r="AJ21" s="39">
        <f>AJ20*$Z19</f>
        <v>1027.3927852169363</v>
      </c>
      <c r="AL21" s="1" t="s">
        <v>42</v>
      </c>
      <c r="AM21" s="10"/>
      <c r="AN21" s="48">
        <f>$AM13</f>
        <v>346</v>
      </c>
      <c r="AO21" s="49">
        <f t="shared" ref="AO21:AW21" si="35">AN21+AN21*$AM14</f>
        <v>399.36473333333333</v>
      </c>
      <c r="AP21" s="49">
        <f t="shared" si="35"/>
        <v>460.96008737111111</v>
      </c>
      <c r="AQ21" s="49">
        <f t="shared" si="35"/>
        <v>532.05549817998212</v>
      </c>
      <c r="AR21" s="49">
        <f t="shared" si="35"/>
        <v>614.11619118260796</v>
      </c>
      <c r="AS21" s="49">
        <f t="shared" si="35"/>
        <v>708.83337840267222</v>
      </c>
      <c r="AT21" s="49">
        <f t="shared" si="35"/>
        <v>818.15911313164429</v>
      </c>
      <c r="AU21" s="49">
        <f t="shared" si="35"/>
        <v>944.34652034698149</v>
      </c>
      <c r="AV21" s="49">
        <f t="shared" si="35"/>
        <v>1089.996232001831</v>
      </c>
      <c r="AW21" s="49">
        <f t="shared" si="35"/>
        <v>1258.1099841842467</v>
      </c>
      <c r="AX21" s="50">
        <f>$AM16*AW21</f>
        <v>18871.6497627637</v>
      </c>
      <c r="AY21" s="51"/>
      <c r="AZ21" s="49"/>
      <c r="BA21" s="10"/>
    </row>
    <row r="22" spans="1:53" x14ac:dyDescent="0.25">
      <c r="A22" t="s">
        <v>28</v>
      </c>
      <c r="E22" s="57">
        <f>L8</f>
        <v>4</v>
      </c>
      <c r="AL22" s="5" t="s">
        <v>43</v>
      </c>
      <c r="AM22" s="7"/>
      <c r="AN22" s="52">
        <f>AN21/(1+$AM15)</f>
        <v>300.86956521739131</v>
      </c>
      <c r="AO22" s="53">
        <f t="shared" ref="AO22:AW22" si="36">(1+$AM14)*AN22/(1+$AM15)</f>
        <v>301.97711405166984</v>
      </c>
      <c r="AP22" s="53">
        <f t="shared" si="36"/>
        <v>303.08873994977307</v>
      </c>
      <c r="AQ22" s="53">
        <f t="shared" si="36"/>
        <v>304.20445792002295</v>
      </c>
      <c r="AR22" s="53">
        <f t="shared" si="36"/>
        <v>305.32428302598942</v>
      </c>
      <c r="AS22" s="53">
        <f t="shared" si="36"/>
        <v>306.44823038669375</v>
      </c>
      <c r="AT22" s="53">
        <f t="shared" si="36"/>
        <v>307.5763151768129</v>
      </c>
      <c r="AU22" s="53">
        <f t="shared" si="36"/>
        <v>308.70855262688406</v>
      </c>
      <c r="AV22" s="53">
        <f t="shared" si="36"/>
        <v>309.84495802351057</v>
      </c>
      <c r="AW22" s="53">
        <f t="shared" si="36"/>
        <v>310.98554670956815</v>
      </c>
      <c r="AX22" s="54">
        <f>AX21/(1+AM15)^AX20</f>
        <v>4664.7832006435247</v>
      </c>
      <c r="AY22" s="53">
        <f>SUM(AN22:AX22)</f>
        <v>7723.8109637318403</v>
      </c>
      <c r="AZ22" s="53">
        <f>AY22+AM17</f>
        <v>8054.13096373184</v>
      </c>
      <c r="BA22" s="55">
        <f>AZ22/AM18</f>
        <v>423.90162967009684</v>
      </c>
    </row>
    <row r="23" spans="1:53" x14ac:dyDescent="0.25">
      <c r="AN23" s="75"/>
      <c r="AO23" s="75"/>
      <c r="AP23" s="75"/>
      <c r="AQ23" s="75"/>
      <c r="AR23" s="75"/>
      <c r="AS23" s="75"/>
      <c r="AT23" s="75"/>
      <c r="AU23" s="75"/>
      <c r="AV23" s="75"/>
      <c r="AW23" s="75"/>
      <c r="AX23" s="75"/>
      <c r="AY23" s="75"/>
      <c r="AZ23" s="75"/>
      <c r="BA23" s="76"/>
    </row>
    <row r="24" spans="1:53" ht="18.75" x14ac:dyDescent="0.3">
      <c r="A24" s="56" t="s">
        <v>30</v>
      </c>
      <c r="AL24" s="1" t="s">
        <v>35</v>
      </c>
      <c r="AM24" s="22">
        <f>AM1</f>
        <v>346</v>
      </c>
      <c r="AN24" s="42"/>
      <c r="AO24" s="42"/>
      <c r="AP24" s="42"/>
      <c r="AQ24" s="42"/>
      <c r="AR24" s="42"/>
      <c r="AS24" s="42"/>
      <c r="AT24" s="42"/>
      <c r="AU24" s="42"/>
      <c r="AV24" s="42"/>
      <c r="AW24" s="42"/>
      <c r="AX24" s="42"/>
      <c r="AY24" s="42"/>
      <c r="AZ24" s="42"/>
      <c r="BA24" s="10"/>
    </row>
    <row r="25" spans="1:53" x14ac:dyDescent="0.25">
      <c r="A25" t="s">
        <v>107</v>
      </c>
      <c r="B25" t="s">
        <v>137</v>
      </c>
      <c r="C25" t="s">
        <v>138</v>
      </c>
      <c r="AL25" s="18" t="s">
        <v>36</v>
      </c>
      <c r="AM25" s="71">
        <f>Z17</f>
        <v>0.17699999999999999</v>
      </c>
      <c r="BA25" s="17"/>
    </row>
    <row r="26" spans="1:53" x14ac:dyDescent="0.25">
      <c r="A26" s="16">
        <f>B18</f>
        <v>0.13569999999999999</v>
      </c>
      <c r="B26" s="86">
        <v>0.15</v>
      </c>
      <c r="C26" s="85">
        <v>0.17699999999999999</v>
      </c>
      <c r="AL26" s="18" t="s">
        <v>37</v>
      </c>
      <c r="AM26" s="69">
        <f>AM3</f>
        <v>0.15</v>
      </c>
      <c r="BA26" s="17"/>
    </row>
    <row r="27" spans="1:53" x14ac:dyDescent="0.25">
      <c r="AL27" s="18" t="s">
        <v>38</v>
      </c>
      <c r="AM27" s="69">
        <f>AM4</f>
        <v>15</v>
      </c>
      <c r="BA27" s="17"/>
    </row>
    <row r="28" spans="1:53" ht="30" x14ac:dyDescent="0.25">
      <c r="A28" t="s">
        <v>18</v>
      </c>
      <c r="B28" s="41" t="s">
        <v>20</v>
      </c>
      <c r="C28" s="41" t="s">
        <v>31</v>
      </c>
      <c r="D28" s="41" t="s">
        <v>21</v>
      </c>
      <c r="E28" s="41" t="s">
        <v>22</v>
      </c>
      <c r="F28" t="s">
        <v>126</v>
      </c>
      <c r="AL28" s="18" t="s">
        <v>39</v>
      </c>
      <c r="AM28" s="69">
        <f>AM5</f>
        <v>330.32</v>
      </c>
      <c r="BA28" s="17"/>
    </row>
    <row r="29" spans="1:53" x14ac:dyDescent="0.25">
      <c r="A29" s="16">
        <f>MIN(Table15[])</f>
        <v>0.13569999999999999</v>
      </c>
      <c r="B29" s="73">
        <f>Z6</f>
        <v>211.75828688526474</v>
      </c>
      <c r="C29" s="63">
        <f>1-$B$6/Table1[[#This Row],[Fair Value
Method 1]]</f>
        <v>0.49791811426201005</v>
      </c>
      <c r="D29" s="66">
        <f>BA11</f>
        <v>379.39492946755183</v>
      </c>
      <c r="E29" s="63">
        <f>1-$B$6/Table1[[#This Row],[Fair Value 
Method 2]]</f>
        <v>0.71976430958312765</v>
      </c>
      <c r="F29" s="63">
        <f>AVERAGE(Table1[[#This Row],[MOS
Method 1]],Table1[[#This Row],[MOS 
Method 2]])</f>
        <v>0.60884121192256879</v>
      </c>
      <c r="AL29" s="5" t="s">
        <v>40</v>
      </c>
      <c r="AM29" s="70">
        <f>AM6</f>
        <v>19</v>
      </c>
      <c r="BA29" s="17"/>
    </row>
    <row r="30" spans="1:53" x14ac:dyDescent="0.25">
      <c r="A30" s="61">
        <f>AVERAGE(Table15[])</f>
        <v>0.15423333333333331</v>
      </c>
      <c r="B30" s="73">
        <f>Z14</f>
        <v>244.96852819564387</v>
      </c>
      <c r="C30" s="63">
        <f>1-$B$6/Table1[[#This Row],[Fair Value
Method 1]]</f>
        <v>0.56598506435452134</v>
      </c>
      <c r="D30" s="66">
        <f>BA22</f>
        <v>423.90162967009684</v>
      </c>
      <c r="E30" s="63">
        <f>1-$B$6/Table1[[#This Row],[Fair Value 
Method 2]]</f>
        <v>0.74918709304622411</v>
      </c>
      <c r="F30" s="63">
        <f>AVERAGE(Table1[[#This Row],[MOS
Method 1]],Table1[[#This Row],[MOS 
Method 2]])</f>
        <v>0.65758607870037267</v>
      </c>
      <c r="AL30" s="18"/>
      <c r="BA30" s="17"/>
    </row>
    <row r="31" spans="1:53" x14ac:dyDescent="0.25">
      <c r="A31" s="61">
        <f>MAX(Table15[])</f>
        <v>0.17699999999999999</v>
      </c>
      <c r="B31" s="73">
        <f>Z21</f>
        <v>292.04915123840959</v>
      </c>
      <c r="C31" s="63">
        <f>1-$B$6/Table1[[#This Row],[Fair Value
Method 1]]</f>
        <v>0.6359516898126254</v>
      </c>
      <c r="D31" s="66">
        <f>BA33</f>
        <v>486.26021259522241</v>
      </c>
      <c r="E31" s="63">
        <f>1-$B$6/Table1[[#This Row],[Fair Value 
Method 2]]</f>
        <v>0.78135163592234114</v>
      </c>
      <c r="F31" s="63">
        <f>AVERAGE(Table1[[#This Row],[MOS
Method 1]],Table1[[#This Row],[MOS 
Method 2]])</f>
        <v>0.70865166286748327</v>
      </c>
      <c r="AL31" s="21"/>
      <c r="AM31" s="24"/>
      <c r="AN31" s="21">
        <v>1</v>
      </c>
      <c r="AO31" s="23">
        <v>2</v>
      </c>
      <c r="AP31" s="23">
        <v>3</v>
      </c>
      <c r="AQ31" s="23">
        <v>4</v>
      </c>
      <c r="AR31" s="23">
        <v>5</v>
      </c>
      <c r="AS31" s="23">
        <v>6</v>
      </c>
      <c r="AT31" s="23">
        <v>7</v>
      </c>
      <c r="AU31" s="23">
        <v>8</v>
      </c>
      <c r="AV31" s="23">
        <v>9</v>
      </c>
      <c r="AW31" s="23">
        <v>10</v>
      </c>
      <c r="AX31" s="24">
        <v>10</v>
      </c>
      <c r="AY31" s="46" t="s">
        <v>41</v>
      </c>
      <c r="AZ31" s="46" t="s">
        <v>62</v>
      </c>
      <c r="BA31" s="47" t="s">
        <v>63</v>
      </c>
    </row>
    <row r="32" spans="1:53" x14ac:dyDescent="0.25">
      <c r="AL32" s="1" t="s">
        <v>42</v>
      </c>
      <c r="AM32" s="10"/>
      <c r="AN32" s="48">
        <f>$AM24</f>
        <v>346</v>
      </c>
      <c r="AO32" s="49">
        <f t="shared" ref="AO32:AW32" si="37">AN32+AN32*$AM25</f>
        <v>407.24200000000002</v>
      </c>
      <c r="AP32" s="49">
        <f t="shared" si="37"/>
        <v>479.32383400000003</v>
      </c>
      <c r="AQ32" s="49">
        <f t="shared" si="37"/>
        <v>564.164152618</v>
      </c>
      <c r="AR32" s="49">
        <f t="shared" si="37"/>
        <v>664.02120763138601</v>
      </c>
      <c r="AS32" s="49">
        <f t="shared" si="37"/>
        <v>781.55296138214135</v>
      </c>
      <c r="AT32" s="49">
        <f t="shared" si="37"/>
        <v>919.88783554678037</v>
      </c>
      <c r="AU32" s="49">
        <f t="shared" si="37"/>
        <v>1082.7079824385605</v>
      </c>
      <c r="AV32" s="49">
        <f t="shared" si="37"/>
        <v>1274.3472953301857</v>
      </c>
      <c r="AW32" s="49">
        <f t="shared" si="37"/>
        <v>1499.9067666036285</v>
      </c>
      <c r="AX32" s="50">
        <f>$AM27*AW32</f>
        <v>22498.601499054428</v>
      </c>
      <c r="AY32" s="51"/>
      <c r="AZ32" s="49"/>
      <c r="BA32" s="10"/>
    </row>
    <row r="33" spans="1:53" ht="18.75" x14ac:dyDescent="0.3">
      <c r="A33" s="56" t="s">
        <v>64</v>
      </c>
      <c r="AL33" s="5" t="s">
        <v>43</v>
      </c>
      <c r="AM33" s="7"/>
      <c r="AN33" s="52">
        <f>AN32/(1+$AM26)</f>
        <v>300.86956521739131</v>
      </c>
      <c r="AO33" s="53">
        <f t="shared" ref="AO33:AW33" si="38">(1+$AM25)*AN33/(1+$AM26)</f>
        <v>307.93345935727797</v>
      </c>
      <c r="AP33" s="53">
        <f t="shared" si="38"/>
        <v>315.16320144653582</v>
      </c>
      <c r="AQ33" s="53">
        <f t="shared" si="38"/>
        <v>322.56268530658491</v>
      </c>
      <c r="AR33" s="53">
        <f t="shared" si="38"/>
        <v>330.13589617900038</v>
      </c>
      <c r="AS33" s="53">
        <f t="shared" si="38"/>
        <v>337.88691287189869</v>
      </c>
      <c r="AT33" s="53">
        <f t="shared" si="38"/>
        <v>345.81990995671725</v>
      </c>
      <c r="AU33" s="53">
        <f t="shared" si="38"/>
        <v>353.93916001657067</v>
      </c>
      <c r="AV33" s="53">
        <f t="shared" si="38"/>
        <v>362.24903594739453</v>
      </c>
      <c r="AW33" s="53">
        <f t="shared" si="38"/>
        <v>370.75401331311599</v>
      </c>
      <c r="AX33" s="54">
        <f>AX32/(1+AM26)^AX31</f>
        <v>5561.3101996967398</v>
      </c>
      <c r="AY33" s="53">
        <f>SUM(AN33:AX33)</f>
        <v>8908.6240393092266</v>
      </c>
      <c r="AZ33" s="53">
        <f>AY33+AM28</f>
        <v>9238.9440393092264</v>
      </c>
      <c r="BA33" s="55">
        <f>AZ33/AM29</f>
        <v>486.26021259522241</v>
      </c>
    </row>
    <row r="34" spans="1:53" x14ac:dyDescent="0.25">
      <c r="A34" s="77" t="s">
        <v>66</v>
      </c>
    </row>
    <row r="37" spans="1:53" x14ac:dyDescent="0.25">
      <c r="D37" s="78"/>
      <c r="E37" s="78"/>
      <c r="G37" s="79"/>
    </row>
    <row r="40" spans="1:53" x14ac:dyDescent="0.25">
      <c r="A40" t="s">
        <v>154</v>
      </c>
      <c r="D40" s="41"/>
    </row>
    <row r="41" spans="1:53" x14ac:dyDescent="0.25">
      <c r="A41" t="s">
        <v>155</v>
      </c>
    </row>
    <row r="42" spans="1:53" x14ac:dyDescent="0.25">
      <c r="A42" t="s">
        <v>163</v>
      </c>
    </row>
    <row r="43" spans="1:53" x14ac:dyDescent="0.25">
      <c r="A43" t="s">
        <v>157</v>
      </c>
    </row>
    <row r="44" spans="1:53" x14ac:dyDescent="0.25">
      <c r="A44" t="s">
        <v>158</v>
      </c>
    </row>
    <row r="45" spans="1:53" x14ac:dyDescent="0.25">
      <c r="A45" t="s">
        <v>159</v>
      </c>
    </row>
  </sheetData>
  <mergeCells count="11">
    <mergeCell ref="S1:S2"/>
    <mergeCell ref="T1:T2"/>
    <mergeCell ref="U1:U2"/>
    <mergeCell ref="V1:V2"/>
    <mergeCell ref="W1:W2"/>
    <mergeCell ref="R1:R2"/>
    <mergeCell ref="M1:M2"/>
    <mergeCell ref="N1:N2"/>
    <mergeCell ref="O1:O2"/>
    <mergeCell ref="P1:P2"/>
    <mergeCell ref="Q1:Q2"/>
  </mergeCells>
  <conditionalFormatting sqref="L8:L9">
    <cfRule type="cellIs" dxfId="828" priority="23" operator="greaterThan">
      <formula>3</formula>
    </cfRule>
    <cfRule type="cellIs" dxfId="827" priority="24" operator="lessThan">
      <formula>3</formula>
    </cfRule>
  </conditionalFormatting>
  <conditionalFormatting sqref="I3:K7">
    <cfRule type="cellIs" dxfId="826" priority="20" operator="between">
      <formula>0.05</formula>
      <formula>0.1</formula>
    </cfRule>
    <cfRule type="cellIs" dxfId="825" priority="21" operator="lessThan">
      <formula>0.05</formula>
    </cfRule>
    <cfRule type="cellIs" dxfId="824"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{A1F4A151-8465-4719-9F22-F1B972AF1A95}</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{2874A6AF-BB52-4812-B85A-F7A437FE98AD}</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{4427AD31-8C8C-4931-8DAE-1F2B8BCF8CA9}</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{4B79CAFA-0262-48C6-90EB-2861768E502B}</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{4D0242F5-A956-4C5C-9366-ED11C717F397}</x14:id>
        </ext>
      </extLst>
    </cfRule>
  </conditionalFormatting>
  <conditionalFormatting sqref="E22">
    <cfRule type="cellIs" dxfId="823" priority="13" operator="greaterThan">
      <formula>3</formula>
    </cfRule>
    <cfRule type="cellIs" dxfId="822" priority="14" operator="lessThan">
      <formula>3</formula>
    </cfRule>
  </conditionalFormatting>
  <conditionalFormatting sqref="B17:D21">
    <cfRule type="cellIs" dxfId="821" priority="10" operator="between">
      <formula>0.05</formula>
      <formula>0.1</formula>
    </cfRule>
    <cfRule type="cellIs" dxfId="820" priority="11" operator="lessThan">
      <formula>0.05</formula>
    </cfRule>
    <cfRule type="cellIs" dxfId="819" priority="12" operator="greaterThan">
      <formula>0.1</formula>
    </cfRule>
  </conditionalFormatting>
  <conditionalFormatting sqref="C29:C31">
    <cfRule type="cellIs" dxfId="818" priority="7" operator="lessThan">
      <formula>0</formula>
    </cfRule>
    <cfRule type="cellIs" dxfId="817" priority="8" operator="between">
      <formula>0</formula>
      <formula>0.3</formula>
    </cfRule>
    <cfRule type="cellIs" dxfId="816" priority="9" operator="greaterThan">
      <formula>0.3</formula>
    </cfRule>
  </conditionalFormatting>
  <conditionalFormatting sqref="E29:E31">
    <cfRule type="cellIs" dxfId="815" priority="4" operator="lessThan">
      <formula>0</formula>
    </cfRule>
    <cfRule type="cellIs" dxfId="814" priority="5" operator="between">
      <formula>0</formula>
      <formula>0.3</formula>
    </cfRule>
    <cfRule type="cellIs" dxfId="813" priority="6" operator="greaterThan">
      <formula>0.3</formula>
    </cfRule>
  </conditionalFormatting>
  <conditionalFormatting sqref="F29:F31">
    <cfRule type="cellIs" dxfId="812" priority="1" operator="lessThan">
      <formula>0</formula>
    </cfRule>
    <cfRule type="cellIs" dxfId="811" priority="2" operator="between">
      <formula>0</formula>
      <formula>0.3</formula>
    </cfRule>
    <cfRule type="cellIs" dxfId="810" priority="3" operator="greaterThan">
      <formula>0.3</formula>
    </cfRule>
  </conditionalFormatting>
  <hyperlinks>
    <hyperlink ref="B4" r:id="rId1" xr:uid="{00000000-0004-0000-0000-000000000000}"/>
    <hyperlink ref="A34" r:id="rId2" xr:uid="{08C758EB-87F4-467A-96A9-8829F96A4C84}"/>
  </hyperlinks>
  <pageMargins left="0.7" right="0.7" top="0.75" bottom="0.75" header="0.3" footer="0.3"/>
  <pageSetup paperSize="9" orientation="portrait" r:id="rId3"/>
  <drawing r:id="rId4"/>
  <legacyDrawing r:id="rId5"/>
  <tableParts count="4">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dataBar" id="{A1F4A151-8465-4719-9F22-F1B972AF1A95}">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2874A6AF-BB52-4812-B85A-F7A437FE98AD}">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4427AD31-8C8C-4931-8DAE-1F2B8BCF8CA9}">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4B79CAFA-0262-48C6-90EB-2861768E502B}">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4D0242F5-A956-4C5C-9366-ED11C717F397}">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7AE3-3456-4397-B668-684AF8F40636}">
  <dimension ref="A1:BA40"/>
  <sheetViews>
    <sheetView zoomScaleNormal="100" workbookViewId="0">
      <selection activeCell="G17" sqref="G17"/>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6882</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MIN(Table1547[])</f>
        <v>0.10190000000000002</v>
      </c>
      <c r="AA2" s="8">
        <f>Z2</f>
        <v>0.10190000000000002</v>
      </c>
      <c r="AB2" s="9">
        <f t="shared" ref="AB2:AJ3" si="1">AA2</f>
        <v>0.10190000000000002</v>
      </c>
      <c r="AC2" s="9">
        <f t="shared" si="1"/>
        <v>0.10190000000000002</v>
      </c>
      <c r="AD2" s="9">
        <f t="shared" si="1"/>
        <v>0.10190000000000002</v>
      </c>
      <c r="AE2" s="9">
        <f t="shared" si="1"/>
        <v>0.10190000000000002</v>
      </c>
      <c r="AF2" s="9">
        <f t="shared" si="1"/>
        <v>0.10190000000000002</v>
      </c>
      <c r="AG2" s="9">
        <f t="shared" si="1"/>
        <v>0.10190000000000002</v>
      </c>
      <c r="AH2" s="9">
        <f t="shared" si="1"/>
        <v>0.10190000000000002</v>
      </c>
      <c r="AI2" s="9">
        <f t="shared" si="1"/>
        <v>0.10190000000000002</v>
      </c>
      <c r="AJ2" s="25">
        <f t="shared" si="1"/>
        <v>0.10190000000000002</v>
      </c>
      <c r="AL2" s="18" t="s">
        <v>36</v>
      </c>
      <c r="AM2" s="67">
        <f>Z2</f>
        <v>0.10190000000000002</v>
      </c>
      <c r="BA2" s="17"/>
    </row>
    <row r="3" spans="1:53" x14ac:dyDescent="0.25">
      <c r="A3" t="s">
        <v>49</v>
      </c>
      <c r="B3" s="58" t="s">
        <v>53</v>
      </c>
      <c r="H3" s="2" t="s">
        <v>6</v>
      </c>
      <c r="I3" s="8">
        <f>AVERAGE(M3:W3)</f>
        <v>0.15379090909090912</v>
      </c>
      <c r="J3" s="9">
        <f>AVERAGE(S3:W3)</f>
        <v>0.23427999999999999</v>
      </c>
      <c r="K3" s="9">
        <f>W3</f>
        <v>0.26190000000000002</v>
      </c>
      <c r="L3" s="10" t="s">
        <v>7</v>
      </c>
      <c r="M3" s="11">
        <v>0.12369999999999999</v>
      </c>
      <c r="N3" s="12">
        <v>0.1118</v>
      </c>
      <c r="O3" s="12">
        <v>3.9800000000000002E-2</v>
      </c>
      <c r="P3" s="12">
        <v>3.5900000000000001E-2</v>
      </c>
      <c r="Q3" s="12">
        <v>7.8899999999999998E-2</v>
      </c>
      <c r="R3" s="12">
        <v>0.13019999999999998</v>
      </c>
      <c r="S3" s="12">
        <v>0.1729</v>
      </c>
      <c r="T3" s="12">
        <v>0.21719999999999998</v>
      </c>
      <c r="U3" s="12">
        <v>0.1938</v>
      </c>
      <c r="V3" s="12">
        <v>0.3256</v>
      </c>
      <c r="W3" s="13">
        <v>0.26190000000000002</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145</v>
      </c>
      <c r="H4" s="14" t="s">
        <v>8</v>
      </c>
      <c r="I4" s="15">
        <f>AVERAGE(M4:W4)</f>
        <v>0.10190000000000002</v>
      </c>
      <c r="J4" s="16">
        <f>AVERAGE(S4:W4)</f>
        <v>0.15760000000000002</v>
      </c>
      <c r="K4" s="16">
        <f>W4</f>
        <v>0.23899999999999999</v>
      </c>
      <c r="L4" s="17" t="s">
        <v>7</v>
      </c>
      <c r="M4" s="18" t="s">
        <v>7</v>
      </c>
      <c r="N4" s="12">
        <v>0.14499999999999999</v>
      </c>
      <c r="O4" s="12">
        <v>2.1000000000000001E-2</v>
      </c>
      <c r="P4" s="12">
        <v>-1.7000000000000001E-2</v>
      </c>
      <c r="Q4" s="12">
        <v>1.6E-2</v>
      </c>
      <c r="R4" s="12">
        <v>6.6000000000000003E-2</v>
      </c>
      <c r="S4" s="12">
        <v>0.13200000000000001</v>
      </c>
      <c r="T4" s="12">
        <v>9.7000000000000003E-2</v>
      </c>
      <c r="U4" s="12">
        <v>0.16900000000000001</v>
      </c>
      <c r="V4" s="12">
        <v>0.151</v>
      </c>
      <c r="W4" s="13">
        <v>0.23899999999999999</v>
      </c>
      <c r="Y4" s="5" t="s">
        <v>15</v>
      </c>
      <c r="Z4" s="29">
        <v>45</v>
      </c>
      <c r="AA4" s="30">
        <f t="shared" si="2"/>
        <v>45</v>
      </c>
      <c r="AB4" s="31">
        <f t="shared" si="2"/>
        <v>45</v>
      </c>
      <c r="AC4" s="31">
        <f t="shared" si="2"/>
        <v>45</v>
      </c>
      <c r="AD4" s="31">
        <f t="shared" si="2"/>
        <v>45</v>
      </c>
      <c r="AE4" s="31">
        <f t="shared" si="2"/>
        <v>45</v>
      </c>
      <c r="AF4" s="31">
        <f t="shared" si="2"/>
        <v>45</v>
      </c>
      <c r="AG4" s="31">
        <f t="shared" si="2"/>
        <v>45</v>
      </c>
      <c r="AH4" s="31">
        <f t="shared" si="2"/>
        <v>45</v>
      </c>
      <c r="AI4" s="31">
        <f t="shared" si="2"/>
        <v>45</v>
      </c>
      <c r="AJ4" s="32">
        <f t="shared" si="2"/>
        <v>45</v>
      </c>
      <c r="AL4" s="18" t="s">
        <v>38</v>
      </c>
      <c r="AM4" s="64">
        <v>15</v>
      </c>
      <c r="BA4" s="17"/>
    </row>
    <row r="5" spans="1:53" x14ac:dyDescent="0.25">
      <c r="A5" t="s">
        <v>34</v>
      </c>
      <c r="B5" s="92">
        <v>44568</v>
      </c>
      <c r="H5" s="14" t="s">
        <v>9</v>
      </c>
      <c r="I5" s="15">
        <f>AVERAGE(M5:W5)</f>
        <v>0.33799999999999997</v>
      </c>
      <c r="J5" s="16">
        <f>AVERAGE(S5:W5)</f>
        <v>0.376</v>
      </c>
      <c r="K5" s="16">
        <f>W5</f>
        <v>-7.4999999999999997E-2</v>
      </c>
      <c r="L5" s="17" t="s">
        <v>7</v>
      </c>
      <c r="M5" s="18" t="s">
        <v>7</v>
      </c>
      <c r="N5" s="12">
        <v>6.0000000000000001E-3</v>
      </c>
      <c r="O5" s="12">
        <v>-0.66300000000000003</v>
      </c>
      <c r="P5" s="12">
        <v>-5.3999999999999999E-2</v>
      </c>
      <c r="Q5" s="12">
        <v>1.34</v>
      </c>
      <c r="R5" s="12">
        <v>0.871</v>
      </c>
      <c r="S5" s="12">
        <v>0.45700000000000002</v>
      </c>
      <c r="T5" s="12">
        <v>0.53900000000000003</v>
      </c>
      <c r="U5" s="12">
        <v>0.154</v>
      </c>
      <c r="V5" s="12">
        <v>0.80500000000000005</v>
      </c>
      <c r="W5" s="13">
        <v>-7.4999999999999997E-2</v>
      </c>
      <c r="Y5" s="1" t="s">
        <v>16</v>
      </c>
      <c r="Z5" s="33">
        <v>10.02</v>
      </c>
      <c r="AA5" s="34">
        <f>Z5</f>
        <v>10.02</v>
      </c>
      <c r="AB5" s="35">
        <f t="shared" ref="AB5:AJ5" si="3">AA5*(1+$Z2)</f>
        <v>11.041038</v>
      </c>
      <c r="AC5" s="35">
        <f t="shared" si="3"/>
        <v>12.166119772200002</v>
      </c>
      <c r="AD5" s="35">
        <f t="shared" si="3"/>
        <v>13.405847376987182</v>
      </c>
      <c r="AE5" s="35">
        <f t="shared" si="3"/>
        <v>14.771903224702177</v>
      </c>
      <c r="AF5" s="35">
        <f t="shared" si="3"/>
        <v>16.277160163299332</v>
      </c>
      <c r="AG5" s="35">
        <f t="shared" si="3"/>
        <v>17.935802783939536</v>
      </c>
      <c r="AH5" s="35">
        <f t="shared" si="3"/>
        <v>19.763461087622975</v>
      </c>
      <c r="AI5" s="35">
        <f t="shared" si="3"/>
        <v>21.777357772451758</v>
      </c>
      <c r="AJ5" s="36">
        <f t="shared" si="3"/>
        <v>23.996470529464595</v>
      </c>
      <c r="AL5" s="18" t="s">
        <v>39</v>
      </c>
      <c r="AM5" s="40">
        <v>3844</v>
      </c>
      <c r="BA5" s="17"/>
    </row>
    <row r="6" spans="1:53" x14ac:dyDescent="0.25">
      <c r="A6" t="s">
        <v>44</v>
      </c>
      <c r="B6" s="62">
        <v>399.09</v>
      </c>
      <c r="H6" s="14" t="s">
        <v>10</v>
      </c>
      <c r="I6" s="15">
        <f>AVERAGE(M6:W6)</f>
        <v>0.14660000000000001</v>
      </c>
      <c r="J6" s="16">
        <f>AVERAGE(S6:W6)</f>
        <v>0.22000000000000003</v>
      </c>
      <c r="K6" s="16">
        <f>W6</f>
        <v>0.22700000000000001</v>
      </c>
      <c r="L6" s="17" t="s">
        <v>7</v>
      </c>
      <c r="M6" s="18" t="s">
        <v>7</v>
      </c>
      <c r="N6" s="12">
        <v>4.4999999999999998E-2</v>
      </c>
      <c r="O6" s="12">
        <v>-7.9000000000000001E-2</v>
      </c>
      <c r="P6" s="12">
        <v>2.3E-2</v>
      </c>
      <c r="Q6" s="12">
        <v>0.156</v>
      </c>
      <c r="R6" s="12">
        <v>0.221</v>
      </c>
      <c r="S6" s="12">
        <v>0.247</v>
      </c>
      <c r="T6" s="12">
        <v>0.23699999999999999</v>
      </c>
      <c r="U6" s="12">
        <v>0.23699999999999999</v>
      </c>
      <c r="V6" s="12">
        <v>0.152</v>
      </c>
      <c r="W6" s="13">
        <v>0.22700000000000001</v>
      </c>
      <c r="Y6" s="5" t="s">
        <v>19</v>
      </c>
      <c r="Z6" s="37">
        <f>AA6</f>
        <v>306.95825669201446</v>
      </c>
      <c r="AA6" s="38">
        <f t="shared" ref="AA6:AI6" si="4">AB6/(1+$Z3)</f>
        <v>306.95825669201446</v>
      </c>
      <c r="AB6" s="38">
        <f t="shared" si="4"/>
        <v>353.00199519581662</v>
      </c>
      <c r="AC6" s="38">
        <f t="shared" si="4"/>
        <v>405.95229447518909</v>
      </c>
      <c r="AD6" s="38">
        <f t="shared" si="4"/>
        <v>466.84513864646743</v>
      </c>
      <c r="AE6" s="38">
        <f t="shared" si="4"/>
        <v>536.87190944343752</v>
      </c>
      <c r="AF6" s="38">
        <f t="shared" si="4"/>
        <v>617.40269585995304</v>
      </c>
      <c r="AG6" s="38">
        <f t="shared" si="4"/>
        <v>710.01310023894598</v>
      </c>
      <c r="AH6" s="38">
        <f t="shared" si="4"/>
        <v>816.51506527478784</v>
      </c>
      <c r="AI6" s="38">
        <f t="shared" si="4"/>
        <v>938.99232506600595</v>
      </c>
      <c r="AJ6" s="39">
        <f>AJ5*$Z4</f>
        <v>1079.8411738259067</v>
      </c>
      <c r="AL6" s="5" t="s">
        <v>40</v>
      </c>
      <c r="AM6" s="45">
        <v>481</v>
      </c>
      <c r="BA6" s="17"/>
    </row>
    <row r="7" spans="1:53" x14ac:dyDescent="0.25">
      <c r="A7" t="s">
        <v>45</v>
      </c>
      <c r="B7" s="58" t="s">
        <v>55</v>
      </c>
      <c r="H7" s="14" t="s">
        <v>11</v>
      </c>
      <c r="I7" s="15">
        <f>AVERAGE(M7:W7)</f>
        <v>0.20010000000000003</v>
      </c>
      <c r="J7" s="16">
        <f>AVERAGE(S7:W7)</f>
        <v>0.28620000000000001</v>
      </c>
      <c r="K7" s="16">
        <f>W7</f>
        <v>0.29699999999999999</v>
      </c>
      <c r="L7" s="17" t="s">
        <v>7</v>
      </c>
      <c r="M7" s="18" t="s">
        <v>7</v>
      </c>
      <c r="N7" s="12">
        <v>-7.8E-2</v>
      </c>
      <c r="O7" s="12">
        <v>-0.216</v>
      </c>
      <c r="P7" s="12">
        <v>0.183</v>
      </c>
      <c r="Q7" s="12">
        <v>0.128</v>
      </c>
      <c r="R7" s="12">
        <v>0.55300000000000005</v>
      </c>
      <c r="S7" s="12">
        <v>0.37</v>
      </c>
      <c r="T7" s="12">
        <v>0.376</v>
      </c>
      <c r="U7" s="12">
        <v>7.0000000000000007E-2</v>
      </c>
      <c r="V7" s="12">
        <v>0.318</v>
      </c>
      <c r="W7" s="13">
        <v>0.29699999999999999</v>
      </c>
      <c r="AL7" s="18"/>
      <c r="BA7" s="17"/>
    </row>
    <row r="8" spans="1:53" x14ac:dyDescent="0.25">
      <c r="A8" t="s">
        <v>46</v>
      </c>
      <c r="B8" s="58"/>
      <c r="H8" s="19" t="s">
        <v>12</v>
      </c>
      <c r="I8" s="5" t="s">
        <v>7</v>
      </c>
      <c r="J8" s="6" t="s">
        <v>7</v>
      </c>
      <c r="K8" s="6" t="s">
        <v>7</v>
      </c>
      <c r="L8" s="20">
        <f>4123/6882</f>
        <v>0.59909909909909909</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82</v>
      </c>
      <c r="B9" s="58"/>
      <c r="H9" s="43"/>
      <c r="Y9" s="1"/>
      <c r="AA9" s="1"/>
      <c r="AB9" s="42"/>
      <c r="AC9" s="42"/>
      <c r="AD9" s="42"/>
      <c r="AE9" s="42"/>
      <c r="AF9" s="42"/>
      <c r="AG9" s="42"/>
      <c r="AH9" s="42"/>
      <c r="AI9" s="42"/>
      <c r="AJ9" s="10"/>
      <c r="AL9" s="1"/>
      <c r="AM9" s="10"/>
      <c r="AN9" s="1"/>
      <c r="AO9" s="42"/>
      <c r="AP9" s="42"/>
      <c r="AQ9" s="42"/>
      <c r="AR9" s="42"/>
      <c r="AS9" s="42"/>
      <c r="AT9" s="42"/>
      <c r="AU9" s="42"/>
      <c r="AV9" s="42"/>
      <c r="AW9" s="42"/>
      <c r="AX9" s="10"/>
      <c r="AY9" s="93"/>
      <c r="AZ9" s="93"/>
      <c r="BA9" s="94"/>
    </row>
    <row r="10" spans="1:53" x14ac:dyDescent="0.25">
      <c r="A10" t="s">
        <v>47</v>
      </c>
      <c r="B10" s="58"/>
      <c r="Y10" s="1" t="s">
        <v>13</v>
      </c>
      <c r="Z10" s="65">
        <f>AVERAGE(Table1547[])</f>
        <v>0.13953333333333331</v>
      </c>
      <c r="AA10" s="8">
        <f>Z10</f>
        <v>0.13953333333333331</v>
      </c>
      <c r="AB10" s="9">
        <f t="shared" ref="AB10:AJ11" si="5">AA10</f>
        <v>0.13953333333333331</v>
      </c>
      <c r="AC10" s="9">
        <f t="shared" si="5"/>
        <v>0.13953333333333331</v>
      </c>
      <c r="AD10" s="9">
        <f t="shared" si="5"/>
        <v>0.13953333333333331</v>
      </c>
      <c r="AE10" s="9">
        <f t="shared" si="5"/>
        <v>0.13953333333333331</v>
      </c>
      <c r="AF10" s="9">
        <f t="shared" si="5"/>
        <v>0.13953333333333331</v>
      </c>
      <c r="AG10" s="9">
        <f t="shared" si="5"/>
        <v>0.13953333333333331</v>
      </c>
      <c r="AH10" s="9">
        <f t="shared" si="5"/>
        <v>0.13953333333333331</v>
      </c>
      <c r="AI10" s="9">
        <f t="shared" si="5"/>
        <v>0.13953333333333331</v>
      </c>
      <c r="AJ10" s="25">
        <f t="shared" si="5"/>
        <v>0.13953333333333331</v>
      </c>
      <c r="AL10" s="1" t="s">
        <v>42</v>
      </c>
      <c r="AM10" s="10"/>
      <c r="AN10" s="48">
        <f>$AM1</f>
        <v>6882</v>
      </c>
      <c r="AO10" s="49">
        <f t="shared" ref="AO10:AW10" si="6">AN10+AN10*$AM2</f>
        <v>7583.2758000000003</v>
      </c>
      <c r="AP10" s="49">
        <f t="shared" si="6"/>
        <v>8356.011604020001</v>
      </c>
      <c r="AQ10" s="49">
        <f t="shared" si="6"/>
        <v>9207.4891864696401</v>
      </c>
      <c r="AR10" s="49">
        <f t="shared" si="6"/>
        <v>10145.732334570897</v>
      </c>
      <c r="AS10" s="49">
        <f t="shared" si="6"/>
        <v>11179.582459463672</v>
      </c>
      <c r="AT10" s="49">
        <f t="shared" si="6"/>
        <v>12318.781912083021</v>
      </c>
      <c r="AU10" s="49">
        <f t="shared" si="6"/>
        <v>13574.065788924281</v>
      </c>
      <c r="AV10" s="49">
        <f t="shared" si="6"/>
        <v>14957.263092815665</v>
      </c>
      <c r="AW10" s="49">
        <f t="shared" si="6"/>
        <v>16481.40820197358</v>
      </c>
      <c r="AX10" s="50">
        <f>$AM4*AW10</f>
        <v>247221.12302960368</v>
      </c>
      <c r="AY10" s="51"/>
      <c r="AZ10" s="49"/>
      <c r="BA10" s="10"/>
    </row>
    <row r="11" spans="1:53" x14ac:dyDescent="0.25">
      <c r="A11" t="s">
        <v>48</v>
      </c>
      <c r="B11" s="58" t="s">
        <v>146</v>
      </c>
      <c r="Y11" s="18" t="s">
        <v>14</v>
      </c>
      <c r="Z11">
        <f>Z3</f>
        <v>0.15</v>
      </c>
      <c r="AA11" s="26">
        <f t="shared" ref="AA11:AJ12" si="7">Z11</f>
        <v>0.15</v>
      </c>
      <c r="AB11" s="27">
        <f t="shared" si="5"/>
        <v>0.15</v>
      </c>
      <c r="AC11" s="27">
        <f t="shared" si="5"/>
        <v>0.15</v>
      </c>
      <c r="AD11" s="27">
        <f t="shared" si="5"/>
        <v>0.15</v>
      </c>
      <c r="AE11" s="27">
        <f t="shared" si="5"/>
        <v>0.15</v>
      </c>
      <c r="AF11" s="27">
        <f t="shared" si="5"/>
        <v>0.15</v>
      </c>
      <c r="AG11" s="27">
        <f t="shared" si="5"/>
        <v>0.15</v>
      </c>
      <c r="AH11" s="27">
        <f t="shared" si="5"/>
        <v>0.15</v>
      </c>
      <c r="AI11" s="27">
        <f t="shared" si="5"/>
        <v>0.15</v>
      </c>
      <c r="AJ11" s="28">
        <f t="shared" si="5"/>
        <v>0.15</v>
      </c>
      <c r="AL11" s="5" t="s">
        <v>43</v>
      </c>
      <c r="AM11" s="7"/>
      <c r="AN11" s="52">
        <f>AN10/(1+$AM3)</f>
        <v>5984.347826086957</v>
      </c>
      <c r="AO11" s="53">
        <f t="shared" ref="AO11:AW11" si="8">(1+$AM2)*AN11/(1+$AM3)</f>
        <v>5734.0459735349732</v>
      </c>
      <c r="AP11" s="53">
        <f t="shared" si="8"/>
        <v>5494.213268033207</v>
      </c>
      <c r="AQ11" s="53">
        <f t="shared" si="8"/>
        <v>5264.4118261267749</v>
      </c>
      <c r="AR11" s="53">
        <f t="shared" si="8"/>
        <v>5044.222079312256</v>
      </c>
      <c r="AS11" s="53">
        <f t="shared" si="8"/>
        <v>4833.2420079949352</v>
      </c>
      <c r="AT11" s="53">
        <f t="shared" si="8"/>
        <v>4631.0864074866258</v>
      </c>
      <c r="AU11" s="53">
        <f t="shared" si="8"/>
        <v>4437.3861847039243</v>
      </c>
      <c r="AV11" s="53">
        <f t="shared" si="8"/>
        <v>4251.7876842828309</v>
      </c>
      <c r="AW11" s="53">
        <f t="shared" si="8"/>
        <v>4073.9520428793498</v>
      </c>
      <c r="AX11" s="54">
        <f>AX10/(1+AM3)^AX8</f>
        <v>61109.280643190228</v>
      </c>
      <c r="AY11" s="53">
        <f>SUM(AN11:AX11)</f>
        <v>110857.97594363207</v>
      </c>
      <c r="AZ11" s="53">
        <f>AY11+AM5</f>
        <v>114701.97594363207</v>
      </c>
      <c r="BA11" s="55">
        <f>AZ11/AM6</f>
        <v>238.46564645245755</v>
      </c>
    </row>
    <row r="12" spans="1:53" x14ac:dyDescent="0.25">
      <c r="A12" t="s">
        <v>65</v>
      </c>
      <c r="B12" s="92"/>
      <c r="Y12" s="5" t="s">
        <v>15</v>
      </c>
      <c r="Z12" s="7">
        <f>Z4</f>
        <v>45</v>
      </c>
      <c r="AA12" s="30">
        <f t="shared" si="7"/>
        <v>45</v>
      </c>
      <c r="AB12" s="31">
        <f t="shared" si="7"/>
        <v>45</v>
      </c>
      <c r="AC12" s="31">
        <f t="shared" si="7"/>
        <v>45</v>
      </c>
      <c r="AD12" s="31">
        <f t="shared" si="7"/>
        <v>45</v>
      </c>
      <c r="AE12" s="31">
        <f t="shared" si="7"/>
        <v>45</v>
      </c>
      <c r="AF12" s="31">
        <f t="shared" si="7"/>
        <v>45</v>
      </c>
      <c r="AG12" s="31">
        <f t="shared" si="7"/>
        <v>45</v>
      </c>
      <c r="AH12" s="31">
        <f t="shared" si="7"/>
        <v>45</v>
      </c>
      <c r="AI12" s="31">
        <f t="shared" si="7"/>
        <v>45</v>
      </c>
      <c r="AJ12" s="32">
        <f t="shared" si="7"/>
        <v>45</v>
      </c>
    </row>
    <row r="13" spans="1:53" x14ac:dyDescent="0.25">
      <c r="Y13" s="1" t="s">
        <v>16</v>
      </c>
      <c r="Z13">
        <f>Z5</f>
        <v>10.02</v>
      </c>
      <c r="AA13" s="34">
        <f>Z13</f>
        <v>10.02</v>
      </c>
      <c r="AB13" s="35">
        <f t="shared" ref="AB13:AJ13" si="9">AA13*(1+$Z10)</f>
        <v>11.418123999999999</v>
      </c>
      <c r="AC13" s="35">
        <f t="shared" si="9"/>
        <v>13.011332902133331</v>
      </c>
      <c r="AD13" s="35">
        <f t="shared" si="9"/>
        <v>14.826847553077668</v>
      </c>
      <c r="AE13" s="35">
        <f t="shared" si="9"/>
        <v>16.895687014983771</v>
      </c>
      <c r="AF13" s="35">
        <f t="shared" si="9"/>
        <v>19.253198543141174</v>
      </c>
      <c r="AG13" s="35">
        <f t="shared" si="9"/>
        <v>21.939661513194139</v>
      </c>
      <c r="AH13" s="35">
        <f t="shared" si="9"/>
        <v>25.000975616335161</v>
      </c>
      <c r="AI13" s="35">
        <f t="shared" si="9"/>
        <v>28.489445080667792</v>
      </c>
      <c r="AJ13" s="36">
        <f t="shared" si="9"/>
        <v>32.464672317590306</v>
      </c>
      <c r="AL13" s="1" t="s">
        <v>35</v>
      </c>
      <c r="AM13" s="72">
        <f>AM1</f>
        <v>6882</v>
      </c>
      <c r="AN13" s="42"/>
      <c r="AO13" s="42"/>
      <c r="AP13" s="42"/>
      <c r="AQ13" s="42"/>
      <c r="AR13" s="42"/>
      <c r="AS13" s="42"/>
      <c r="AT13" s="42"/>
      <c r="AU13" s="42"/>
      <c r="AV13" s="42"/>
      <c r="AW13" s="42"/>
      <c r="AX13" s="42"/>
      <c r="AY13" s="42"/>
      <c r="AZ13" s="42"/>
      <c r="BA13" s="10"/>
    </row>
    <row r="14" spans="1:53" ht="18.75" x14ac:dyDescent="0.3">
      <c r="A14" s="56" t="s">
        <v>29</v>
      </c>
      <c r="Y14" s="5" t="s">
        <v>19</v>
      </c>
      <c r="Z14" s="37">
        <f>AA14</f>
        <v>415.28187265910259</v>
      </c>
      <c r="AA14" s="38">
        <f t="shared" ref="AA14:AI14" si="10">AB14/(1+$Z11)</f>
        <v>415.28187265910259</v>
      </c>
      <c r="AB14" s="38">
        <f t="shared" si="10"/>
        <v>477.57415355796792</v>
      </c>
      <c r="AC14" s="38">
        <f t="shared" si="10"/>
        <v>549.21027659166305</v>
      </c>
      <c r="AD14" s="38">
        <f t="shared" si="10"/>
        <v>631.59181808041239</v>
      </c>
      <c r="AE14" s="38">
        <f t="shared" si="10"/>
        <v>726.33059079247425</v>
      </c>
      <c r="AF14" s="38">
        <f t="shared" si="10"/>
        <v>835.28017941134533</v>
      </c>
      <c r="AG14" s="38">
        <f t="shared" si="10"/>
        <v>960.57220632304711</v>
      </c>
      <c r="AH14" s="38">
        <f t="shared" si="10"/>
        <v>1104.6580372715041</v>
      </c>
      <c r="AI14" s="38">
        <f t="shared" si="10"/>
        <v>1270.3567428622296</v>
      </c>
      <c r="AJ14" s="39">
        <f>AJ13*$Z12</f>
        <v>1460.9102542915639</v>
      </c>
      <c r="AL14" s="18" t="s">
        <v>36</v>
      </c>
      <c r="AM14" s="68">
        <f>Z10</f>
        <v>0.13953333333333331</v>
      </c>
      <c r="BA14" s="17"/>
    </row>
    <row r="15" spans="1:53" x14ac:dyDescent="0.25">
      <c r="A15" s="43" t="s">
        <v>32</v>
      </c>
      <c r="B15" s="18" t="s">
        <v>0</v>
      </c>
      <c r="C15" t="s">
        <v>1</v>
      </c>
      <c r="D15" t="s">
        <v>2</v>
      </c>
      <c r="E15" t="s">
        <v>3</v>
      </c>
      <c r="AL15" s="18" t="s">
        <v>37</v>
      </c>
      <c r="AM15" s="69">
        <f>AM3</f>
        <v>0.15</v>
      </c>
      <c r="BA15" s="17"/>
    </row>
    <row r="16" spans="1:53" x14ac:dyDescent="0.25">
      <c r="A16" t="s">
        <v>52</v>
      </c>
      <c r="B16" t="s">
        <v>4</v>
      </c>
      <c r="C16" t="s">
        <v>4</v>
      </c>
      <c r="D16" t="s">
        <v>4</v>
      </c>
      <c r="E16" t="s">
        <v>5</v>
      </c>
      <c r="Y16" s="21" t="s">
        <v>61</v>
      </c>
      <c r="Z16" s="22"/>
      <c r="AA16" s="21">
        <v>2021</v>
      </c>
      <c r="AB16" s="23">
        <v>2022</v>
      </c>
      <c r="AC16" s="23">
        <v>2023</v>
      </c>
      <c r="AD16" s="23">
        <v>2024</v>
      </c>
      <c r="AE16" s="23">
        <v>2025</v>
      </c>
      <c r="AF16" s="23">
        <v>2026</v>
      </c>
      <c r="AG16" s="23">
        <v>2027</v>
      </c>
      <c r="AH16" s="23">
        <v>2028</v>
      </c>
      <c r="AI16" s="23">
        <v>2029</v>
      </c>
      <c r="AJ16" s="24">
        <v>2030</v>
      </c>
      <c r="AL16" s="18" t="s">
        <v>38</v>
      </c>
      <c r="AM16" s="69">
        <f>AM4</f>
        <v>15</v>
      </c>
      <c r="BA16" s="17"/>
    </row>
    <row r="17" spans="1:53" x14ac:dyDescent="0.25">
      <c r="A17" t="s">
        <v>23</v>
      </c>
      <c r="B17" s="16">
        <f t="shared" ref="B17:D21" si="11">I3</f>
        <v>0.15379090909090912</v>
      </c>
      <c r="C17" s="16">
        <f t="shared" si="11"/>
        <v>0.23427999999999999</v>
      </c>
      <c r="D17" s="16">
        <f t="shared" si="11"/>
        <v>0.26190000000000002</v>
      </c>
      <c r="Y17" s="1" t="s">
        <v>13</v>
      </c>
      <c r="Z17" s="60">
        <f>MAX(Table1547[])</f>
        <v>0.17419999999999999</v>
      </c>
      <c r="AA17" s="8">
        <f>Z17</f>
        <v>0.17419999999999999</v>
      </c>
      <c r="AB17" s="9">
        <f t="shared" ref="AB17:AJ18" si="12">AA17</f>
        <v>0.17419999999999999</v>
      </c>
      <c r="AC17" s="9">
        <f t="shared" si="12"/>
        <v>0.17419999999999999</v>
      </c>
      <c r="AD17" s="9">
        <f t="shared" si="12"/>
        <v>0.17419999999999999</v>
      </c>
      <c r="AE17" s="9">
        <f t="shared" si="12"/>
        <v>0.17419999999999999</v>
      </c>
      <c r="AF17" s="9">
        <f t="shared" si="12"/>
        <v>0.17419999999999999</v>
      </c>
      <c r="AG17" s="9">
        <f t="shared" si="12"/>
        <v>0.17419999999999999</v>
      </c>
      <c r="AH17" s="9">
        <f t="shared" si="12"/>
        <v>0.17419999999999999</v>
      </c>
      <c r="AI17" s="9">
        <f t="shared" si="12"/>
        <v>0.17419999999999999</v>
      </c>
      <c r="AJ17" s="25">
        <f t="shared" si="12"/>
        <v>0.17419999999999999</v>
      </c>
      <c r="AL17" s="18" t="s">
        <v>39</v>
      </c>
      <c r="AM17" s="69">
        <f>AM5</f>
        <v>3844</v>
      </c>
      <c r="BA17" s="17"/>
    </row>
    <row r="18" spans="1:53" x14ac:dyDescent="0.25">
      <c r="A18" t="s">
        <v>24</v>
      </c>
      <c r="B18" s="16">
        <f t="shared" si="11"/>
        <v>0.10190000000000002</v>
      </c>
      <c r="C18" s="16">
        <f t="shared" si="11"/>
        <v>0.15760000000000002</v>
      </c>
      <c r="D18" s="16">
        <f t="shared" si="11"/>
        <v>0.23899999999999999</v>
      </c>
      <c r="Y18" s="18" t="s">
        <v>14</v>
      </c>
      <c r="Z18">
        <f>Z3</f>
        <v>0.15</v>
      </c>
      <c r="AA18" s="26">
        <f t="shared" ref="AA18:AJ19" si="13">Z18</f>
        <v>0.15</v>
      </c>
      <c r="AB18" s="27">
        <f t="shared" si="12"/>
        <v>0.15</v>
      </c>
      <c r="AC18" s="27">
        <f t="shared" si="12"/>
        <v>0.15</v>
      </c>
      <c r="AD18" s="27">
        <f t="shared" si="12"/>
        <v>0.15</v>
      </c>
      <c r="AE18" s="27">
        <f t="shared" si="12"/>
        <v>0.15</v>
      </c>
      <c r="AF18" s="27">
        <f t="shared" si="12"/>
        <v>0.15</v>
      </c>
      <c r="AG18" s="27">
        <f t="shared" si="12"/>
        <v>0.15</v>
      </c>
      <c r="AH18" s="27">
        <f t="shared" si="12"/>
        <v>0.15</v>
      </c>
      <c r="AI18" s="27">
        <f t="shared" si="12"/>
        <v>0.15</v>
      </c>
      <c r="AJ18" s="28">
        <f t="shared" si="12"/>
        <v>0.15</v>
      </c>
      <c r="AL18" s="5" t="s">
        <v>40</v>
      </c>
      <c r="AM18" s="70">
        <f>AM6</f>
        <v>481</v>
      </c>
      <c r="BA18" s="17"/>
    </row>
    <row r="19" spans="1:53" x14ac:dyDescent="0.25">
      <c r="A19" t="s">
        <v>25</v>
      </c>
      <c r="B19" s="16">
        <f t="shared" si="11"/>
        <v>0.33799999999999997</v>
      </c>
      <c r="C19" s="16">
        <f t="shared" si="11"/>
        <v>0.376</v>
      </c>
      <c r="D19" s="16">
        <f t="shared" si="11"/>
        <v>-7.4999999999999997E-2</v>
      </c>
      <c r="Y19" s="5" t="s">
        <v>15</v>
      </c>
      <c r="Z19" s="7">
        <f>Z4</f>
        <v>45</v>
      </c>
      <c r="AA19" s="30">
        <f t="shared" si="13"/>
        <v>45</v>
      </c>
      <c r="AB19" s="31">
        <f t="shared" si="13"/>
        <v>45</v>
      </c>
      <c r="AC19" s="31">
        <f t="shared" si="13"/>
        <v>45</v>
      </c>
      <c r="AD19" s="31">
        <f t="shared" si="13"/>
        <v>45</v>
      </c>
      <c r="AE19" s="31">
        <f t="shared" si="13"/>
        <v>45</v>
      </c>
      <c r="AF19" s="31">
        <f t="shared" si="13"/>
        <v>45</v>
      </c>
      <c r="AG19" s="31">
        <f t="shared" si="13"/>
        <v>45</v>
      </c>
      <c r="AH19" s="31">
        <f t="shared" si="13"/>
        <v>45</v>
      </c>
      <c r="AI19" s="31">
        <f t="shared" si="13"/>
        <v>45</v>
      </c>
      <c r="AJ19" s="32">
        <f t="shared" si="13"/>
        <v>45</v>
      </c>
      <c r="AL19" s="18"/>
      <c r="BA19" s="17"/>
    </row>
    <row r="20" spans="1:53" x14ac:dyDescent="0.25">
      <c r="A20" t="s">
        <v>26</v>
      </c>
      <c r="B20" s="16">
        <f t="shared" si="11"/>
        <v>0.14660000000000001</v>
      </c>
      <c r="C20" s="16">
        <f t="shared" si="11"/>
        <v>0.22000000000000003</v>
      </c>
      <c r="D20" s="16">
        <f t="shared" si="11"/>
        <v>0.22700000000000001</v>
      </c>
      <c r="Y20" s="1" t="s">
        <v>16</v>
      </c>
      <c r="Z20">
        <f>Z5</f>
        <v>10.02</v>
      </c>
      <c r="AA20" s="34">
        <f>Z20</f>
        <v>10.02</v>
      </c>
      <c r="AB20" s="35">
        <f t="shared" ref="AB20:AJ20" si="14">AA20*(1+$Z17)</f>
        <v>11.765483999999999</v>
      </c>
      <c r="AC20" s="35">
        <f t="shared" si="14"/>
        <v>13.815031312799997</v>
      </c>
      <c r="AD20" s="35">
        <f t="shared" si="14"/>
        <v>16.221609767489756</v>
      </c>
      <c r="AE20" s="35">
        <f t="shared" si="14"/>
        <v>19.047414188986469</v>
      </c>
      <c r="AF20" s="35">
        <f t="shared" si="14"/>
        <v>22.365473740707909</v>
      </c>
      <c r="AG20" s="35">
        <f t="shared" si="14"/>
        <v>26.261539266339224</v>
      </c>
      <c r="AH20" s="35">
        <f t="shared" si="14"/>
        <v>30.836299406535513</v>
      </c>
      <c r="AI20" s="35">
        <f t="shared" si="14"/>
        <v>36.207982763154</v>
      </c>
      <c r="AJ20" s="36">
        <f t="shared" si="14"/>
        <v>42.515413360495423</v>
      </c>
      <c r="AL20" s="21"/>
      <c r="AM20" s="24"/>
      <c r="AN20" s="21">
        <v>1</v>
      </c>
      <c r="AO20" s="23">
        <v>2</v>
      </c>
      <c r="AP20" s="23">
        <v>3</v>
      </c>
      <c r="AQ20" s="23">
        <v>4</v>
      </c>
      <c r="AR20" s="23">
        <v>5</v>
      </c>
      <c r="AS20" s="23">
        <v>6</v>
      </c>
      <c r="AT20" s="23">
        <v>7</v>
      </c>
      <c r="AU20" s="23">
        <v>8</v>
      </c>
      <c r="AV20" s="23">
        <v>9</v>
      </c>
      <c r="AW20" s="23">
        <v>10</v>
      </c>
      <c r="AX20" s="24">
        <v>10</v>
      </c>
      <c r="AY20" s="46" t="s">
        <v>41</v>
      </c>
      <c r="AZ20" s="46" t="s">
        <v>62</v>
      </c>
      <c r="BA20" s="47" t="s">
        <v>63</v>
      </c>
    </row>
    <row r="21" spans="1:53" x14ac:dyDescent="0.25">
      <c r="A21" t="s">
        <v>27</v>
      </c>
      <c r="B21" s="16">
        <f t="shared" si="11"/>
        <v>0.20010000000000003</v>
      </c>
      <c r="C21" s="16">
        <f t="shared" si="11"/>
        <v>0.28620000000000001</v>
      </c>
      <c r="D21" s="16">
        <f t="shared" si="11"/>
        <v>0.29699999999999999</v>
      </c>
      <c r="Y21" s="5" t="s">
        <v>19</v>
      </c>
      <c r="Z21" s="37">
        <f>AA21</f>
        <v>543.8490277832218</v>
      </c>
      <c r="AA21" s="38">
        <f t="shared" ref="AA21:AI21" si="15">AB21/(1+$Z18)</f>
        <v>543.8490277832218</v>
      </c>
      <c r="AB21" s="38">
        <f t="shared" si="15"/>
        <v>625.42638195070504</v>
      </c>
      <c r="AC21" s="38">
        <f t="shared" si="15"/>
        <v>719.2403392433107</v>
      </c>
      <c r="AD21" s="38">
        <f t="shared" si="15"/>
        <v>827.12639012980731</v>
      </c>
      <c r="AE21" s="38">
        <f t="shared" si="15"/>
        <v>951.19534864927834</v>
      </c>
      <c r="AF21" s="38">
        <f t="shared" si="15"/>
        <v>1093.87465094667</v>
      </c>
      <c r="AG21" s="38">
        <f t="shared" si="15"/>
        <v>1257.9558485886705</v>
      </c>
      <c r="AH21" s="38">
        <f t="shared" si="15"/>
        <v>1446.6492258769711</v>
      </c>
      <c r="AI21" s="38">
        <f t="shared" si="15"/>
        <v>1663.6466097585167</v>
      </c>
      <c r="AJ21" s="39">
        <f>AJ20*$Z19</f>
        <v>1913.1936012222941</v>
      </c>
      <c r="AL21" s="1" t="s">
        <v>42</v>
      </c>
      <c r="AM21" s="10"/>
      <c r="AN21" s="48">
        <f>$AM13</f>
        <v>6882</v>
      </c>
      <c r="AO21" s="49">
        <f t="shared" ref="AO21:AW21" si="16">AN21+AN21*$AM14</f>
        <v>7842.2683999999999</v>
      </c>
      <c r="AP21" s="49">
        <f t="shared" si="16"/>
        <v>8936.5262507466668</v>
      </c>
      <c r="AQ21" s="49">
        <f t="shared" si="16"/>
        <v>10183.469546934186</v>
      </c>
      <c r="AR21" s="49">
        <f t="shared" si="16"/>
        <v>11604.402997716403</v>
      </c>
      <c r="AS21" s="49">
        <f t="shared" si="16"/>
        <v>13223.604029331098</v>
      </c>
      <c r="AT21" s="49">
        <f t="shared" si="16"/>
        <v>15068.737578223763</v>
      </c>
      <c r="AU21" s="49">
        <f t="shared" si="16"/>
        <v>17171.328761638586</v>
      </c>
      <c r="AV21" s="49">
        <f t="shared" si="16"/>
        <v>19567.301501512557</v>
      </c>
      <c r="AW21" s="49">
        <f t="shared" si="16"/>
        <v>22297.592304356942</v>
      </c>
      <c r="AX21" s="50">
        <f>$AM16*AW21</f>
        <v>334463.88456535415</v>
      </c>
      <c r="AY21" s="51"/>
      <c r="AZ21" s="49"/>
      <c r="BA21" s="10"/>
    </row>
    <row r="22" spans="1:53" x14ac:dyDescent="0.25">
      <c r="A22" t="s">
        <v>28</v>
      </c>
      <c r="E22" s="57">
        <f>L8</f>
        <v>0.59909909909909909</v>
      </c>
      <c r="AL22" s="5" t="s">
        <v>43</v>
      </c>
      <c r="AM22" s="7"/>
      <c r="AN22" s="52">
        <f>AN21/(1+$AM15)</f>
        <v>5984.347826086957</v>
      </c>
      <c r="AO22" s="53">
        <f t="shared" ref="AO22:AW22" si="17">(1+$AM14)*AN22/(1+$AM15)</f>
        <v>5929.881587901702</v>
      </c>
      <c r="AP22" s="53">
        <f t="shared" si="17"/>
        <v>5875.9110714205099</v>
      </c>
      <c r="AQ22" s="53">
        <f t="shared" si="17"/>
        <v>5822.4317648574361</v>
      </c>
      <c r="AR22" s="53">
        <f t="shared" si="17"/>
        <v>5769.4391974903283</v>
      </c>
      <c r="AS22" s="53">
        <f t="shared" si="17"/>
        <v>5716.9289392870833</v>
      </c>
      <c r="AT22" s="53">
        <f t="shared" si="17"/>
        <v>5664.8966005353113</v>
      </c>
      <c r="AU22" s="53">
        <f t="shared" si="17"/>
        <v>5613.3378314753672</v>
      </c>
      <c r="AV22" s="53">
        <f t="shared" si="17"/>
        <v>5562.2483219367223</v>
      </c>
      <c r="AW22" s="53">
        <f t="shared" si="17"/>
        <v>5511.6238009776462</v>
      </c>
      <c r="AX22" s="54">
        <f>AX21/(1+AM15)^AX20</f>
        <v>82674.35701466474</v>
      </c>
      <c r="AY22" s="53">
        <f>SUM(AN22:AX22)</f>
        <v>140125.40395663382</v>
      </c>
      <c r="AZ22" s="53">
        <f>AY22+AM17</f>
        <v>143969.40395663382</v>
      </c>
      <c r="BA22" s="55">
        <f>AZ22/AM18</f>
        <v>299.31269013853182</v>
      </c>
    </row>
    <row r="23" spans="1:53" x14ac:dyDescent="0.25">
      <c r="AN23" s="75"/>
      <c r="AO23" s="75"/>
      <c r="AP23" s="75"/>
      <c r="AQ23" s="75"/>
      <c r="AR23" s="75"/>
      <c r="AS23" s="75"/>
      <c r="AT23" s="75"/>
      <c r="AU23" s="75"/>
      <c r="AV23" s="75"/>
      <c r="AW23" s="75"/>
      <c r="AX23" s="75"/>
      <c r="AY23" s="75"/>
      <c r="AZ23" s="75"/>
      <c r="BA23" s="76"/>
    </row>
    <row r="24" spans="1:53" ht="18.75" x14ac:dyDescent="0.3">
      <c r="A24" s="56" t="s">
        <v>30</v>
      </c>
      <c r="AL24" s="1" t="s">
        <v>35</v>
      </c>
      <c r="AM24" s="22">
        <f>AM1</f>
        <v>6882</v>
      </c>
      <c r="AN24" s="42"/>
      <c r="AO24" s="42"/>
      <c r="AP24" s="42"/>
      <c r="AQ24" s="42"/>
      <c r="AR24" s="42"/>
      <c r="AS24" s="42"/>
      <c r="AT24" s="42"/>
      <c r="AU24" s="42"/>
      <c r="AV24" s="42"/>
      <c r="AW24" s="42"/>
      <c r="AX24" s="42"/>
      <c r="AY24" s="42"/>
      <c r="AZ24" s="42"/>
      <c r="BA24" s="10"/>
    </row>
    <row r="25" spans="1:53" x14ac:dyDescent="0.25">
      <c r="A25" t="s">
        <v>107</v>
      </c>
      <c r="B25" t="s">
        <v>137</v>
      </c>
      <c r="C25" t="s">
        <v>138</v>
      </c>
      <c r="AL25" s="18" t="s">
        <v>36</v>
      </c>
      <c r="AM25" s="71">
        <f>Z17</f>
        <v>0.17419999999999999</v>
      </c>
      <c r="BA25" s="17"/>
    </row>
    <row r="26" spans="1:53" x14ac:dyDescent="0.25">
      <c r="A26" s="16">
        <f>B18</f>
        <v>0.10190000000000002</v>
      </c>
      <c r="B26" s="86">
        <v>0.14249999999999999</v>
      </c>
      <c r="C26" s="85">
        <v>0.17419999999999999</v>
      </c>
      <c r="AL26" s="18" t="s">
        <v>37</v>
      </c>
      <c r="AM26" s="69">
        <f>AM3</f>
        <v>0.15</v>
      </c>
      <c r="BA26" s="17"/>
    </row>
    <row r="27" spans="1:53" x14ac:dyDescent="0.25">
      <c r="AL27" s="18" t="s">
        <v>38</v>
      </c>
      <c r="AM27" s="69">
        <f>AM4</f>
        <v>15</v>
      </c>
      <c r="BA27" s="17"/>
    </row>
    <row r="28" spans="1:53" ht="30" x14ac:dyDescent="0.25">
      <c r="A28" t="s">
        <v>18</v>
      </c>
      <c r="B28" s="41" t="s">
        <v>20</v>
      </c>
      <c r="C28" s="41" t="s">
        <v>31</v>
      </c>
      <c r="D28" s="41" t="s">
        <v>21</v>
      </c>
      <c r="E28" s="41" t="s">
        <v>22</v>
      </c>
      <c r="F28" t="s">
        <v>126</v>
      </c>
      <c r="AL28" s="18" t="s">
        <v>39</v>
      </c>
      <c r="AM28" s="69">
        <f>AM5</f>
        <v>3844</v>
      </c>
      <c r="BA28" s="17"/>
    </row>
    <row r="29" spans="1:53" x14ac:dyDescent="0.25">
      <c r="A29" s="16">
        <f>MIN(Table1547[])</f>
        <v>0.10190000000000002</v>
      </c>
      <c r="B29" s="73">
        <f>Z6</f>
        <v>306.95825669201446</v>
      </c>
      <c r="C29" s="63">
        <f>1-$B$6/Table144[[#This Row],[Fair Value
Method 1]]</f>
        <v>-0.30014420951193244</v>
      </c>
      <c r="D29" s="66">
        <f>BA11</f>
        <v>238.46564645245755</v>
      </c>
      <c r="E29" s="63">
        <f>1-$B$6/Table144[[#This Row],[Fair Value 
Method 2]]</f>
        <v>-0.67357439504212113</v>
      </c>
      <c r="F29" s="63">
        <f>AVERAGE(Table144[[#This Row],[MOS
Method 1]],Table144[[#This Row],[MOS 
Method 2]])</f>
        <v>-0.48685930227702678</v>
      </c>
      <c r="AL29" s="5" t="s">
        <v>40</v>
      </c>
      <c r="AM29" s="70">
        <f>AM6</f>
        <v>481</v>
      </c>
      <c r="BA29" s="17"/>
    </row>
    <row r="30" spans="1:53" x14ac:dyDescent="0.25">
      <c r="A30" s="61">
        <f>AVERAGE(Table1547[])</f>
        <v>0.13953333333333331</v>
      </c>
      <c r="B30" s="73">
        <f>Z14</f>
        <v>415.28187265910259</v>
      </c>
      <c r="C30" s="63">
        <f>1-$B$6/Table144[[#This Row],[Fair Value
Method 1]]</f>
        <v>3.8990078125548777E-2</v>
      </c>
      <c r="D30" s="66">
        <f>BA22</f>
        <v>299.31269013853182</v>
      </c>
      <c r="E30" s="63">
        <f>1-$B$6/Table144[[#This Row],[Fair Value 
Method 2]]</f>
        <v>-0.3333547595836579</v>
      </c>
      <c r="F30" s="63">
        <f>AVERAGE(Table144[[#This Row],[MOS
Method 1]],Table144[[#This Row],[MOS 
Method 2]])</f>
        <v>-0.14718234072905456</v>
      </c>
      <c r="AL30" s="18"/>
      <c r="BA30" s="17"/>
    </row>
    <row r="31" spans="1:53" x14ac:dyDescent="0.25">
      <c r="A31" s="61">
        <f>MAX(Table1547[])</f>
        <v>0.17419999999999999</v>
      </c>
      <c r="B31" s="73">
        <f>Z21</f>
        <v>543.8490277832218</v>
      </c>
      <c r="C31" s="63">
        <f>1-$B$6/Table144[[#This Row],[Fair Value
Method 1]]</f>
        <v>0.26617502355988909</v>
      </c>
      <c r="D31" s="66">
        <f>BA33</f>
        <v>369.96659228834022</v>
      </c>
      <c r="E31" s="63">
        <f>1-$B$6/Table144[[#This Row],[Fair Value 
Method 2]]</f>
        <v>-7.8719020362146397E-2</v>
      </c>
      <c r="F31" s="63">
        <f>AVERAGE(Table144[[#This Row],[MOS
Method 1]],Table144[[#This Row],[MOS 
Method 2]])</f>
        <v>9.3728001598871347E-2</v>
      </c>
      <c r="AL31" s="21"/>
      <c r="AM31" s="24"/>
      <c r="AN31" s="21">
        <v>1</v>
      </c>
      <c r="AO31" s="23">
        <v>2</v>
      </c>
      <c r="AP31" s="23">
        <v>3</v>
      </c>
      <c r="AQ31" s="23">
        <v>4</v>
      </c>
      <c r="AR31" s="23">
        <v>5</v>
      </c>
      <c r="AS31" s="23">
        <v>6</v>
      </c>
      <c r="AT31" s="23">
        <v>7</v>
      </c>
      <c r="AU31" s="23">
        <v>8</v>
      </c>
      <c r="AV31" s="23">
        <v>9</v>
      </c>
      <c r="AW31" s="23">
        <v>10</v>
      </c>
      <c r="AX31" s="24">
        <v>10</v>
      </c>
      <c r="AY31" s="46" t="s">
        <v>41</v>
      </c>
      <c r="AZ31" s="46" t="s">
        <v>62</v>
      </c>
      <c r="BA31" s="47" t="s">
        <v>63</v>
      </c>
    </row>
    <row r="32" spans="1:53" x14ac:dyDescent="0.25">
      <c r="AL32" s="1" t="s">
        <v>42</v>
      </c>
      <c r="AM32" s="10"/>
      <c r="AN32" s="48">
        <f>$AM24</f>
        <v>6882</v>
      </c>
      <c r="AO32" s="49">
        <f t="shared" ref="AO32:AW32" si="18">AN32+AN32*$AM25</f>
        <v>8080.8444</v>
      </c>
      <c r="AP32" s="49">
        <f t="shared" si="18"/>
        <v>9488.5274944800003</v>
      </c>
      <c r="AQ32" s="49">
        <f t="shared" si="18"/>
        <v>11141.428984018416</v>
      </c>
      <c r="AR32" s="49">
        <f t="shared" si="18"/>
        <v>13082.265913034424</v>
      </c>
      <c r="AS32" s="49">
        <f t="shared" si="18"/>
        <v>15361.19663508502</v>
      </c>
      <c r="AT32" s="49">
        <f t="shared" si="18"/>
        <v>18037.117088916832</v>
      </c>
      <c r="AU32" s="49">
        <f t="shared" si="18"/>
        <v>21179.182885806142</v>
      </c>
      <c r="AV32" s="49">
        <f t="shared" si="18"/>
        <v>24868.596544513573</v>
      </c>
      <c r="AW32" s="49">
        <f t="shared" si="18"/>
        <v>29200.706062567839</v>
      </c>
      <c r="AX32" s="50">
        <f>$AM27*AW32</f>
        <v>438010.59093851759</v>
      </c>
      <c r="AY32" s="51"/>
      <c r="AZ32" s="49"/>
      <c r="BA32" s="10"/>
    </row>
    <row r="33" spans="1:53" ht="18.75" x14ac:dyDescent="0.3">
      <c r="A33" s="56" t="s">
        <v>64</v>
      </c>
      <c r="AL33" s="5" t="s">
        <v>43</v>
      </c>
      <c r="AM33" s="7"/>
      <c r="AN33" s="52">
        <f>AN32/(1+$AM26)</f>
        <v>5984.347826086957</v>
      </c>
      <c r="AO33" s="53">
        <f t="shared" ref="AO33:AW33" si="19">(1+$AM25)*AN33/(1+$AM26)</f>
        <v>6110.2793194707001</v>
      </c>
      <c r="AP33" s="53">
        <f t="shared" si="19"/>
        <v>6238.8608494978225</v>
      </c>
      <c r="AQ33" s="53">
        <f t="shared" si="19"/>
        <v>6370.1481821568204</v>
      </c>
      <c r="AR33" s="53">
        <f t="shared" si="19"/>
        <v>6504.1982569465554</v>
      </c>
      <c r="AS33" s="53">
        <f t="shared" si="19"/>
        <v>6641.0692115709953</v>
      </c>
      <c r="AT33" s="53">
        <f t="shared" si="19"/>
        <v>6780.8204071536193</v>
      </c>
      <c r="AU33" s="53">
        <f t="shared" si="19"/>
        <v>6923.5124539824174</v>
      </c>
      <c r="AV33" s="53">
        <f t="shared" si="19"/>
        <v>7069.207237796656</v>
      </c>
      <c r="AW33" s="53">
        <f t="shared" si="19"/>
        <v>7217.9679466268126</v>
      </c>
      <c r="AX33" s="54">
        <f>AX32/(1+AM26)^AX31</f>
        <v>108269.51919940228</v>
      </c>
      <c r="AY33" s="53">
        <f>SUM(AN33:AX33)</f>
        <v>174109.93089069164</v>
      </c>
      <c r="AZ33" s="53">
        <f>AY33+AM28</f>
        <v>177953.93089069164</v>
      </c>
      <c r="BA33" s="55">
        <f>AZ33/AM29</f>
        <v>369.96659228834022</v>
      </c>
    </row>
    <row r="34" spans="1:53" x14ac:dyDescent="0.25">
      <c r="A34" s="77" t="s">
        <v>66</v>
      </c>
    </row>
    <row r="37" spans="1:53" x14ac:dyDescent="0.25">
      <c r="D37" s="78"/>
      <c r="E37" s="78"/>
      <c r="G37" s="79"/>
    </row>
    <row r="40" spans="1:53" x14ac:dyDescent="0.25">
      <c r="D40" s="41"/>
    </row>
  </sheetData>
  <mergeCells count="11">
    <mergeCell ref="R1:R2"/>
    <mergeCell ref="M1:M2"/>
    <mergeCell ref="N1:N2"/>
    <mergeCell ref="O1:O2"/>
    <mergeCell ref="P1:P2"/>
    <mergeCell ref="Q1:Q2"/>
    <mergeCell ref="S1:S2"/>
    <mergeCell ref="T1:T2"/>
    <mergeCell ref="U1:U2"/>
    <mergeCell ref="V1:V2"/>
    <mergeCell ref="W1:W2"/>
  </mergeCells>
  <conditionalFormatting sqref="L8">
    <cfRule type="cellIs" dxfId="791" priority="23" operator="greaterThan">
      <formula>3</formula>
    </cfRule>
    <cfRule type="cellIs" dxfId="790" priority="24" operator="lessThan">
      <formula>3</formula>
    </cfRule>
  </conditionalFormatting>
  <conditionalFormatting sqref="I3:K7">
    <cfRule type="cellIs" dxfId="789" priority="20" operator="between">
      <formula>0.05</formula>
      <formula>0.1</formula>
    </cfRule>
    <cfRule type="cellIs" dxfId="788" priority="21" operator="lessThan">
      <formula>0.05</formula>
    </cfRule>
    <cfRule type="cellIs" dxfId="787"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{0D7ABEC9-16B3-492B-B6A6-9F750F78DE35}</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{F36E15B7-A9F2-4C46-8422-13CB78EACA04}</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{BC8FC21C-B92B-42FC-B58E-04973B53A8F3}</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{A7D19D38-0148-4E2D-BDF0-8942ED7C3D5F}</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{1D695DE3-541D-491F-890A-549DA6840B64}</x14:id>
        </ext>
      </extLst>
    </cfRule>
  </conditionalFormatting>
  <conditionalFormatting sqref="E22">
    <cfRule type="cellIs" dxfId="786" priority="13" operator="greaterThan">
      <formula>3</formula>
    </cfRule>
    <cfRule type="cellIs" dxfId="785" priority="14" operator="lessThan">
      <formula>3</formula>
    </cfRule>
  </conditionalFormatting>
  <conditionalFormatting sqref="B17:D21">
    <cfRule type="cellIs" dxfId="784" priority="10" operator="between">
      <formula>0.05</formula>
      <formula>0.1</formula>
    </cfRule>
    <cfRule type="cellIs" dxfId="783" priority="11" operator="lessThan">
      <formula>0.05</formula>
    </cfRule>
    <cfRule type="cellIs" dxfId="782" priority="12" operator="greaterThan">
      <formula>0.1</formula>
    </cfRule>
  </conditionalFormatting>
  <conditionalFormatting sqref="C29:C31">
    <cfRule type="cellIs" dxfId="781" priority="7" operator="lessThan">
      <formula>0</formula>
    </cfRule>
    <cfRule type="cellIs" dxfId="780" priority="8" operator="between">
      <formula>0</formula>
      <formula>0.3</formula>
    </cfRule>
    <cfRule type="cellIs" dxfId="779" priority="9" operator="greaterThan">
      <formula>0.3</formula>
    </cfRule>
  </conditionalFormatting>
  <conditionalFormatting sqref="E29:E31">
    <cfRule type="cellIs" dxfId="778" priority="4" operator="lessThan">
      <formula>0</formula>
    </cfRule>
    <cfRule type="cellIs" dxfId="777" priority="5" operator="between">
      <formula>0</formula>
      <formula>0.3</formula>
    </cfRule>
    <cfRule type="cellIs" dxfId="776" priority="6" operator="greaterThan">
      <formula>0.3</formula>
    </cfRule>
  </conditionalFormatting>
  <conditionalFormatting sqref="F29:F31">
    <cfRule type="cellIs" dxfId="775" priority="1" operator="lessThan">
      <formula>0</formula>
    </cfRule>
    <cfRule type="cellIs" dxfId="774" priority="2" operator="between">
      <formula>0</formula>
      <formula>0.3</formula>
    </cfRule>
    <cfRule type="cellIs" dxfId="773" priority="3" operator="greaterThan">
      <formula>0.3</formula>
    </cfRule>
  </conditionalFormatting>
  <hyperlinks>
    <hyperlink ref="B4" r:id="rId1" xr:uid="{93B7B2B2-16E7-4E35-92BD-76113E9A47C7}"/>
    <hyperlink ref="A34" r:id="rId2" xr:uid="{CAC4D985-3EEB-44BC-98D0-B3838E11ADE3}"/>
  </hyperlinks>
  <pageMargins left="0.7" right="0.7" top="0.75" bottom="0.75" header="0.3" footer="0.3"/>
  <pageSetup paperSize="9" orientation="portrait" r:id="rId3"/>
  <drawing r:id="rId4"/>
  <legacyDrawing r:id="rId5"/>
  <tableParts count="4">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dataBar" id="{0D7ABEC9-16B3-492B-B6A6-9F750F78DE35}">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F36E15B7-A9F2-4C46-8422-13CB78EACA04}">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BC8FC21C-B92B-42FC-B58E-04973B53A8F3}">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A7D19D38-0148-4E2D-BDF0-8942ED7C3D5F}">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1D695DE3-541D-491F-890A-549DA6840B64}">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D32B-0EB9-4AA5-8596-5B68B1F0BE86}">
  <dimension ref="A1:BA45"/>
  <sheetViews>
    <sheetView tabSelected="1" zoomScaleNormal="100" workbookViewId="0">
      <selection activeCell="B4" sqref="B4"/>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3220</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MIN(Table1587[])</f>
        <v>0.14799999999999999</v>
      </c>
      <c r="AA2" s="8">
        <f>Z2</f>
        <v>0.14799999999999999</v>
      </c>
      <c r="AB2" s="9">
        <f t="shared" ref="AB2:AJ3" si="1">AA2</f>
        <v>0.14799999999999999</v>
      </c>
      <c r="AC2" s="9">
        <f t="shared" si="1"/>
        <v>0.14799999999999999</v>
      </c>
      <c r="AD2" s="9">
        <f t="shared" si="1"/>
        <v>0.14799999999999999</v>
      </c>
      <c r="AE2" s="9">
        <f t="shared" si="1"/>
        <v>0.14799999999999999</v>
      </c>
      <c r="AF2" s="9">
        <f t="shared" si="1"/>
        <v>0.14799999999999999</v>
      </c>
      <c r="AG2" s="9">
        <f t="shared" si="1"/>
        <v>0.14799999999999999</v>
      </c>
      <c r="AH2" s="9">
        <f t="shared" si="1"/>
        <v>0.14799999999999999</v>
      </c>
      <c r="AI2" s="9">
        <f t="shared" si="1"/>
        <v>0.14799999999999999</v>
      </c>
      <c r="AJ2" s="25">
        <f t="shared" si="1"/>
        <v>0.14799999999999999</v>
      </c>
      <c r="AL2" s="18" t="s">
        <v>36</v>
      </c>
      <c r="AM2" s="67">
        <f>Z2</f>
        <v>0.14799999999999999</v>
      </c>
      <c r="BA2" s="17"/>
    </row>
    <row r="3" spans="1:53" x14ac:dyDescent="0.25">
      <c r="A3" t="s">
        <v>49</v>
      </c>
      <c r="B3" s="58" t="s">
        <v>167</v>
      </c>
      <c r="H3" s="2" t="s">
        <v>6</v>
      </c>
      <c r="I3" s="8">
        <f>AVERAGE(M3:W3)</f>
        <v>7.515454545454546E-2</v>
      </c>
      <c r="J3" s="9">
        <f>AVERAGE(S3:W3)</f>
        <v>0.26473999999999998</v>
      </c>
      <c r="K3" s="9">
        <f>W3</f>
        <v>0.42920000000000003</v>
      </c>
      <c r="L3" s="10" t="s">
        <v>7</v>
      </c>
      <c r="M3" s="11">
        <v>0.1709</v>
      </c>
      <c r="N3" s="12">
        <v>-0.33</v>
      </c>
      <c r="O3" s="12">
        <v>1.11E-2</v>
      </c>
      <c r="P3" s="12">
        <v>-0.1159</v>
      </c>
      <c r="Q3" s="12">
        <v>0</v>
      </c>
      <c r="R3" s="12">
        <v>-0.23309999999999997</v>
      </c>
      <c r="S3" s="12">
        <v>6.6199999999999995E-2</v>
      </c>
      <c r="T3" s="12">
        <v>0.18230000000000002</v>
      </c>
      <c r="U3" s="12">
        <v>0.13619999999999999</v>
      </c>
      <c r="V3" s="12">
        <v>0.50979999999999992</v>
      </c>
      <c r="W3" s="13">
        <v>0.42920000000000003</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167</v>
      </c>
      <c r="H4" s="14" t="s">
        <v>8</v>
      </c>
      <c r="I4" s="15">
        <f>AVERAGE(M4:W4)</f>
        <v>0.28700000000000003</v>
      </c>
      <c r="J4" s="16">
        <f>AVERAGE(S4:W4)</f>
        <v>0.72399999999999998</v>
      </c>
      <c r="K4" s="16">
        <f>W4</f>
        <v>0.85299999999999998</v>
      </c>
      <c r="L4" s="17" t="s">
        <v>7</v>
      </c>
      <c r="M4" s="18" t="s">
        <v>7</v>
      </c>
      <c r="N4" s="12">
        <v>-0.7</v>
      </c>
      <c r="O4" s="12">
        <v>-0.2</v>
      </c>
      <c r="P4" s="12">
        <v>0.15</v>
      </c>
      <c r="Q4" s="12">
        <v>-1</v>
      </c>
      <c r="R4" s="12">
        <v>1</v>
      </c>
      <c r="S4" s="12">
        <v>0.317</v>
      </c>
      <c r="T4" s="12">
        <v>1.0740000000000001</v>
      </c>
      <c r="U4" s="12">
        <v>0.66100000000000003</v>
      </c>
      <c r="V4" s="12">
        <v>0.71499999999999997</v>
      </c>
      <c r="W4" s="13">
        <v>0.85299999999999998</v>
      </c>
      <c r="Y4" s="5" t="s">
        <v>15</v>
      </c>
      <c r="Z4" s="29">
        <v>20</v>
      </c>
      <c r="AA4" s="30">
        <f t="shared" si="2"/>
        <v>20</v>
      </c>
      <c r="AB4" s="31">
        <f t="shared" si="2"/>
        <v>20</v>
      </c>
      <c r="AC4" s="31">
        <f t="shared" si="2"/>
        <v>20</v>
      </c>
      <c r="AD4" s="31">
        <f t="shared" si="2"/>
        <v>20</v>
      </c>
      <c r="AE4" s="31">
        <f t="shared" si="2"/>
        <v>20</v>
      </c>
      <c r="AF4" s="31">
        <f t="shared" si="2"/>
        <v>20</v>
      </c>
      <c r="AG4" s="31">
        <f t="shared" si="2"/>
        <v>20</v>
      </c>
      <c r="AH4" s="31">
        <f t="shared" si="2"/>
        <v>20</v>
      </c>
      <c r="AI4" s="31">
        <f t="shared" si="2"/>
        <v>20</v>
      </c>
      <c r="AJ4" s="32">
        <f t="shared" si="2"/>
        <v>20</v>
      </c>
      <c r="AL4" s="18" t="s">
        <v>38</v>
      </c>
      <c r="AM4" s="64">
        <v>15</v>
      </c>
      <c r="BA4" s="17"/>
    </row>
    <row r="5" spans="1:53" x14ac:dyDescent="0.25">
      <c r="A5" t="s">
        <v>34</v>
      </c>
      <c r="B5" s="92" t="s">
        <v>168</v>
      </c>
      <c r="H5" s="14" t="s">
        <v>9</v>
      </c>
      <c r="I5" s="15">
        <f>AVERAGE(M5:W5)</f>
        <v>0.60520000000000007</v>
      </c>
      <c r="J5" s="16">
        <f>AVERAGE(S5:W5)</f>
        <v>1.4104000000000001</v>
      </c>
      <c r="K5" s="16">
        <f>W5</f>
        <v>0.248</v>
      </c>
      <c r="L5" s="17" t="s">
        <v>7</v>
      </c>
      <c r="M5" s="18" t="s">
        <v>7</v>
      </c>
      <c r="N5" s="12">
        <v>-1</v>
      </c>
      <c r="O5" s="12">
        <v>0</v>
      </c>
      <c r="P5" s="12">
        <v>0</v>
      </c>
      <c r="Q5" s="12">
        <v>0</v>
      </c>
      <c r="R5" s="12">
        <v>0</v>
      </c>
      <c r="S5" s="12">
        <v>0</v>
      </c>
      <c r="T5" s="12">
        <v>1</v>
      </c>
      <c r="U5" s="12">
        <v>-6.3E-2</v>
      </c>
      <c r="V5" s="12">
        <v>5.867</v>
      </c>
      <c r="W5" s="13">
        <v>0.248</v>
      </c>
      <c r="Y5" s="1" t="s">
        <v>16</v>
      </c>
      <c r="Z5" s="33">
        <v>2.57</v>
      </c>
      <c r="AA5" s="34">
        <f>Z5</f>
        <v>2.57</v>
      </c>
      <c r="AB5" s="35">
        <f t="shared" ref="AB5:AJ5" si="3">AA5*(1+$Z2)</f>
        <v>2.9503599999999994</v>
      </c>
      <c r="AC5" s="35">
        <f t="shared" si="3"/>
        <v>3.3870132799999992</v>
      </c>
      <c r="AD5" s="35">
        <f t="shared" si="3"/>
        <v>3.8882912454399987</v>
      </c>
      <c r="AE5" s="35">
        <f t="shared" si="3"/>
        <v>4.4637583497651185</v>
      </c>
      <c r="AF5" s="35">
        <f t="shared" si="3"/>
        <v>5.1243945855303554</v>
      </c>
      <c r="AG5" s="35">
        <f t="shared" si="3"/>
        <v>5.8828049841888479</v>
      </c>
      <c r="AH5" s="35">
        <f t="shared" si="3"/>
        <v>6.7534601218487973</v>
      </c>
      <c r="AI5" s="35">
        <f t="shared" si="3"/>
        <v>7.7529722198824187</v>
      </c>
      <c r="AJ5" s="36">
        <f t="shared" si="3"/>
        <v>8.9004121084250158</v>
      </c>
      <c r="AL5" s="18" t="s">
        <v>39</v>
      </c>
      <c r="AM5" s="40">
        <v>2535</v>
      </c>
      <c r="BA5" s="17"/>
    </row>
    <row r="6" spans="1:53" x14ac:dyDescent="0.25">
      <c r="A6" t="s">
        <v>44</v>
      </c>
      <c r="B6" s="62">
        <v>62.57</v>
      </c>
      <c r="H6" s="14" t="s">
        <v>10</v>
      </c>
      <c r="I6" s="15">
        <f>AVERAGE(M6:W6)</f>
        <v>0.12710000000000002</v>
      </c>
      <c r="J6" s="16">
        <f>AVERAGE(S6:W6)</f>
        <v>0.3246</v>
      </c>
      <c r="K6" s="16">
        <f>W6</f>
        <v>0.68300000000000005</v>
      </c>
      <c r="L6" s="17" t="s">
        <v>7</v>
      </c>
      <c r="M6" s="18" t="s">
        <v>7</v>
      </c>
      <c r="N6" s="12">
        <v>-0.17499999999999999</v>
      </c>
      <c r="O6" s="12">
        <v>-2.3E-2</v>
      </c>
      <c r="P6" s="12">
        <v>3.9E-2</v>
      </c>
      <c r="Q6" s="12">
        <v>-0.27500000000000002</v>
      </c>
      <c r="R6" s="12">
        <v>8.2000000000000003E-2</v>
      </c>
      <c r="S6" s="12">
        <v>0.216</v>
      </c>
      <c r="T6" s="12">
        <v>0.23300000000000001</v>
      </c>
      <c r="U6" s="12">
        <v>0.04</v>
      </c>
      <c r="V6" s="12">
        <v>0.45100000000000001</v>
      </c>
      <c r="W6" s="13">
        <v>0.68300000000000005</v>
      </c>
      <c r="Y6" s="5" t="s">
        <v>19</v>
      </c>
      <c r="Z6" s="37">
        <f>AA6</f>
        <v>50.601052281844275</v>
      </c>
      <c r="AA6" s="38">
        <f t="shared" ref="AA6:AI6" si="4">AB6/(1+$Z3)</f>
        <v>50.601052281844275</v>
      </c>
      <c r="AB6" s="38">
        <f t="shared" si="4"/>
        <v>58.191210124120914</v>
      </c>
      <c r="AC6" s="38">
        <f t="shared" si="4"/>
        <v>66.919891642739046</v>
      </c>
      <c r="AD6" s="38">
        <f t="shared" si="4"/>
        <v>76.957875389149891</v>
      </c>
      <c r="AE6" s="38">
        <f t="shared" si="4"/>
        <v>88.501556697522361</v>
      </c>
      <c r="AF6" s="38">
        <f t="shared" si="4"/>
        <v>101.77679020215071</v>
      </c>
      <c r="AG6" s="38">
        <f t="shared" si="4"/>
        <v>117.04330873247331</v>
      </c>
      <c r="AH6" s="38">
        <f t="shared" si="4"/>
        <v>134.59980504234429</v>
      </c>
      <c r="AI6" s="38">
        <f t="shared" si="4"/>
        <v>154.78977579869593</v>
      </c>
      <c r="AJ6" s="39">
        <f>AJ5*$Z4</f>
        <v>178.00824216850032</v>
      </c>
      <c r="AL6" s="5" t="s">
        <v>40</v>
      </c>
      <c r="AM6" s="45">
        <v>1207</v>
      </c>
      <c r="BA6" s="17"/>
    </row>
    <row r="7" spans="1:53" x14ac:dyDescent="0.25">
      <c r="A7" t="s">
        <v>45</v>
      </c>
      <c r="B7" s="58"/>
      <c r="H7" s="14" t="s">
        <v>11</v>
      </c>
      <c r="I7" s="15">
        <f>AVERAGE(M7:W7)</f>
        <v>0.49589999999999995</v>
      </c>
      <c r="J7" s="16">
        <f>AVERAGE(S7:W7)</f>
        <v>0.9917999999999999</v>
      </c>
      <c r="K7" s="16">
        <f>W7</f>
        <v>3.1440000000000001</v>
      </c>
      <c r="L7" s="17" t="s">
        <v>7</v>
      </c>
      <c r="M7" s="18" t="s">
        <v>7</v>
      </c>
      <c r="N7" s="12">
        <v>-1</v>
      </c>
      <c r="O7" s="12">
        <v>0</v>
      </c>
      <c r="P7" s="12">
        <v>0</v>
      </c>
      <c r="Q7" s="12">
        <v>0</v>
      </c>
      <c r="R7" s="12">
        <v>1</v>
      </c>
      <c r="S7" s="12">
        <v>-1</v>
      </c>
      <c r="T7" s="12">
        <v>0</v>
      </c>
      <c r="U7" s="12">
        <v>1</v>
      </c>
      <c r="V7" s="12">
        <v>1.8149999999999999</v>
      </c>
      <c r="W7" s="13">
        <v>3.1440000000000001</v>
      </c>
      <c r="AL7" s="18"/>
      <c r="BA7" s="17"/>
    </row>
    <row r="8" spans="1:53" x14ac:dyDescent="0.25">
      <c r="A8" t="s">
        <v>46</v>
      </c>
      <c r="B8" s="58"/>
      <c r="H8" s="19" t="s">
        <v>12</v>
      </c>
      <c r="I8" s="5" t="s">
        <v>7</v>
      </c>
      <c r="J8" s="6" t="s">
        <v>7</v>
      </c>
      <c r="K8" s="6" t="s">
        <v>7</v>
      </c>
      <c r="L8" s="20">
        <v>0.46</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82</v>
      </c>
      <c r="B9" s="58"/>
      <c r="H9" s="43"/>
      <c r="L9" s="20"/>
      <c r="Y9" s="1"/>
      <c r="AA9" s="1"/>
      <c r="AB9" s="42"/>
      <c r="AC9" s="42"/>
      <c r="AD9" s="42"/>
      <c r="AE9" s="42"/>
      <c r="AF9" s="42"/>
      <c r="AG9" s="42"/>
      <c r="AH9" s="42"/>
      <c r="AI9" s="42"/>
      <c r="AJ9" s="10"/>
      <c r="AL9" s="1"/>
      <c r="AM9" s="10"/>
      <c r="AN9" s="1"/>
      <c r="AO9" s="42"/>
      <c r="AP9" s="42"/>
      <c r="AQ9" s="42"/>
      <c r="AR9" s="42"/>
      <c r="AS9" s="42"/>
      <c r="AT9" s="42"/>
      <c r="AU9" s="42"/>
      <c r="AV9" s="42"/>
      <c r="AW9" s="42"/>
      <c r="AX9" s="10"/>
      <c r="AY9" s="93"/>
      <c r="AZ9" s="93"/>
      <c r="BA9" s="94"/>
    </row>
    <row r="10" spans="1:53" x14ac:dyDescent="0.25">
      <c r="A10" t="s">
        <v>47</v>
      </c>
      <c r="B10" s="58"/>
      <c r="Y10" s="1" t="s">
        <v>13</v>
      </c>
      <c r="Z10" s="65">
        <f>AVERAGE(Table1587[])</f>
        <v>0.20166666666666669</v>
      </c>
      <c r="AA10" s="8">
        <f>Z10</f>
        <v>0.20166666666666669</v>
      </c>
      <c r="AB10" s="9">
        <f t="shared" ref="AB10:AJ11" si="5">AA10</f>
        <v>0.20166666666666669</v>
      </c>
      <c r="AC10" s="9">
        <f t="shared" si="5"/>
        <v>0.20166666666666669</v>
      </c>
      <c r="AD10" s="9">
        <f t="shared" si="5"/>
        <v>0.20166666666666669</v>
      </c>
      <c r="AE10" s="9">
        <f t="shared" si="5"/>
        <v>0.20166666666666669</v>
      </c>
      <c r="AF10" s="9">
        <f t="shared" si="5"/>
        <v>0.20166666666666669</v>
      </c>
      <c r="AG10" s="9">
        <f t="shared" si="5"/>
        <v>0.20166666666666669</v>
      </c>
      <c r="AH10" s="9">
        <f t="shared" si="5"/>
        <v>0.20166666666666669</v>
      </c>
      <c r="AI10" s="9">
        <f t="shared" si="5"/>
        <v>0.20166666666666669</v>
      </c>
      <c r="AJ10" s="25">
        <f t="shared" si="5"/>
        <v>0.20166666666666669</v>
      </c>
      <c r="AL10" s="1" t="s">
        <v>42</v>
      </c>
      <c r="AM10" s="10"/>
      <c r="AN10" s="48">
        <f>$AM1</f>
        <v>3220</v>
      </c>
      <c r="AO10" s="49">
        <f t="shared" ref="AO10:AW10" si="6">AN10+AN10*$AM2</f>
        <v>3696.56</v>
      </c>
      <c r="AP10" s="49">
        <f t="shared" si="6"/>
        <v>4243.6508800000001</v>
      </c>
      <c r="AQ10" s="49">
        <f t="shared" si="6"/>
        <v>4871.7112102400006</v>
      </c>
      <c r="AR10" s="49">
        <f t="shared" si="6"/>
        <v>5592.7244693555203</v>
      </c>
      <c r="AS10" s="49">
        <f t="shared" si="6"/>
        <v>6420.4476908201377</v>
      </c>
      <c r="AT10" s="49">
        <f t="shared" si="6"/>
        <v>7370.6739490615182</v>
      </c>
      <c r="AU10" s="49">
        <f t="shared" si="6"/>
        <v>8461.5336935226223</v>
      </c>
      <c r="AV10" s="49">
        <f t="shared" si="6"/>
        <v>9713.8406801639703</v>
      </c>
      <c r="AW10" s="49">
        <f t="shared" si="6"/>
        <v>11151.489100828237</v>
      </c>
      <c r="AX10" s="50">
        <f>$AM4*AW10</f>
        <v>167272.33651242356</v>
      </c>
      <c r="AY10" s="51"/>
      <c r="AZ10" s="49"/>
      <c r="BA10" s="10"/>
    </row>
    <row r="11" spans="1:53" x14ac:dyDescent="0.25">
      <c r="A11" t="s">
        <v>48</v>
      </c>
      <c r="B11" s="58"/>
      <c r="Y11" s="18" t="s">
        <v>14</v>
      </c>
      <c r="Z11">
        <f>Z3</f>
        <v>0.15</v>
      </c>
      <c r="AA11" s="26">
        <f t="shared" ref="AA11:AJ12" si="7">Z11</f>
        <v>0.15</v>
      </c>
      <c r="AB11" s="27">
        <f t="shared" si="5"/>
        <v>0.15</v>
      </c>
      <c r="AC11" s="27">
        <f t="shared" si="5"/>
        <v>0.15</v>
      </c>
      <c r="AD11" s="27">
        <f t="shared" si="5"/>
        <v>0.15</v>
      </c>
      <c r="AE11" s="27">
        <f t="shared" si="5"/>
        <v>0.15</v>
      </c>
      <c r="AF11" s="27">
        <f t="shared" si="5"/>
        <v>0.15</v>
      </c>
      <c r="AG11" s="27">
        <f t="shared" si="5"/>
        <v>0.15</v>
      </c>
      <c r="AH11" s="27">
        <f t="shared" si="5"/>
        <v>0.15</v>
      </c>
      <c r="AI11" s="27">
        <f t="shared" si="5"/>
        <v>0.15</v>
      </c>
      <c r="AJ11" s="28">
        <f t="shared" si="5"/>
        <v>0.15</v>
      </c>
      <c r="AL11" s="5" t="s">
        <v>43</v>
      </c>
      <c r="AM11" s="7"/>
      <c r="AN11" s="52">
        <f>AN10/(1+$AM3)</f>
        <v>2800</v>
      </c>
      <c r="AO11" s="53">
        <f t="shared" ref="AO11:AW11" si="8">(1+$AM2)*AN11/(1+$AM3)</f>
        <v>2795.1304347826085</v>
      </c>
      <c r="AP11" s="53">
        <f t="shared" si="8"/>
        <v>2790.2693383742912</v>
      </c>
      <c r="AQ11" s="53">
        <f t="shared" si="8"/>
        <v>2785.4166960466837</v>
      </c>
      <c r="AR11" s="53">
        <f t="shared" si="8"/>
        <v>2780.5724930970373</v>
      </c>
      <c r="AS11" s="53">
        <f t="shared" si="8"/>
        <v>2775.7367148481726</v>
      </c>
      <c r="AT11" s="53">
        <f t="shared" si="8"/>
        <v>2770.9093466484364</v>
      </c>
      <c r="AU11" s="53">
        <f t="shared" si="8"/>
        <v>2766.0903738716565</v>
      </c>
      <c r="AV11" s="53">
        <f t="shared" si="8"/>
        <v>2761.2797819170974</v>
      </c>
      <c r="AW11" s="53">
        <f t="shared" si="8"/>
        <v>2756.4775562094155</v>
      </c>
      <c r="AX11" s="54">
        <f>AX10/(1+AM3)^AX8</f>
        <v>41347.16334314127</v>
      </c>
      <c r="AY11" s="53">
        <f>SUM(AN11:AX11)</f>
        <v>69129.046078936663</v>
      </c>
      <c r="AZ11" s="53">
        <f>AY11+AM5</f>
        <v>71664.046078936663</v>
      </c>
      <c r="BA11" s="55">
        <f>AZ11/AM6</f>
        <v>59.373691863244957</v>
      </c>
    </row>
    <row r="12" spans="1:53" x14ac:dyDescent="0.25">
      <c r="A12" t="s">
        <v>65</v>
      </c>
      <c r="B12" s="92"/>
      <c r="Y12" s="5" t="s">
        <v>15</v>
      </c>
      <c r="Z12" s="7">
        <f>Z4</f>
        <v>20</v>
      </c>
      <c r="AA12" s="30">
        <f t="shared" si="7"/>
        <v>20</v>
      </c>
      <c r="AB12" s="31">
        <f t="shared" si="7"/>
        <v>20</v>
      </c>
      <c r="AC12" s="31">
        <f t="shared" si="7"/>
        <v>20</v>
      </c>
      <c r="AD12" s="31">
        <f t="shared" si="7"/>
        <v>20</v>
      </c>
      <c r="AE12" s="31">
        <f t="shared" si="7"/>
        <v>20</v>
      </c>
      <c r="AF12" s="31">
        <f t="shared" si="7"/>
        <v>20</v>
      </c>
      <c r="AG12" s="31">
        <f t="shared" si="7"/>
        <v>20</v>
      </c>
      <c r="AH12" s="31">
        <f t="shared" si="7"/>
        <v>20</v>
      </c>
      <c r="AI12" s="31">
        <f t="shared" si="7"/>
        <v>20</v>
      </c>
      <c r="AJ12" s="32">
        <f t="shared" si="7"/>
        <v>20</v>
      </c>
    </row>
    <row r="13" spans="1:53" x14ac:dyDescent="0.25">
      <c r="Y13" s="1" t="s">
        <v>16</v>
      </c>
      <c r="Z13">
        <f>Z5</f>
        <v>2.57</v>
      </c>
      <c r="AA13" s="34">
        <f>Z13</f>
        <v>2.57</v>
      </c>
      <c r="AB13" s="35">
        <f t="shared" ref="AB13:AJ13" si="9">AA13*(1+$Z10)</f>
        <v>3.088283333333333</v>
      </c>
      <c r="AC13" s="35">
        <f t="shared" si="9"/>
        <v>3.7110871388888884</v>
      </c>
      <c r="AD13" s="35">
        <f t="shared" si="9"/>
        <v>4.4594897118981471</v>
      </c>
      <c r="AE13" s="35">
        <f t="shared" si="9"/>
        <v>5.3588201371309401</v>
      </c>
      <c r="AF13" s="35">
        <f t="shared" si="9"/>
        <v>6.4395155314523462</v>
      </c>
      <c r="AG13" s="35">
        <f t="shared" si="9"/>
        <v>7.7381511636285696</v>
      </c>
      <c r="AH13" s="35">
        <f t="shared" si="9"/>
        <v>9.2986783149603305</v>
      </c>
      <c r="AI13" s="35">
        <f t="shared" si="9"/>
        <v>11.173911775143997</v>
      </c>
      <c r="AJ13" s="36">
        <f t="shared" si="9"/>
        <v>13.427317316464704</v>
      </c>
      <c r="AL13" s="1" t="s">
        <v>35</v>
      </c>
      <c r="AM13" s="72">
        <f>AM1</f>
        <v>3220</v>
      </c>
      <c r="AN13" s="42"/>
      <c r="AO13" s="42"/>
      <c r="AP13" s="42"/>
      <c r="AQ13" s="42"/>
      <c r="AR13" s="42"/>
      <c r="AS13" s="42"/>
      <c r="AT13" s="42"/>
      <c r="AU13" s="42"/>
      <c r="AV13" s="42"/>
      <c r="AW13" s="42"/>
      <c r="AX13" s="42"/>
      <c r="AY13" s="42"/>
      <c r="AZ13" s="42"/>
      <c r="BA13" s="10"/>
    </row>
    <row r="14" spans="1:53" ht="18.75" x14ac:dyDescent="0.3">
      <c r="A14" s="56" t="s">
        <v>29</v>
      </c>
      <c r="Y14" s="5" t="s">
        <v>19</v>
      </c>
      <c r="Z14" s="37">
        <f>AA14</f>
        <v>76.33763215213348</v>
      </c>
      <c r="AA14" s="38">
        <f t="shared" ref="AA14:AI14" si="10">AB14/(1+$Z11)</f>
        <v>76.33763215213348</v>
      </c>
      <c r="AB14" s="38">
        <f t="shared" si="10"/>
        <v>87.78827697495349</v>
      </c>
      <c r="AC14" s="38">
        <f t="shared" si="10"/>
        <v>100.9565185211965</v>
      </c>
      <c r="AD14" s="38">
        <f t="shared" si="10"/>
        <v>116.09999629937596</v>
      </c>
      <c r="AE14" s="38">
        <f t="shared" si="10"/>
        <v>133.51499574428234</v>
      </c>
      <c r="AF14" s="38">
        <f t="shared" si="10"/>
        <v>153.54224510592468</v>
      </c>
      <c r="AG14" s="38">
        <f t="shared" si="10"/>
        <v>176.57358187181336</v>
      </c>
      <c r="AH14" s="38">
        <f t="shared" si="10"/>
        <v>203.05961915258536</v>
      </c>
      <c r="AI14" s="38">
        <f t="shared" si="10"/>
        <v>233.51856202547313</v>
      </c>
      <c r="AJ14" s="39">
        <f>AJ13*$Z12</f>
        <v>268.54634632929407</v>
      </c>
      <c r="AL14" s="18" t="s">
        <v>36</v>
      </c>
      <c r="AM14" s="68">
        <f>Z10</f>
        <v>0.20166666666666669</v>
      </c>
      <c r="BA14" s="17"/>
    </row>
    <row r="15" spans="1:53" x14ac:dyDescent="0.25">
      <c r="A15" s="43" t="s">
        <v>32</v>
      </c>
      <c r="B15" s="18" t="s">
        <v>0</v>
      </c>
      <c r="C15" t="s">
        <v>1</v>
      </c>
      <c r="D15" t="s">
        <v>2</v>
      </c>
      <c r="E15" t="s">
        <v>3</v>
      </c>
      <c r="AL15" s="18" t="s">
        <v>37</v>
      </c>
      <c r="AM15" s="69">
        <f>AM3</f>
        <v>0.15</v>
      </c>
      <c r="BA15" s="17"/>
    </row>
    <row r="16" spans="1:53" x14ac:dyDescent="0.25">
      <c r="A16" t="s">
        <v>52</v>
      </c>
      <c r="B16" t="s">
        <v>4</v>
      </c>
      <c r="C16" t="s">
        <v>4</v>
      </c>
      <c r="D16" t="s">
        <v>4</v>
      </c>
      <c r="E16" t="s">
        <v>5</v>
      </c>
      <c r="Y16" s="21" t="s">
        <v>61</v>
      </c>
      <c r="Z16" s="22"/>
      <c r="AA16" s="21">
        <v>2021</v>
      </c>
      <c r="AB16" s="23">
        <v>2022</v>
      </c>
      <c r="AC16" s="23">
        <v>2023</v>
      </c>
      <c r="AD16" s="23">
        <v>2024</v>
      </c>
      <c r="AE16" s="23">
        <v>2025</v>
      </c>
      <c r="AF16" s="23">
        <v>2026</v>
      </c>
      <c r="AG16" s="23">
        <v>2027</v>
      </c>
      <c r="AH16" s="23">
        <v>2028</v>
      </c>
      <c r="AI16" s="23">
        <v>2029</v>
      </c>
      <c r="AJ16" s="24">
        <v>2030</v>
      </c>
      <c r="AL16" s="18" t="s">
        <v>38</v>
      </c>
      <c r="AM16" s="69">
        <f>AM4</f>
        <v>15</v>
      </c>
      <c r="BA16" s="17"/>
    </row>
    <row r="17" spans="1:53" x14ac:dyDescent="0.25">
      <c r="A17" t="s">
        <v>23</v>
      </c>
      <c r="B17" s="16">
        <f t="shared" ref="B17:D21" si="11">I3</f>
        <v>7.515454545454546E-2</v>
      </c>
      <c r="C17" s="16">
        <f t="shared" si="11"/>
        <v>0.26473999999999998</v>
      </c>
      <c r="D17" s="16">
        <f t="shared" si="11"/>
        <v>0.42920000000000003</v>
      </c>
      <c r="Y17" s="1" t="s">
        <v>13</v>
      </c>
      <c r="Z17" s="60">
        <f>MAX(Table1587[])</f>
        <v>0.28700000000000003</v>
      </c>
      <c r="AA17" s="8">
        <f>Z17</f>
        <v>0.28700000000000003</v>
      </c>
      <c r="AB17" s="9">
        <f t="shared" ref="AB17:AJ18" si="12">AA17</f>
        <v>0.28700000000000003</v>
      </c>
      <c r="AC17" s="9">
        <f t="shared" si="12"/>
        <v>0.28700000000000003</v>
      </c>
      <c r="AD17" s="9">
        <f t="shared" si="12"/>
        <v>0.28700000000000003</v>
      </c>
      <c r="AE17" s="9">
        <f t="shared" si="12"/>
        <v>0.28700000000000003</v>
      </c>
      <c r="AF17" s="9">
        <f t="shared" si="12"/>
        <v>0.28700000000000003</v>
      </c>
      <c r="AG17" s="9">
        <f t="shared" si="12"/>
        <v>0.28700000000000003</v>
      </c>
      <c r="AH17" s="9">
        <f t="shared" si="12"/>
        <v>0.28700000000000003</v>
      </c>
      <c r="AI17" s="9">
        <f t="shared" si="12"/>
        <v>0.28700000000000003</v>
      </c>
      <c r="AJ17" s="25">
        <f t="shared" si="12"/>
        <v>0.28700000000000003</v>
      </c>
      <c r="AL17" s="18" t="s">
        <v>39</v>
      </c>
      <c r="AM17" s="69">
        <f>AM5</f>
        <v>2535</v>
      </c>
      <c r="BA17" s="17"/>
    </row>
    <row r="18" spans="1:53" x14ac:dyDescent="0.25">
      <c r="A18" t="s">
        <v>24</v>
      </c>
      <c r="B18" s="16">
        <f t="shared" si="11"/>
        <v>0.28700000000000003</v>
      </c>
      <c r="C18" s="16">
        <f t="shared" si="11"/>
        <v>0.72399999999999998</v>
      </c>
      <c r="D18" s="16">
        <f t="shared" si="11"/>
        <v>0.85299999999999998</v>
      </c>
      <c r="Y18" s="18" t="s">
        <v>14</v>
      </c>
      <c r="Z18">
        <f>Z3</f>
        <v>0.15</v>
      </c>
      <c r="AA18" s="26">
        <f t="shared" ref="AA18:AJ19" si="13">Z18</f>
        <v>0.15</v>
      </c>
      <c r="AB18" s="27">
        <f t="shared" si="12"/>
        <v>0.15</v>
      </c>
      <c r="AC18" s="27">
        <f t="shared" si="12"/>
        <v>0.15</v>
      </c>
      <c r="AD18" s="27">
        <f t="shared" si="12"/>
        <v>0.15</v>
      </c>
      <c r="AE18" s="27">
        <f t="shared" si="12"/>
        <v>0.15</v>
      </c>
      <c r="AF18" s="27">
        <f t="shared" si="12"/>
        <v>0.15</v>
      </c>
      <c r="AG18" s="27">
        <f t="shared" si="12"/>
        <v>0.15</v>
      </c>
      <c r="AH18" s="27">
        <f t="shared" si="12"/>
        <v>0.15</v>
      </c>
      <c r="AI18" s="27">
        <f t="shared" si="12"/>
        <v>0.15</v>
      </c>
      <c r="AJ18" s="28">
        <f t="shared" si="12"/>
        <v>0.15</v>
      </c>
      <c r="AL18" s="5" t="s">
        <v>40</v>
      </c>
      <c r="AM18" s="70">
        <f>AM6</f>
        <v>1207</v>
      </c>
      <c r="BA18" s="17"/>
    </row>
    <row r="19" spans="1:53" x14ac:dyDescent="0.25">
      <c r="A19" t="s">
        <v>25</v>
      </c>
      <c r="B19" s="16">
        <f t="shared" si="11"/>
        <v>0.60520000000000007</v>
      </c>
      <c r="C19" s="16">
        <f t="shared" si="11"/>
        <v>1.4104000000000001</v>
      </c>
      <c r="D19" s="16">
        <f t="shared" si="11"/>
        <v>0.248</v>
      </c>
      <c r="Y19" s="5" t="s">
        <v>15</v>
      </c>
      <c r="Z19" s="7">
        <f>Z4</f>
        <v>20</v>
      </c>
      <c r="AA19" s="30">
        <f t="shared" si="13"/>
        <v>20</v>
      </c>
      <c r="AB19" s="31">
        <f t="shared" si="13"/>
        <v>20</v>
      </c>
      <c r="AC19" s="31">
        <f t="shared" si="13"/>
        <v>20</v>
      </c>
      <c r="AD19" s="31">
        <f t="shared" si="13"/>
        <v>20</v>
      </c>
      <c r="AE19" s="31">
        <f t="shared" si="13"/>
        <v>20</v>
      </c>
      <c r="AF19" s="31">
        <f t="shared" si="13"/>
        <v>20</v>
      </c>
      <c r="AG19" s="31">
        <f t="shared" si="13"/>
        <v>20</v>
      </c>
      <c r="AH19" s="31">
        <f t="shared" si="13"/>
        <v>20</v>
      </c>
      <c r="AI19" s="31">
        <f t="shared" si="13"/>
        <v>20</v>
      </c>
      <c r="AJ19" s="32">
        <f t="shared" si="13"/>
        <v>20</v>
      </c>
      <c r="AL19" s="18"/>
      <c r="BA19" s="17"/>
    </row>
    <row r="20" spans="1:53" x14ac:dyDescent="0.25">
      <c r="A20" t="s">
        <v>26</v>
      </c>
      <c r="B20" s="16">
        <f t="shared" si="11"/>
        <v>0.12710000000000002</v>
      </c>
      <c r="C20" s="16">
        <f t="shared" si="11"/>
        <v>0.3246</v>
      </c>
      <c r="D20" s="16">
        <f t="shared" si="11"/>
        <v>0.68300000000000005</v>
      </c>
      <c r="Y20" s="1" t="s">
        <v>16</v>
      </c>
      <c r="Z20">
        <f>Z5</f>
        <v>2.57</v>
      </c>
      <c r="AA20" s="34">
        <f>Z20</f>
        <v>2.57</v>
      </c>
      <c r="AB20" s="35">
        <f t="shared" ref="AB20:AJ20" si="14">AA20*(1+$Z17)</f>
        <v>3.3075899999999998</v>
      </c>
      <c r="AC20" s="35">
        <f t="shared" si="14"/>
        <v>4.2568683299999996</v>
      </c>
      <c r="AD20" s="35">
        <f t="shared" si="14"/>
        <v>5.4785895407099989</v>
      </c>
      <c r="AE20" s="35">
        <f t="shared" si="14"/>
        <v>7.0509447388937678</v>
      </c>
      <c r="AF20" s="35">
        <f t="shared" si="14"/>
        <v>9.0745658789562782</v>
      </c>
      <c r="AG20" s="35">
        <f t="shared" si="14"/>
        <v>11.678966286216729</v>
      </c>
      <c r="AH20" s="35">
        <f t="shared" si="14"/>
        <v>15.03082961036093</v>
      </c>
      <c r="AI20" s="35">
        <f t="shared" si="14"/>
        <v>19.344677708534515</v>
      </c>
      <c r="AJ20" s="36">
        <f t="shared" si="14"/>
        <v>24.896600210883921</v>
      </c>
      <c r="AL20" s="21"/>
      <c r="AM20" s="24"/>
      <c r="AN20" s="21">
        <v>1</v>
      </c>
      <c r="AO20" s="23">
        <v>2</v>
      </c>
      <c r="AP20" s="23">
        <v>3</v>
      </c>
      <c r="AQ20" s="23">
        <v>4</v>
      </c>
      <c r="AR20" s="23">
        <v>5</v>
      </c>
      <c r="AS20" s="23">
        <v>6</v>
      </c>
      <c r="AT20" s="23">
        <v>7</v>
      </c>
      <c r="AU20" s="23">
        <v>8</v>
      </c>
      <c r="AV20" s="23">
        <v>9</v>
      </c>
      <c r="AW20" s="23">
        <v>10</v>
      </c>
      <c r="AX20" s="24">
        <v>10</v>
      </c>
      <c r="AY20" s="46" t="s">
        <v>41</v>
      </c>
      <c r="AZ20" s="46" t="s">
        <v>62</v>
      </c>
      <c r="BA20" s="47" t="s">
        <v>63</v>
      </c>
    </row>
    <row r="21" spans="1:53" x14ac:dyDescent="0.25">
      <c r="A21" t="s">
        <v>27</v>
      </c>
      <c r="B21" s="16">
        <f t="shared" si="11"/>
        <v>0.49589999999999995</v>
      </c>
      <c r="C21" s="16">
        <f t="shared" si="11"/>
        <v>0.9917999999999999</v>
      </c>
      <c r="D21" s="16">
        <f t="shared" si="11"/>
        <v>3.1440000000000001</v>
      </c>
      <c r="Y21" s="5" t="s">
        <v>19</v>
      </c>
      <c r="Z21" s="37">
        <f>AA21</f>
        <v>141.54335255090132</v>
      </c>
      <c r="AA21" s="38">
        <f t="shared" ref="AA21:AI21" si="15">AB21/(1+$Z18)</f>
        <v>141.54335255090132</v>
      </c>
      <c r="AB21" s="38">
        <f t="shared" si="15"/>
        <v>162.77485543353649</v>
      </c>
      <c r="AC21" s="38">
        <f t="shared" si="15"/>
        <v>187.19108374856694</v>
      </c>
      <c r="AD21" s="38">
        <f t="shared" si="15"/>
        <v>215.26974631085196</v>
      </c>
      <c r="AE21" s="38">
        <f t="shared" si="15"/>
        <v>247.56020825747973</v>
      </c>
      <c r="AF21" s="38">
        <f t="shared" si="15"/>
        <v>284.69423949610166</v>
      </c>
      <c r="AG21" s="38">
        <f t="shared" si="15"/>
        <v>327.39837542051686</v>
      </c>
      <c r="AH21" s="38">
        <f t="shared" si="15"/>
        <v>376.50813173359433</v>
      </c>
      <c r="AI21" s="38">
        <f t="shared" si="15"/>
        <v>432.98435149363343</v>
      </c>
      <c r="AJ21" s="39">
        <f>AJ20*$Z19</f>
        <v>497.93200421767841</v>
      </c>
      <c r="AL21" s="1" t="s">
        <v>42</v>
      </c>
      <c r="AM21" s="10"/>
      <c r="AN21" s="48">
        <f>$AM13</f>
        <v>3220</v>
      </c>
      <c r="AO21" s="49">
        <f t="shared" ref="AO21:AW21" si="16">AN21+AN21*$AM14</f>
        <v>3869.3666666666668</v>
      </c>
      <c r="AP21" s="49">
        <f t="shared" si="16"/>
        <v>4649.688944444445</v>
      </c>
      <c r="AQ21" s="49">
        <f t="shared" si="16"/>
        <v>5587.3762149074082</v>
      </c>
      <c r="AR21" s="49">
        <f t="shared" si="16"/>
        <v>6714.1637515804023</v>
      </c>
      <c r="AS21" s="49">
        <f t="shared" si="16"/>
        <v>8068.1867748157838</v>
      </c>
      <c r="AT21" s="49">
        <f t="shared" si="16"/>
        <v>9695.2711077369677</v>
      </c>
      <c r="AU21" s="49">
        <f t="shared" si="16"/>
        <v>11650.484114463923</v>
      </c>
      <c r="AV21" s="49">
        <f t="shared" si="16"/>
        <v>13999.998410880815</v>
      </c>
      <c r="AW21" s="49">
        <f t="shared" si="16"/>
        <v>16823.33142374178</v>
      </c>
      <c r="AX21" s="50">
        <f>$AM16*AW21</f>
        <v>252349.97135612671</v>
      </c>
      <c r="AY21" s="51"/>
      <c r="AZ21" s="49"/>
      <c r="BA21" s="10"/>
    </row>
    <row r="22" spans="1:53" x14ac:dyDescent="0.25">
      <c r="A22" t="s">
        <v>28</v>
      </c>
      <c r="E22" s="57">
        <f>L8</f>
        <v>0.46</v>
      </c>
      <c r="AL22" s="5" t="s">
        <v>43</v>
      </c>
      <c r="AM22" s="7"/>
      <c r="AN22" s="52">
        <f>AN21/(1+$AM15)</f>
        <v>2800</v>
      </c>
      <c r="AO22" s="53">
        <f t="shared" ref="AO22:AW22" si="17">(1+$AM14)*AN22/(1+$AM15)</f>
        <v>2925.7971014492755</v>
      </c>
      <c r="AP22" s="53">
        <f t="shared" si="17"/>
        <v>3057.2459567317796</v>
      </c>
      <c r="AQ22" s="53">
        <f t="shared" si="17"/>
        <v>3194.6004852226279</v>
      </c>
      <c r="AR22" s="53">
        <f t="shared" si="17"/>
        <v>3338.126014268862</v>
      </c>
      <c r="AS22" s="53">
        <f t="shared" si="17"/>
        <v>3488.0997917215213</v>
      </c>
      <c r="AT22" s="53">
        <f t="shared" si="17"/>
        <v>3644.8115214945174</v>
      </c>
      <c r="AU22" s="53">
        <f t="shared" si="17"/>
        <v>3808.5639231848509</v>
      </c>
      <c r="AV22" s="53">
        <f t="shared" si="17"/>
        <v>3979.6733168351852</v>
      </c>
      <c r="AW22" s="53">
        <f t="shared" si="17"/>
        <v>4158.4702339683608</v>
      </c>
      <c r="AX22" s="54">
        <f>AX21/(1+AM15)^AX20</f>
        <v>62377.053509525453</v>
      </c>
      <c r="AY22" s="53">
        <f>SUM(AN22:AX22)</f>
        <v>96772.441854402423</v>
      </c>
      <c r="AZ22" s="53">
        <f>AY22+AM17</f>
        <v>99307.441854402423</v>
      </c>
      <c r="BA22" s="55">
        <f>AZ22/AM18</f>
        <v>82.276256714500761</v>
      </c>
    </row>
    <row r="23" spans="1:53" x14ac:dyDescent="0.25">
      <c r="AN23" s="75"/>
      <c r="AO23" s="75"/>
      <c r="AP23" s="75"/>
      <c r="AQ23" s="75"/>
      <c r="AR23" s="75"/>
      <c r="AS23" s="75"/>
      <c r="AT23" s="75"/>
      <c r="AU23" s="75"/>
      <c r="AV23" s="75"/>
      <c r="AW23" s="75"/>
      <c r="AX23" s="75"/>
      <c r="AY23" s="75"/>
      <c r="AZ23" s="75"/>
      <c r="BA23" s="76"/>
    </row>
    <row r="24" spans="1:53" ht="18.75" x14ac:dyDescent="0.3">
      <c r="A24" s="56" t="s">
        <v>30</v>
      </c>
      <c r="AL24" s="1" t="s">
        <v>35</v>
      </c>
      <c r="AM24" s="22">
        <f>AM1</f>
        <v>3220</v>
      </c>
      <c r="AN24" s="42"/>
      <c r="AO24" s="42"/>
      <c r="AP24" s="42"/>
      <c r="AQ24" s="42"/>
      <c r="AR24" s="42"/>
      <c r="AS24" s="42"/>
      <c r="AT24" s="42"/>
      <c r="AU24" s="42"/>
      <c r="AV24" s="42"/>
      <c r="AW24" s="42"/>
      <c r="AX24" s="42"/>
      <c r="AY24" s="42"/>
      <c r="AZ24" s="42"/>
      <c r="BA24" s="10"/>
    </row>
    <row r="25" spans="1:53" x14ac:dyDescent="0.25">
      <c r="A25" t="s">
        <v>107</v>
      </c>
      <c r="B25" t="s">
        <v>137</v>
      </c>
      <c r="C25" t="s">
        <v>138</v>
      </c>
      <c r="AL25" s="18" t="s">
        <v>36</v>
      </c>
      <c r="AM25" s="71">
        <f>Z17</f>
        <v>0.28700000000000003</v>
      </c>
      <c r="BA25" s="17"/>
    </row>
    <row r="26" spans="1:53" x14ac:dyDescent="0.25">
      <c r="A26" s="16">
        <f>B18</f>
        <v>0.28700000000000003</v>
      </c>
      <c r="B26" s="86">
        <v>0.14799999999999999</v>
      </c>
      <c r="C26" s="85">
        <v>0.17</v>
      </c>
      <c r="AL26" s="18" t="s">
        <v>37</v>
      </c>
      <c r="AM26" s="69">
        <f>AM3</f>
        <v>0.15</v>
      </c>
      <c r="BA26" s="17"/>
    </row>
    <row r="27" spans="1:53" x14ac:dyDescent="0.25">
      <c r="AL27" s="18" t="s">
        <v>38</v>
      </c>
      <c r="AM27" s="69">
        <f>AM4</f>
        <v>15</v>
      </c>
      <c r="BA27" s="17"/>
    </row>
    <row r="28" spans="1:53" ht="30" x14ac:dyDescent="0.25">
      <c r="A28" t="s">
        <v>18</v>
      </c>
      <c r="B28" s="41" t="s">
        <v>20</v>
      </c>
      <c r="C28" s="41" t="s">
        <v>31</v>
      </c>
      <c r="D28" s="41" t="s">
        <v>21</v>
      </c>
      <c r="E28" s="41" t="s">
        <v>22</v>
      </c>
      <c r="F28" t="s">
        <v>126</v>
      </c>
      <c r="AL28" s="18" t="s">
        <v>39</v>
      </c>
      <c r="AM28" s="69">
        <f>AM5</f>
        <v>2535</v>
      </c>
      <c r="BA28" s="17"/>
    </row>
    <row r="29" spans="1:53" x14ac:dyDescent="0.25">
      <c r="A29" s="16">
        <f>MIN(Table1587[])</f>
        <v>0.14799999999999999</v>
      </c>
      <c r="B29" s="73">
        <f>Z6</f>
        <v>50.601052281844275</v>
      </c>
      <c r="C29" s="63">
        <f>1-$B$6/Table184[[#This Row],[Fair Value
Method 1]]</f>
        <v>-0.23653554972512292</v>
      </c>
      <c r="D29" s="66">
        <f>BA11</f>
        <v>59.373691863244957</v>
      </c>
      <c r="E29" s="63">
        <f>1-$B$6/Table184[[#This Row],[Fair Value 
Method 2]]</f>
        <v>-5.3833744145758589E-2</v>
      </c>
      <c r="F29" s="63">
        <f>AVERAGE(Table184[[#This Row],[MOS
Method 1]],Table184[[#This Row],[MOS 
Method 2]])</f>
        <v>-0.14518464693544075</v>
      </c>
      <c r="AL29" s="5" t="s">
        <v>40</v>
      </c>
      <c r="AM29" s="70">
        <f>AM6</f>
        <v>1207</v>
      </c>
      <c r="BA29" s="17"/>
    </row>
    <row r="30" spans="1:53" x14ac:dyDescent="0.25">
      <c r="A30" s="61">
        <f>AVERAGE(Table1587[])</f>
        <v>0.20166666666666669</v>
      </c>
      <c r="B30" s="73">
        <f>Z14</f>
        <v>76.33763215213348</v>
      </c>
      <c r="C30" s="63">
        <f>1-$B$6/Table184[[#This Row],[Fair Value
Method 1]]</f>
        <v>0.18035183649259556</v>
      </c>
      <c r="D30" s="66">
        <f>BA22</f>
        <v>82.276256714500761</v>
      </c>
      <c r="E30" s="63">
        <f>1-$B$6/Table184[[#This Row],[Fair Value 
Method 2]]</f>
        <v>0.23951328732518329</v>
      </c>
      <c r="F30" s="63">
        <f>AVERAGE(Table184[[#This Row],[MOS
Method 1]],Table184[[#This Row],[MOS 
Method 2]])</f>
        <v>0.20993256190888943</v>
      </c>
      <c r="AL30" s="18"/>
      <c r="BA30" s="17"/>
    </row>
    <row r="31" spans="1:53" x14ac:dyDescent="0.25">
      <c r="A31" s="61">
        <f>MAX(Table1587[])</f>
        <v>0.28700000000000003</v>
      </c>
      <c r="B31" s="73">
        <f>Z21</f>
        <v>141.54335255090132</v>
      </c>
      <c r="C31" s="63">
        <f>1-$B$6/Table184[[#This Row],[Fair Value
Method 1]]</f>
        <v>0.55794462352091878</v>
      </c>
      <c r="D31" s="66">
        <f>BA33</f>
        <v>138.46174503406428</v>
      </c>
      <c r="E31" s="63">
        <f>1-$B$6/Table184[[#This Row],[Fair Value 
Method 2]]</f>
        <v>0.54810622974160439</v>
      </c>
      <c r="F31" s="63">
        <f>AVERAGE(Table184[[#This Row],[MOS
Method 1]],Table184[[#This Row],[MOS 
Method 2]])</f>
        <v>0.55302542663126153</v>
      </c>
      <c r="AL31" s="21"/>
      <c r="AM31" s="24"/>
      <c r="AN31" s="21">
        <v>1</v>
      </c>
      <c r="AO31" s="23">
        <v>2</v>
      </c>
      <c r="AP31" s="23">
        <v>3</v>
      </c>
      <c r="AQ31" s="23">
        <v>4</v>
      </c>
      <c r="AR31" s="23">
        <v>5</v>
      </c>
      <c r="AS31" s="23">
        <v>6</v>
      </c>
      <c r="AT31" s="23">
        <v>7</v>
      </c>
      <c r="AU31" s="23">
        <v>8</v>
      </c>
      <c r="AV31" s="23">
        <v>9</v>
      </c>
      <c r="AW31" s="23">
        <v>10</v>
      </c>
      <c r="AX31" s="24">
        <v>10</v>
      </c>
      <c r="AY31" s="46" t="s">
        <v>41</v>
      </c>
      <c r="AZ31" s="46" t="s">
        <v>62</v>
      </c>
      <c r="BA31" s="47" t="s">
        <v>63</v>
      </c>
    </row>
    <row r="32" spans="1:53" x14ac:dyDescent="0.25">
      <c r="AL32" s="1" t="s">
        <v>42</v>
      </c>
      <c r="AM32" s="10"/>
      <c r="AN32" s="48">
        <f>$AM24</f>
        <v>3220</v>
      </c>
      <c r="AO32" s="49">
        <f t="shared" ref="AO32:AW32" si="18">AN32+AN32*$AM25</f>
        <v>4144.1400000000003</v>
      </c>
      <c r="AP32" s="49">
        <f t="shared" si="18"/>
        <v>5333.5081800000007</v>
      </c>
      <c r="AQ32" s="49">
        <f t="shared" si="18"/>
        <v>6864.2250276600007</v>
      </c>
      <c r="AR32" s="49">
        <f t="shared" si="18"/>
        <v>8834.2576105984208</v>
      </c>
      <c r="AS32" s="49">
        <f t="shared" si="18"/>
        <v>11369.689544840168</v>
      </c>
      <c r="AT32" s="49">
        <f t="shared" si="18"/>
        <v>14632.790444209297</v>
      </c>
      <c r="AU32" s="49">
        <f t="shared" si="18"/>
        <v>18832.401301697366</v>
      </c>
      <c r="AV32" s="49">
        <f t="shared" si="18"/>
        <v>24237.300475284512</v>
      </c>
      <c r="AW32" s="49">
        <f t="shared" si="18"/>
        <v>31193.405711691168</v>
      </c>
      <c r="AX32" s="50">
        <f>$AM27*AW32</f>
        <v>467901.0856753675</v>
      </c>
      <c r="AY32" s="51"/>
      <c r="AZ32" s="49"/>
      <c r="BA32" s="10"/>
    </row>
    <row r="33" spans="1:53" ht="18.75" x14ac:dyDescent="0.3">
      <c r="A33" s="56" t="s">
        <v>64</v>
      </c>
      <c r="AL33" s="5" t="s">
        <v>43</v>
      </c>
      <c r="AM33" s="7"/>
      <c r="AN33" s="52">
        <f>AN32/(1+$AM26)</f>
        <v>2800</v>
      </c>
      <c r="AO33" s="53">
        <f t="shared" ref="AO33:AW33" si="19">(1+$AM25)*AN33/(1+$AM26)</f>
        <v>3133.5652173913045</v>
      </c>
      <c r="AP33" s="53">
        <f t="shared" si="19"/>
        <v>3506.8682041587904</v>
      </c>
      <c r="AQ33" s="53">
        <f t="shared" si="19"/>
        <v>3924.6429380455334</v>
      </c>
      <c r="AR33" s="53">
        <f t="shared" si="19"/>
        <v>4392.1873576213929</v>
      </c>
      <c r="AS33" s="53">
        <f t="shared" si="19"/>
        <v>4915.4305471815069</v>
      </c>
      <c r="AT33" s="53">
        <f t="shared" si="19"/>
        <v>5501.007925410956</v>
      </c>
      <c r="AU33" s="53">
        <f t="shared" si="19"/>
        <v>6156.3453913077392</v>
      </c>
      <c r="AV33" s="53">
        <f t="shared" si="19"/>
        <v>6889.7534944461395</v>
      </c>
      <c r="AW33" s="53">
        <f t="shared" si="19"/>
        <v>7710.532823784506</v>
      </c>
      <c r="AX33" s="54">
        <f>AX32/(1+AM26)^AX31</f>
        <v>115657.9923567677</v>
      </c>
      <c r="AY33" s="53">
        <f>SUM(AN33:AX33)</f>
        <v>164588.32625611557</v>
      </c>
      <c r="AZ33" s="53">
        <f>AY33+AM28</f>
        <v>167123.32625611557</v>
      </c>
      <c r="BA33" s="55">
        <f>AZ33/AM29</f>
        <v>138.46174503406428</v>
      </c>
    </row>
    <row r="34" spans="1:53" x14ac:dyDescent="0.25">
      <c r="A34" s="77" t="s">
        <v>66</v>
      </c>
    </row>
    <row r="37" spans="1:53" x14ac:dyDescent="0.25">
      <c r="D37" s="78"/>
      <c r="E37" s="78"/>
      <c r="G37" s="79"/>
    </row>
    <row r="40" spans="1:53" x14ac:dyDescent="0.25">
      <c r="A40" t="s">
        <v>154</v>
      </c>
      <c r="D40" s="41"/>
    </row>
    <row r="41" spans="1:53" x14ac:dyDescent="0.25">
      <c r="A41" t="s">
        <v>155</v>
      </c>
    </row>
    <row r="42" spans="1:53" x14ac:dyDescent="0.25">
      <c r="A42" t="s">
        <v>163</v>
      </c>
    </row>
    <row r="43" spans="1:53" x14ac:dyDescent="0.25">
      <c r="A43" t="s">
        <v>157</v>
      </c>
    </row>
    <row r="44" spans="1:53" x14ac:dyDescent="0.25">
      <c r="A44" t="s">
        <v>158</v>
      </c>
    </row>
    <row r="45" spans="1:53" x14ac:dyDescent="0.25">
      <c r="A45" t="s">
        <v>159</v>
      </c>
    </row>
  </sheetData>
  <mergeCells count="11">
    <mergeCell ref="S1:S2"/>
    <mergeCell ref="T1:T2"/>
    <mergeCell ref="U1:U2"/>
    <mergeCell ref="V1:V2"/>
    <mergeCell ref="W1:W2"/>
    <mergeCell ref="M1:M2"/>
    <mergeCell ref="N1:N2"/>
    <mergeCell ref="O1:O2"/>
    <mergeCell ref="P1:P2"/>
    <mergeCell ref="Q1:Q2"/>
    <mergeCell ref="R1:R2"/>
  </mergeCells>
  <conditionalFormatting sqref="L8:L9">
    <cfRule type="cellIs" dxfId="73" priority="23" operator="greaterThan">
      <formula>3</formula>
    </cfRule>
    <cfRule type="cellIs" dxfId="72" priority="24" operator="lessThan">
      <formula>3</formula>
    </cfRule>
  </conditionalFormatting>
  <conditionalFormatting sqref="I3:K7">
    <cfRule type="cellIs" dxfId="71" priority="20" operator="between">
      <formula>0.05</formula>
      <formula>0.1</formula>
    </cfRule>
    <cfRule type="cellIs" dxfId="70" priority="21" operator="lessThan">
      <formula>0.05</formula>
    </cfRule>
    <cfRule type="cellIs" dxfId="69"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{36CD73D0-FA04-4C09-B741-EDBC5C46FF4F}</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{7DA2A1A3-6A2F-4A09-A9AF-119D4519C715}</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{3A679306-D47C-4F53-810C-3C73D1E30B9D}</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{EB43D172-BD05-4A41-B8E4-8CF07A3C1181}</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{95CF50A6-F8F5-4301-B8C5-8A2A45714495}</x14:id>
        </ext>
      </extLst>
    </cfRule>
  </conditionalFormatting>
  <conditionalFormatting sqref="E22">
    <cfRule type="cellIs" dxfId="68" priority="13" operator="greaterThan">
      <formula>3</formula>
    </cfRule>
    <cfRule type="cellIs" dxfId="67" priority="14" operator="lessThan">
      <formula>3</formula>
    </cfRule>
  </conditionalFormatting>
  <conditionalFormatting sqref="B17:D21">
    <cfRule type="cellIs" dxfId="66" priority="10" operator="between">
      <formula>0.05</formula>
      <formula>0.1</formula>
    </cfRule>
    <cfRule type="cellIs" dxfId="65" priority="11" operator="lessThan">
      <formula>0.05</formula>
    </cfRule>
    <cfRule type="cellIs" dxfId="64" priority="12" operator="greaterThan">
      <formula>0.1</formula>
    </cfRule>
  </conditionalFormatting>
  <conditionalFormatting sqref="C29:C31">
    <cfRule type="cellIs" dxfId="63" priority="7" operator="lessThan">
      <formula>0</formula>
    </cfRule>
    <cfRule type="cellIs" dxfId="62" priority="8" operator="between">
      <formula>0</formula>
      <formula>0.3</formula>
    </cfRule>
    <cfRule type="cellIs" dxfId="61" priority="9" operator="greaterThan">
      <formula>0.3</formula>
    </cfRule>
  </conditionalFormatting>
  <conditionalFormatting sqref="E29:E31">
    <cfRule type="cellIs" dxfId="60" priority="4" operator="lessThan">
      <formula>0</formula>
    </cfRule>
    <cfRule type="cellIs" dxfId="59" priority="5" operator="between">
      <formula>0</formula>
      <formula>0.3</formula>
    </cfRule>
    <cfRule type="cellIs" dxfId="58" priority="6" operator="greaterThan">
      <formula>0.3</formula>
    </cfRule>
  </conditionalFormatting>
  <conditionalFormatting sqref="F29:F31">
    <cfRule type="cellIs" dxfId="57" priority="1" operator="lessThan">
      <formula>0</formula>
    </cfRule>
    <cfRule type="cellIs" dxfId="56" priority="2" operator="between">
      <formula>0</formula>
      <formula>0.3</formula>
    </cfRule>
    <cfRule type="cellIs" dxfId="55" priority="3" operator="greaterThan">
      <formula>0.3</formula>
    </cfRule>
  </conditionalFormatting>
  <hyperlinks>
    <hyperlink ref="A34" r:id="rId1" xr:uid="{659A8F03-4AAE-4B19-ADE7-2DDDD2F9323A}"/>
    <hyperlink ref="B4" r:id="rId2" xr:uid="{D23F0894-137C-4A98-B44B-2649132BFD81}"/>
  </hyperlinks>
  <pageMargins left="0.7" right="0.7" top="0.75" bottom="0.75" header="0.3" footer="0.3"/>
  <pageSetup paperSize="9" orientation="portrait" r:id="rId3"/>
  <drawing r:id="rId4"/>
  <legacyDrawing r:id="rId5"/>
  <tableParts count="4">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dataBar" id="{36CD73D0-FA04-4C09-B741-EDBC5C46FF4F}">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7DA2A1A3-6A2F-4A09-A9AF-119D4519C715}">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3A679306-D47C-4F53-810C-3C73D1E30B9D}">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EB43D172-BD05-4A41-B8E4-8CF07A3C1181}">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95CF50A6-F8F5-4301-B8C5-8A2A45714495}">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A165A-5699-458B-B56C-8F4E355148AA}">
  <dimension ref="A1:BA45"/>
  <sheetViews>
    <sheetView zoomScale="70" zoomScaleNormal="70" workbookViewId="0">
      <selection activeCell="K29" sqref="K29"/>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13" width="7.42578125" bestFit="1" customWidth="1"/>
    <col min="14" max="14" width="10.5703125" bestFit="1" customWidth="1"/>
    <col min="15" max="15" width="9.5703125" bestFit="1" customWidth="1"/>
    <col min="16" max="16" width="10.5703125" bestFit="1" customWidth="1"/>
    <col min="17" max="17" width="9.5703125" bestFit="1" customWidth="1"/>
    <col min="18" max="18" width="10" bestFit="1" customWidth="1"/>
    <col min="19" max="19" width="8.7109375" bestFit="1" customWidth="1"/>
    <col min="20" max="20" width="10" bestFit="1" customWidth="1"/>
    <col min="21" max="21" width="8.7109375" bestFit="1" customWidth="1"/>
    <col min="22" max="23" width="8.5703125" customWidth="1"/>
    <col min="24" max="24" width="9.5703125" customWidth="1"/>
    <col min="25" max="25" width="22.7109375" bestFit="1" customWidth="1"/>
    <col min="26" max="26" width="12.42578125" bestFit="1" customWidth="1"/>
    <col min="27" max="33" width="10.42578125" bestFit="1" customWidth="1"/>
    <col min="34" max="36" width="12" bestFit="1" customWidth="1"/>
    <col min="37" max="37" width="23.42578125" bestFit="1" customWidth="1"/>
    <col min="38" max="38" width="30.42578125" bestFit="1" customWidth="1"/>
    <col min="39" max="39" width="15.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20000000</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MIN(Table1575[])</f>
        <v>0.21200000000000002</v>
      </c>
      <c r="AA2" s="8">
        <f>Z2</f>
        <v>0.21200000000000002</v>
      </c>
      <c r="AB2" s="9">
        <f t="shared" ref="AB2:AJ3" si="1">AA2</f>
        <v>0.21200000000000002</v>
      </c>
      <c r="AC2" s="9">
        <f t="shared" si="1"/>
        <v>0.21200000000000002</v>
      </c>
      <c r="AD2" s="9">
        <f t="shared" si="1"/>
        <v>0.21200000000000002</v>
      </c>
      <c r="AE2" s="9">
        <f t="shared" si="1"/>
        <v>0.21200000000000002</v>
      </c>
      <c r="AF2" s="9">
        <f t="shared" si="1"/>
        <v>0.21200000000000002</v>
      </c>
      <c r="AG2" s="9">
        <f t="shared" si="1"/>
        <v>0.21200000000000002</v>
      </c>
      <c r="AH2" s="9">
        <f t="shared" si="1"/>
        <v>0.21200000000000002</v>
      </c>
      <c r="AI2" s="9">
        <f t="shared" si="1"/>
        <v>0.21200000000000002</v>
      </c>
      <c r="AJ2" s="25">
        <f t="shared" si="1"/>
        <v>0.21200000000000002</v>
      </c>
      <c r="AL2" s="18" t="s">
        <v>36</v>
      </c>
      <c r="AM2" s="67">
        <f>Z2</f>
        <v>0.21200000000000002</v>
      </c>
      <c r="BA2" s="17"/>
    </row>
    <row r="3" spans="1:53" x14ac:dyDescent="0.25">
      <c r="A3" t="s">
        <v>49</v>
      </c>
      <c r="B3" s="58" t="s">
        <v>160</v>
      </c>
      <c r="H3" s="2" t="s">
        <v>6</v>
      </c>
      <c r="I3" s="8">
        <f>AVERAGE(M3:W3)</f>
        <v>7.7590909090909085E-2</v>
      </c>
      <c r="J3" s="9">
        <f>AVERAGE(S3:W3)</f>
        <v>0.12840000000000001</v>
      </c>
      <c r="K3" s="9">
        <f>W3</f>
        <v>0.1598</v>
      </c>
      <c r="L3" s="10" t="s">
        <v>7</v>
      </c>
      <c r="M3" s="11">
        <v>7.5999999999999998E-2</v>
      </c>
      <c r="N3" s="12">
        <v>-5.0000000000000001E-4</v>
      </c>
      <c r="O3" s="12">
        <v>2.5499999999999998E-2</v>
      </c>
      <c r="P3" s="12">
        <v>-6.8000000000000005E-3</v>
      </c>
      <c r="Q3" s="12">
        <v>3.3099999999999997E-2</v>
      </c>
      <c r="R3" s="12">
        <v>8.4199999999999997E-2</v>
      </c>
      <c r="S3" s="12">
        <v>7.0900000000000005E-2</v>
      </c>
      <c r="T3" s="12">
        <v>0.14699999999999999</v>
      </c>
      <c r="U3" s="12">
        <v>0.11720000000000001</v>
      </c>
      <c r="V3" s="12">
        <v>0.14710000000000001</v>
      </c>
      <c r="W3" s="13">
        <v>0.1598</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161</v>
      </c>
      <c r="H4" s="14" t="s">
        <v>8</v>
      </c>
      <c r="I4" s="15">
        <f>AVERAGE(M4:W4)</f>
        <v>0.21200000000000002</v>
      </c>
      <c r="J4" s="16">
        <f>AVERAGE(S4:W4)</f>
        <v>0.44959999999999994</v>
      </c>
      <c r="K4" s="16">
        <f>W4</f>
        <v>0.439</v>
      </c>
      <c r="L4" s="17" t="s">
        <v>7</v>
      </c>
      <c r="M4" s="18" t="s">
        <v>7</v>
      </c>
      <c r="N4" s="12">
        <v>-0.94699999999999995</v>
      </c>
      <c r="O4" s="12">
        <v>0.1</v>
      </c>
      <c r="P4" s="12">
        <v>0.121</v>
      </c>
      <c r="Q4" s="12">
        <v>0.189</v>
      </c>
      <c r="R4" s="12">
        <v>0.40899999999999997</v>
      </c>
      <c r="S4" s="12">
        <v>0.371</v>
      </c>
      <c r="T4" s="12">
        <v>0.56100000000000005</v>
      </c>
      <c r="U4" s="12">
        <v>0.42499999999999999</v>
      </c>
      <c r="V4" s="12">
        <v>0.45200000000000001</v>
      </c>
      <c r="W4" s="13">
        <v>0.439</v>
      </c>
      <c r="Y4" s="5" t="s">
        <v>15</v>
      </c>
      <c r="Z4" s="29">
        <v>76</v>
      </c>
      <c r="AA4" s="30">
        <f t="shared" si="2"/>
        <v>76</v>
      </c>
      <c r="AB4" s="31">
        <f t="shared" si="2"/>
        <v>76</v>
      </c>
      <c r="AC4" s="31">
        <f t="shared" si="2"/>
        <v>76</v>
      </c>
      <c r="AD4" s="31">
        <f t="shared" si="2"/>
        <v>76</v>
      </c>
      <c r="AE4" s="31">
        <f t="shared" si="2"/>
        <v>76</v>
      </c>
      <c r="AF4" s="31">
        <f t="shared" si="2"/>
        <v>76</v>
      </c>
      <c r="AG4" s="31">
        <f t="shared" si="2"/>
        <v>76</v>
      </c>
      <c r="AH4" s="31">
        <f t="shared" si="2"/>
        <v>76</v>
      </c>
      <c r="AI4" s="31">
        <f t="shared" si="2"/>
        <v>76</v>
      </c>
      <c r="AJ4" s="32">
        <f t="shared" si="2"/>
        <v>76</v>
      </c>
      <c r="AL4" s="18" t="s">
        <v>38</v>
      </c>
      <c r="AM4" s="64">
        <v>15</v>
      </c>
      <c r="BA4" s="17"/>
    </row>
    <row r="5" spans="1:53" x14ac:dyDescent="0.25">
      <c r="A5" t="s">
        <v>34</v>
      </c>
      <c r="B5" s="92">
        <v>44717</v>
      </c>
      <c r="H5" s="14" t="s">
        <v>9</v>
      </c>
      <c r="I5" s="15">
        <f>AVERAGE(M5:W5)</f>
        <v>0.70350000000000001</v>
      </c>
      <c r="J5" s="16">
        <f>AVERAGE(S5:W5)</f>
        <v>0.80699999999999983</v>
      </c>
      <c r="K5" s="16">
        <f>W5</f>
        <v>0.55000000000000004</v>
      </c>
      <c r="L5" s="17" t="s">
        <v>7</v>
      </c>
      <c r="M5" s="18" t="s">
        <v>7</v>
      </c>
      <c r="N5" s="12">
        <v>-1</v>
      </c>
      <c r="O5" s="12">
        <v>1</v>
      </c>
      <c r="P5" s="12">
        <v>-1</v>
      </c>
      <c r="Q5" s="12">
        <v>1</v>
      </c>
      <c r="R5" s="12">
        <v>3</v>
      </c>
      <c r="S5" s="12">
        <v>0.29199999999999998</v>
      </c>
      <c r="T5" s="12">
        <v>2.226</v>
      </c>
      <c r="U5" s="12">
        <v>0.15</v>
      </c>
      <c r="V5" s="12">
        <v>0.81699999999999995</v>
      </c>
      <c r="W5" s="13">
        <v>0.55000000000000004</v>
      </c>
      <c r="Y5" s="1" t="s">
        <v>16</v>
      </c>
      <c r="Z5" s="33">
        <v>66</v>
      </c>
      <c r="AA5" s="34">
        <f>Z5</f>
        <v>66</v>
      </c>
      <c r="AB5" s="35">
        <f t="shared" ref="AB5:AJ5" si="3">AA5*(1+$Z2)</f>
        <v>79.992000000000004</v>
      </c>
      <c r="AC5" s="35">
        <f t="shared" si="3"/>
        <v>96.950304000000003</v>
      </c>
      <c r="AD5" s="35">
        <f t="shared" si="3"/>
        <v>117.503768448</v>
      </c>
      <c r="AE5" s="35">
        <f t="shared" si="3"/>
        <v>142.414567358976</v>
      </c>
      <c r="AF5" s="35">
        <f t="shared" si="3"/>
        <v>172.60645563907892</v>
      </c>
      <c r="AG5" s="35">
        <f t="shared" si="3"/>
        <v>209.19902423456364</v>
      </c>
      <c r="AH5" s="35">
        <f t="shared" si="3"/>
        <v>253.54921737229111</v>
      </c>
      <c r="AI5" s="35">
        <f t="shared" si="3"/>
        <v>307.30165145521681</v>
      </c>
      <c r="AJ5" s="36">
        <f t="shared" si="3"/>
        <v>372.44960156372275</v>
      </c>
      <c r="AL5" s="18" t="s">
        <v>39</v>
      </c>
      <c r="AM5" s="40">
        <v>36220000</v>
      </c>
      <c r="BA5" s="17"/>
    </row>
    <row r="6" spans="1:53" x14ac:dyDescent="0.25">
      <c r="A6" t="s">
        <v>44</v>
      </c>
      <c r="B6" s="62">
        <v>2447</v>
      </c>
      <c r="H6" s="14" t="s">
        <v>10</v>
      </c>
      <c r="I6" s="15">
        <f>AVERAGE(M6:W6)</f>
        <v>0.25740000000000002</v>
      </c>
      <c r="J6" s="16">
        <f>AVERAGE(S6:W6)</f>
        <v>0.28300000000000003</v>
      </c>
      <c r="K6" s="16">
        <f>W6</f>
        <v>0.217</v>
      </c>
      <c r="L6" s="17" t="s">
        <v>7</v>
      </c>
      <c r="M6" s="18" t="s">
        <v>7</v>
      </c>
      <c r="N6" s="12">
        <v>0.27100000000000002</v>
      </c>
      <c r="O6" s="12">
        <v>0.219</v>
      </c>
      <c r="P6" s="12">
        <v>0.19500000000000001</v>
      </c>
      <c r="Q6" s="12">
        <v>0.20300000000000001</v>
      </c>
      <c r="R6" s="12">
        <v>0.27100000000000002</v>
      </c>
      <c r="S6" s="12">
        <v>0.308</v>
      </c>
      <c r="T6" s="12">
        <v>0.309</v>
      </c>
      <c r="U6" s="12">
        <v>0.20499999999999999</v>
      </c>
      <c r="V6" s="12">
        <v>0.376</v>
      </c>
      <c r="W6" s="13">
        <v>0.217</v>
      </c>
      <c r="Y6" s="5" t="s">
        <v>19</v>
      </c>
      <c r="Z6" s="37">
        <f>AA6</f>
        <v>8046.3800798960219</v>
      </c>
      <c r="AA6" s="38">
        <f t="shared" ref="AA6:AI6" si="4">AB6/(1+$Z3)</f>
        <v>8046.3800798960219</v>
      </c>
      <c r="AB6" s="38">
        <f t="shared" si="4"/>
        <v>9253.3370918804249</v>
      </c>
      <c r="AC6" s="38">
        <f t="shared" si="4"/>
        <v>10641.337655662488</v>
      </c>
      <c r="AD6" s="38">
        <f t="shared" si="4"/>
        <v>12237.53830401186</v>
      </c>
      <c r="AE6" s="38">
        <f t="shared" si="4"/>
        <v>14073.169049613638</v>
      </c>
      <c r="AF6" s="38">
        <f t="shared" si="4"/>
        <v>16184.144407055683</v>
      </c>
      <c r="AG6" s="38">
        <f t="shared" si="4"/>
        <v>18611.766068114033</v>
      </c>
      <c r="AH6" s="38">
        <f t="shared" si="4"/>
        <v>21403.530978331139</v>
      </c>
      <c r="AI6" s="38">
        <f t="shared" si="4"/>
        <v>24614.060625080809</v>
      </c>
      <c r="AJ6" s="39">
        <f>AJ5*$Z4</f>
        <v>28306.169718842928</v>
      </c>
      <c r="AL6" s="5" t="s">
        <v>40</v>
      </c>
      <c r="AM6" s="45">
        <v>514000</v>
      </c>
      <c r="BA6" s="17"/>
    </row>
    <row r="7" spans="1:53" x14ac:dyDescent="0.25">
      <c r="A7" t="s">
        <v>45</v>
      </c>
      <c r="B7" s="58"/>
      <c r="H7" s="14" t="s">
        <v>11</v>
      </c>
      <c r="I7" s="15">
        <f>AVERAGE(M7:W7)</f>
        <v>0.71619999999999995</v>
      </c>
      <c r="J7" s="16">
        <f>AVERAGE(S7:W7)</f>
        <v>0.15720000000000001</v>
      </c>
      <c r="K7" s="16">
        <f>W7</f>
        <v>-1</v>
      </c>
      <c r="L7" s="17" t="s">
        <v>7</v>
      </c>
      <c r="M7" s="18" t="s">
        <v>7</v>
      </c>
      <c r="N7" s="12">
        <v>-0.81100000000000005</v>
      </c>
      <c r="O7" s="12">
        <v>4.1420000000000003</v>
      </c>
      <c r="P7" s="12">
        <v>-0.04</v>
      </c>
      <c r="Q7" s="12">
        <v>2.7610000000000001</v>
      </c>
      <c r="R7" s="12">
        <v>0.32400000000000001</v>
      </c>
      <c r="S7" s="12">
        <v>-0.33300000000000002</v>
      </c>
      <c r="T7" s="12">
        <v>1.67</v>
      </c>
      <c r="U7" s="12">
        <v>0.252</v>
      </c>
      <c r="V7" s="12">
        <v>0.19700000000000001</v>
      </c>
      <c r="W7" s="13">
        <v>-1</v>
      </c>
      <c r="AL7" s="18"/>
      <c r="BA7" s="17"/>
    </row>
    <row r="8" spans="1:53" x14ac:dyDescent="0.25">
      <c r="A8" t="s">
        <v>46</v>
      </c>
      <c r="B8" s="58"/>
      <c r="H8" s="19" t="s">
        <v>12</v>
      </c>
      <c r="I8" s="5" t="s">
        <v>7</v>
      </c>
      <c r="J8" s="6" t="s">
        <v>7</v>
      </c>
      <c r="K8" s="6" t="s">
        <v>7</v>
      </c>
      <c r="L8" s="20">
        <f>54/20</f>
        <v>2.7</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82</v>
      </c>
      <c r="B9" s="58"/>
      <c r="H9" s="43"/>
      <c r="L9" s="20"/>
      <c r="Y9" s="1"/>
      <c r="AA9" s="1"/>
      <c r="AB9" s="42"/>
      <c r="AC9" s="42"/>
      <c r="AD9" s="42"/>
      <c r="AE9" s="42"/>
      <c r="AF9" s="42"/>
      <c r="AG9" s="42"/>
      <c r="AH9" s="42"/>
      <c r="AI9" s="42"/>
      <c r="AJ9" s="10"/>
      <c r="AL9" s="1"/>
      <c r="AM9" s="10"/>
      <c r="AN9" s="1"/>
      <c r="AO9" s="42"/>
      <c r="AP9" s="42"/>
      <c r="AQ9" s="42"/>
      <c r="AR9" s="42"/>
      <c r="AS9" s="42"/>
      <c r="AT9" s="42"/>
      <c r="AU9" s="42"/>
      <c r="AV9" s="42"/>
      <c r="AW9" s="42"/>
      <c r="AX9" s="10"/>
      <c r="AY9" s="93"/>
      <c r="AZ9" s="93"/>
      <c r="BA9" s="94"/>
    </row>
    <row r="10" spans="1:53" x14ac:dyDescent="0.25">
      <c r="A10" t="s">
        <v>47</v>
      </c>
      <c r="B10" s="58"/>
      <c r="Y10" s="1" t="s">
        <v>13</v>
      </c>
      <c r="Z10" s="65">
        <f>AVERAGE(Table1575[])</f>
        <v>0.29403333333333331</v>
      </c>
      <c r="AA10" s="8">
        <f>Z10</f>
        <v>0.29403333333333331</v>
      </c>
      <c r="AB10" s="9">
        <f t="shared" ref="AB10:AJ11" si="5">AA10</f>
        <v>0.29403333333333331</v>
      </c>
      <c r="AC10" s="9">
        <f t="shared" si="5"/>
        <v>0.29403333333333331</v>
      </c>
      <c r="AD10" s="9">
        <f t="shared" si="5"/>
        <v>0.29403333333333331</v>
      </c>
      <c r="AE10" s="9">
        <f t="shared" si="5"/>
        <v>0.29403333333333331</v>
      </c>
      <c r="AF10" s="9">
        <f t="shared" si="5"/>
        <v>0.29403333333333331</v>
      </c>
      <c r="AG10" s="9">
        <f t="shared" si="5"/>
        <v>0.29403333333333331</v>
      </c>
      <c r="AH10" s="9">
        <f t="shared" si="5"/>
        <v>0.29403333333333331</v>
      </c>
      <c r="AI10" s="9">
        <f t="shared" si="5"/>
        <v>0.29403333333333331</v>
      </c>
      <c r="AJ10" s="25">
        <f t="shared" si="5"/>
        <v>0.29403333333333331</v>
      </c>
      <c r="AL10" s="1" t="s">
        <v>42</v>
      </c>
      <c r="AM10" s="10"/>
      <c r="AN10" s="48">
        <f>$AM1</f>
        <v>20000000</v>
      </c>
      <c r="AO10" s="49">
        <f t="shared" ref="AO10:AW10" si="6">AN10+AN10*$AM2</f>
        <v>24240000</v>
      </c>
      <c r="AP10" s="49">
        <f t="shared" si="6"/>
        <v>29378880</v>
      </c>
      <c r="AQ10" s="49">
        <f t="shared" si="6"/>
        <v>35607202.560000002</v>
      </c>
      <c r="AR10" s="49">
        <f t="shared" si="6"/>
        <v>43155929.502720006</v>
      </c>
      <c r="AS10" s="49">
        <f t="shared" si="6"/>
        <v>52304986.557296649</v>
      </c>
      <c r="AT10" s="49">
        <f t="shared" si="6"/>
        <v>63393643.707443535</v>
      </c>
      <c r="AU10" s="49">
        <f t="shared" si="6"/>
        <v>76833096.173421562</v>
      </c>
      <c r="AV10" s="49">
        <f t="shared" si="6"/>
        <v>93121712.562186927</v>
      </c>
      <c r="AW10" s="49">
        <f t="shared" si="6"/>
        <v>112863515.62537056</v>
      </c>
      <c r="AX10" s="50">
        <f>$AM4*AW10</f>
        <v>1692952734.3805585</v>
      </c>
      <c r="AY10" s="51"/>
      <c r="AZ10" s="49"/>
      <c r="BA10" s="10"/>
    </row>
    <row r="11" spans="1:53" x14ac:dyDescent="0.25">
      <c r="A11" t="s">
        <v>48</v>
      </c>
      <c r="B11" s="58"/>
      <c r="Y11" s="18" t="s">
        <v>14</v>
      </c>
      <c r="Z11">
        <f>Z3</f>
        <v>0.15</v>
      </c>
      <c r="AA11" s="26">
        <f t="shared" ref="AA11:AJ12" si="7">Z11</f>
        <v>0.15</v>
      </c>
      <c r="AB11" s="27">
        <f t="shared" si="5"/>
        <v>0.15</v>
      </c>
      <c r="AC11" s="27">
        <f t="shared" si="5"/>
        <v>0.15</v>
      </c>
      <c r="AD11" s="27">
        <f t="shared" si="5"/>
        <v>0.15</v>
      </c>
      <c r="AE11" s="27">
        <f t="shared" si="5"/>
        <v>0.15</v>
      </c>
      <c r="AF11" s="27">
        <f t="shared" si="5"/>
        <v>0.15</v>
      </c>
      <c r="AG11" s="27">
        <f t="shared" si="5"/>
        <v>0.15</v>
      </c>
      <c r="AH11" s="27">
        <f t="shared" si="5"/>
        <v>0.15</v>
      </c>
      <c r="AI11" s="27">
        <f t="shared" si="5"/>
        <v>0.15</v>
      </c>
      <c r="AJ11" s="28">
        <f t="shared" si="5"/>
        <v>0.15</v>
      </c>
      <c r="AL11" s="5" t="s">
        <v>43</v>
      </c>
      <c r="AM11" s="7"/>
      <c r="AN11" s="52">
        <f>AN10/(1+$AM3)</f>
        <v>17391304.34782609</v>
      </c>
      <c r="AO11" s="53">
        <f t="shared" ref="AO11:AW11" si="8">(1+$AM2)*AN11/(1+$AM3)</f>
        <v>18328922.495274104</v>
      </c>
      <c r="AP11" s="53">
        <f t="shared" si="8"/>
        <v>19317090.490671493</v>
      </c>
      <c r="AQ11" s="53">
        <f t="shared" si="8"/>
        <v>20358533.630168565</v>
      </c>
      <c r="AR11" s="53">
        <f t="shared" si="8"/>
        <v>21456124.138925478</v>
      </c>
      <c r="AS11" s="53">
        <f t="shared" si="8"/>
        <v>22612889.092502329</v>
      </c>
      <c r="AT11" s="53">
        <f t="shared" si="8"/>
        <v>23832018.765315499</v>
      </c>
      <c r="AU11" s="53">
        <f t="shared" si="8"/>
        <v>25116875.429184686</v>
      </c>
      <c r="AV11" s="53">
        <f t="shared" si="8"/>
        <v>26471002.626236383</v>
      </c>
      <c r="AW11" s="53">
        <f t="shared" si="8"/>
        <v>27898134.941737823</v>
      </c>
      <c r="AX11" s="54">
        <f>AX10/(1+AM3)^AX8</f>
        <v>418472024.12606758</v>
      </c>
      <c r="AY11" s="53">
        <f>SUM(AN11:AX11)</f>
        <v>641254920.08390999</v>
      </c>
      <c r="AZ11" s="53">
        <f>AY11+AM5</f>
        <v>677474920.08390999</v>
      </c>
      <c r="BA11" s="55">
        <f>AZ11/AM6</f>
        <v>1318.0445916029378</v>
      </c>
    </row>
    <row r="12" spans="1:53" x14ac:dyDescent="0.25">
      <c r="A12" t="s">
        <v>65</v>
      </c>
      <c r="B12" s="92"/>
      <c r="Y12" s="5" t="s">
        <v>15</v>
      </c>
      <c r="Z12" s="7">
        <f>Z4</f>
        <v>76</v>
      </c>
      <c r="AA12" s="30">
        <f t="shared" si="7"/>
        <v>76</v>
      </c>
      <c r="AB12" s="31">
        <f t="shared" si="7"/>
        <v>76</v>
      </c>
      <c r="AC12" s="31">
        <f t="shared" si="7"/>
        <v>76</v>
      </c>
      <c r="AD12" s="31">
        <f t="shared" si="7"/>
        <v>76</v>
      </c>
      <c r="AE12" s="31">
        <f t="shared" si="7"/>
        <v>76</v>
      </c>
      <c r="AF12" s="31">
        <f t="shared" si="7"/>
        <v>76</v>
      </c>
      <c r="AG12" s="31">
        <f t="shared" si="7"/>
        <v>76</v>
      </c>
      <c r="AH12" s="31">
        <f t="shared" si="7"/>
        <v>76</v>
      </c>
      <c r="AI12" s="31">
        <f t="shared" si="7"/>
        <v>76</v>
      </c>
      <c r="AJ12" s="32">
        <f t="shared" si="7"/>
        <v>76</v>
      </c>
    </row>
    <row r="13" spans="1:53" x14ac:dyDescent="0.25">
      <c r="Y13" s="1" t="s">
        <v>16</v>
      </c>
      <c r="Z13">
        <f>Z5</f>
        <v>66</v>
      </c>
      <c r="AA13" s="34">
        <f>Z13</f>
        <v>66</v>
      </c>
      <c r="AB13" s="35">
        <f t="shared" ref="AB13:AJ13" si="9">AA13*(1+$Z10)</f>
        <v>85.406199999999998</v>
      </c>
      <c r="AC13" s="35">
        <f t="shared" si="9"/>
        <v>110.51846967333333</v>
      </c>
      <c r="AD13" s="35">
        <f t="shared" si="9"/>
        <v>143.01458370628245</v>
      </c>
      <c r="AE13" s="35">
        <f t="shared" si="9"/>
        <v>185.0656384687197</v>
      </c>
      <c r="AF13" s="35">
        <f t="shared" si="9"/>
        <v>239.48110503313893</v>
      </c>
      <c r="AG13" s="35">
        <f t="shared" si="9"/>
        <v>309.8965326163829</v>
      </c>
      <c r="AH13" s="35">
        <f t="shared" si="9"/>
        <v>401.01644309002</v>
      </c>
      <c r="AI13" s="35">
        <f t="shared" si="9"/>
        <v>518.92864457325561</v>
      </c>
      <c r="AJ13" s="36">
        <f t="shared" si="9"/>
        <v>671.51096369927859</v>
      </c>
      <c r="AL13" s="1" t="s">
        <v>35</v>
      </c>
      <c r="AM13" s="72">
        <f>AM1</f>
        <v>20000000</v>
      </c>
      <c r="AN13" s="42"/>
      <c r="AO13" s="42"/>
      <c r="AP13" s="42"/>
      <c r="AQ13" s="42"/>
      <c r="AR13" s="42"/>
      <c r="AS13" s="42"/>
      <c r="AT13" s="42"/>
      <c r="AU13" s="42"/>
      <c r="AV13" s="42"/>
      <c r="AW13" s="42"/>
      <c r="AX13" s="42"/>
      <c r="AY13" s="42"/>
      <c r="AZ13" s="42"/>
      <c r="BA13" s="10"/>
    </row>
    <row r="14" spans="1:53" ht="18.75" x14ac:dyDescent="0.3">
      <c r="A14" s="56" t="s">
        <v>29</v>
      </c>
      <c r="Y14" s="5" t="s">
        <v>19</v>
      </c>
      <c r="Z14" s="37">
        <f>AA14</f>
        <v>14507.284795194533</v>
      </c>
      <c r="AA14" s="38">
        <f t="shared" ref="AA14:AI14" si="10">AB14/(1+$Z11)</f>
        <v>14507.284795194533</v>
      </c>
      <c r="AB14" s="38">
        <f t="shared" si="10"/>
        <v>16683.377514473712</v>
      </c>
      <c r="AC14" s="38">
        <f t="shared" si="10"/>
        <v>19185.884141644769</v>
      </c>
      <c r="AD14" s="38">
        <f t="shared" si="10"/>
        <v>22063.766762891482</v>
      </c>
      <c r="AE14" s="38">
        <f t="shared" si="10"/>
        <v>25373.331777325202</v>
      </c>
      <c r="AF14" s="38">
        <f t="shared" si="10"/>
        <v>29179.331543923981</v>
      </c>
      <c r="AG14" s="38">
        <f t="shared" si="10"/>
        <v>33556.231275512575</v>
      </c>
      <c r="AH14" s="38">
        <f t="shared" si="10"/>
        <v>38589.665966839457</v>
      </c>
      <c r="AI14" s="38">
        <f t="shared" si="10"/>
        <v>44378.115861865372</v>
      </c>
      <c r="AJ14" s="39">
        <f>AJ13*$Z12</f>
        <v>51034.83324114517</v>
      </c>
      <c r="AL14" s="18" t="s">
        <v>36</v>
      </c>
      <c r="AM14" s="68">
        <f>Z10</f>
        <v>0.29403333333333331</v>
      </c>
      <c r="BA14" s="17"/>
    </row>
    <row r="15" spans="1:53" x14ac:dyDescent="0.25">
      <c r="A15" s="43" t="s">
        <v>32</v>
      </c>
      <c r="B15" s="18" t="s">
        <v>0</v>
      </c>
      <c r="C15" t="s">
        <v>1</v>
      </c>
      <c r="D15" t="s">
        <v>2</v>
      </c>
      <c r="E15" t="s">
        <v>3</v>
      </c>
      <c r="AL15" s="18" t="s">
        <v>37</v>
      </c>
      <c r="AM15" s="69">
        <f>AM3</f>
        <v>0.15</v>
      </c>
      <c r="BA15" s="17"/>
    </row>
    <row r="16" spans="1:53" x14ac:dyDescent="0.25">
      <c r="A16" t="s">
        <v>52</v>
      </c>
      <c r="B16" t="s">
        <v>4</v>
      </c>
      <c r="C16" t="s">
        <v>4</v>
      </c>
      <c r="D16" t="s">
        <v>4</v>
      </c>
      <c r="E16" t="s">
        <v>5</v>
      </c>
      <c r="Y16" s="21" t="s">
        <v>61</v>
      </c>
      <c r="Z16" s="22"/>
      <c r="AA16" s="21">
        <v>2021</v>
      </c>
      <c r="AB16" s="23">
        <v>2022</v>
      </c>
      <c r="AC16" s="23">
        <v>2023</v>
      </c>
      <c r="AD16" s="23">
        <v>2024</v>
      </c>
      <c r="AE16" s="23">
        <v>2025</v>
      </c>
      <c r="AF16" s="23">
        <v>2026</v>
      </c>
      <c r="AG16" s="23">
        <v>2027</v>
      </c>
      <c r="AH16" s="23">
        <v>2028</v>
      </c>
      <c r="AI16" s="23">
        <v>2029</v>
      </c>
      <c r="AJ16" s="24">
        <v>2030</v>
      </c>
      <c r="AL16" s="18" t="s">
        <v>38</v>
      </c>
      <c r="AM16" s="69">
        <f>AM4</f>
        <v>15</v>
      </c>
      <c r="BA16" s="17"/>
    </row>
    <row r="17" spans="1:53" x14ac:dyDescent="0.25">
      <c r="A17" t="s">
        <v>23</v>
      </c>
      <c r="B17" s="16">
        <f t="shared" ref="B17:D21" si="11">I3</f>
        <v>7.7590909090909085E-2</v>
      </c>
      <c r="C17" s="16">
        <f t="shared" si="11"/>
        <v>0.12840000000000001</v>
      </c>
      <c r="D17" s="16">
        <f t="shared" si="11"/>
        <v>0.1598</v>
      </c>
      <c r="Y17" s="1" t="s">
        <v>13</v>
      </c>
      <c r="Z17" s="60">
        <f>MAX(Table1575[])</f>
        <v>0.40500000000000003</v>
      </c>
      <c r="AA17" s="8">
        <f>Z17</f>
        <v>0.40500000000000003</v>
      </c>
      <c r="AB17" s="9">
        <f t="shared" ref="AB17:AJ18" si="12">AA17</f>
        <v>0.40500000000000003</v>
      </c>
      <c r="AC17" s="9">
        <f t="shared" si="12"/>
        <v>0.40500000000000003</v>
      </c>
      <c r="AD17" s="9">
        <f t="shared" si="12"/>
        <v>0.40500000000000003</v>
      </c>
      <c r="AE17" s="9">
        <f t="shared" si="12"/>
        <v>0.40500000000000003</v>
      </c>
      <c r="AF17" s="9">
        <f t="shared" si="12"/>
        <v>0.40500000000000003</v>
      </c>
      <c r="AG17" s="9">
        <f t="shared" si="12"/>
        <v>0.40500000000000003</v>
      </c>
      <c r="AH17" s="9">
        <f t="shared" si="12"/>
        <v>0.40500000000000003</v>
      </c>
      <c r="AI17" s="9">
        <f t="shared" si="12"/>
        <v>0.40500000000000003</v>
      </c>
      <c r="AJ17" s="25">
        <f t="shared" si="12"/>
        <v>0.40500000000000003</v>
      </c>
      <c r="AL17" s="18" t="s">
        <v>39</v>
      </c>
      <c r="AM17" s="69">
        <f>AM5</f>
        <v>36220000</v>
      </c>
      <c r="BA17" s="17"/>
    </row>
    <row r="18" spans="1:53" x14ac:dyDescent="0.25">
      <c r="A18" t="s">
        <v>24</v>
      </c>
      <c r="B18" s="16">
        <f t="shared" si="11"/>
        <v>0.21200000000000002</v>
      </c>
      <c r="C18" s="16">
        <f t="shared" si="11"/>
        <v>0.44959999999999994</v>
      </c>
      <c r="D18" s="16">
        <f t="shared" si="11"/>
        <v>0.439</v>
      </c>
      <c r="Y18" s="18" t="s">
        <v>14</v>
      </c>
      <c r="Z18">
        <f>Z3</f>
        <v>0.15</v>
      </c>
      <c r="AA18" s="26">
        <f t="shared" ref="AA18:AJ19" si="13">Z18</f>
        <v>0.15</v>
      </c>
      <c r="AB18" s="27">
        <f t="shared" si="12"/>
        <v>0.15</v>
      </c>
      <c r="AC18" s="27">
        <f t="shared" si="12"/>
        <v>0.15</v>
      </c>
      <c r="AD18" s="27">
        <f t="shared" si="12"/>
        <v>0.15</v>
      </c>
      <c r="AE18" s="27">
        <f t="shared" si="12"/>
        <v>0.15</v>
      </c>
      <c r="AF18" s="27">
        <f t="shared" si="12"/>
        <v>0.15</v>
      </c>
      <c r="AG18" s="27">
        <f t="shared" si="12"/>
        <v>0.15</v>
      </c>
      <c r="AH18" s="27">
        <f t="shared" si="12"/>
        <v>0.15</v>
      </c>
      <c r="AI18" s="27">
        <f t="shared" si="12"/>
        <v>0.15</v>
      </c>
      <c r="AJ18" s="28">
        <f t="shared" si="12"/>
        <v>0.15</v>
      </c>
      <c r="AL18" s="5" t="s">
        <v>40</v>
      </c>
      <c r="AM18" s="70">
        <f>AM6</f>
        <v>514000</v>
      </c>
      <c r="BA18" s="17"/>
    </row>
    <row r="19" spans="1:53" x14ac:dyDescent="0.25">
      <c r="A19" t="s">
        <v>25</v>
      </c>
      <c r="B19" s="16">
        <f t="shared" si="11"/>
        <v>0.70350000000000001</v>
      </c>
      <c r="C19" s="16">
        <f t="shared" si="11"/>
        <v>0.80699999999999983</v>
      </c>
      <c r="D19" s="16">
        <f t="shared" si="11"/>
        <v>0.55000000000000004</v>
      </c>
      <c r="Y19" s="5" t="s">
        <v>15</v>
      </c>
      <c r="Z19" s="7">
        <f>Z4</f>
        <v>76</v>
      </c>
      <c r="AA19" s="30">
        <f t="shared" si="13"/>
        <v>76</v>
      </c>
      <c r="AB19" s="31">
        <f t="shared" si="13"/>
        <v>76</v>
      </c>
      <c r="AC19" s="31">
        <f t="shared" si="13"/>
        <v>76</v>
      </c>
      <c r="AD19" s="31">
        <f t="shared" si="13"/>
        <v>76</v>
      </c>
      <c r="AE19" s="31">
        <f t="shared" si="13"/>
        <v>76</v>
      </c>
      <c r="AF19" s="31">
        <f t="shared" si="13"/>
        <v>76</v>
      </c>
      <c r="AG19" s="31">
        <f t="shared" si="13"/>
        <v>76</v>
      </c>
      <c r="AH19" s="31">
        <f t="shared" si="13"/>
        <v>76</v>
      </c>
      <c r="AI19" s="31">
        <f t="shared" si="13"/>
        <v>76</v>
      </c>
      <c r="AJ19" s="32">
        <f t="shared" si="13"/>
        <v>76</v>
      </c>
      <c r="AL19" s="18"/>
      <c r="BA19" s="17"/>
    </row>
    <row r="20" spans="1:53" x14ac:dyDescent="0.25">
      <c r="A20" t="s">
        <v>26</v>
      </c>
      <c r="B20" s="16">
        <f t="shared" si="11"/>
        <v>0.25740000000000002</v>
      </c>
      <c r="C20" s="16">
        <f t="shared" si="11"/>
        <v>0.28300000000000003</v>
      </c>
      <c r="D20" s="16">
        <f t="shared" si="11"/>
        <v>0.217</v>
      </c>
      <c r="Y20" s="1" t="s">
        <v>16</v>
      </c>
      <c r="Z20">
        <f>Z5</f>
        <v>66</v>
      </c>
      <c r="AA20" s="34">
        <f>Z20</f>
        <v>66</v>
      </c>
      <c r="AB20" s="35">
        <f t="shared" ref="AB20:AJ20" si="14">AA20*(1+$Z17)</f>
        <v>92.73</v>
      </c>
      <c r="AC20" s="35">
        <f t="shared" si="14"/>
        <v>130.28565</v>
      </c>
      <c r="AD20" s="35">
        <f t="shared" si="14"/>
        <v>183.05133825000001</v>
      </c>
      <c r="AE20" s="35">
        <f t="shared" si="14"/>
        <v>257.18713024125003</v>
      </c>
      <c r="AF20" s="35">
        <f t="shared" si="14"/>
        <v>361.34791798895628</v>
      </c>
      <c r="AG20" s="35">
        <f t="shared" si="14"/>
        <v>507.69382477448357</v>
      </c>
      <c r="AH20" s="35">
        <f t="shared" si="14"/>
        <v>713.30982380814942</v>
      </c>
      <c r="AI20" s="35">
        <f t="shared" si="14"/>
        <v>1002.20030245045</v>
      </c>
      <c r="AJ20" s="36">
        <f t="shared" si="14"/>
        <v>1408.0914249428822</v>
      </c>
      <c r="AL20" s="21"/>
      <c r="AM20" s="24"/>
      <c r="AN20" s="21">
        <v>1</v>
      </c>
      <c r="AO20" s="23">
        <v>2</v>
      </c>
      <c r="AP20" s="23">
        <v>3</v>
      </c>
      <c r="AQ20" s="23">
        <v>4</v>
      </c>
      <c r="AR20" s="23">
        <v>5</v>
      </c>
      <c r="AS20" s="23">
        <v>6</v>
      </c>
      <c r="AT20" s="23">
        <v>7</v>
      </c>
      <c r="AU20" s="23">
        <v>8</v>
      </c>
      <c r="AV20" s="23">
        <v>9</v>
      </c>
      <c r="AW20" s="23">
        <v>10</v>
      </c>
      <c r="AX20" s="24">
        <v>10</v>
      </c>
      <c r="AY20" s="46" t="s">
        <v>41</v>
      </c>
      <c r="AZ20" s="46" t="s">
        <v>62</v>
      </c>
      <c r="BA20" s="47" t="s">
        <v>63</v>
      </c>
    </row>
    <row r="21" spans="1:53" x14ac:dyDescent="0.25">
      <c r="A21" t="s">
        <v>27</v>
      </c>
      <c r="B21" s="16">
        <f t="shared" si="11"/>
        <v>0.71619999999999995</v>
      </c>
      <c r="C21" s="16">
        <f t="shared" si="11"/>
        <v>0.15720000000000001</v>
      </c>
      <c r="D21" s="16">
        <f t="shared" si="11"/>
        <v>-1</v>
      </c>
      <c r="Y21" s="5" t="s">
        <v>19</v>
      </c>
      <c r="Z21" s="37">
        <f>AA21</f>
        <v>30420.327326875522</v>
      </c>
      <c r="AA21" s="38">
        <f t="shared" ref="AA21:AI21" si="15">AB21/(1+$Z18)</f>
        <v>30420.327326875522</v>
      </c>
      <c r="AB21" s="38">
        <f t="shared" si="15"/>
        <v>34983.376425906848</v>
      </c>
      <c r="AC21" s="38">
        <f t="shared" si="15"/>
        <v>40230.882889792869</v>
      </c>
      <c r="AD21" s="38">
        <f t="shared" si="15"/>
        <v>46265.515323261796</v>
      </c>
      <c r="AE21" s="38">
        <f t="shared" si="15"/>
        <v>53205.342621751064</v>
      </c>
      <c r="AF21" s="38">
        <f t="shared" si="15"/>
        <v>61186.14401501372</v>
      </c>
      <c r="AG21" s="38">
        <f t="shared" si="15"/>
        <v>70364.065617265776</v>
      </c>
      <c r="AH21" s="38">
        <f t="shared" si="15"/>
        <v>80918.675459855629</v>
      </c>
      <c r="AI21" s="38">
        <f t="shared" si="15"/>
        <v>93056.476778833967</v>
      </c>
      <c r="AJ21" s="39">
        <f>AJ20*$Z19</f>
        <v>107014.94829565905</v>
      </c>
      <c r="AL21" s="1" t="s">
        <v>42</v>
      </c>
      <c r="AM21" s="10"/>
      <c r="AN21" s="48">
        <f>$AM13</f>
        <v>20000000</v>
      </c>
      <c r="AO21" s="49">
        <f t="shared" ref="AO21:AW21" si="16">AN21+AN21*$AM14</f>
        <v>25880666.666666664</v>
      </c>
      <c r="AP21" s="49">
        <f t="shared" si="16"/>
        <v>33490445.355555553</v>
      </c>
      <c r="AQ21" s="49">
        <f t="shared" si="16"/>
        <v>43337752.638267405</v>
      </c>
      <c r="AR21" s="49">
        <f t="shared" si="16"/>
        <v>56080496.505672634</v>
      </c>
      <c r="AS21" s="49">
        <f t="shared" si="16"/>
        <v>72570031.828223914</v>
      </c>
      <c r="AT21" s="49">
        <f t="shared" si="16"/>
        <v>93908040.186782688</v>
      </c>
      <c r="AU21" s="49">
        <f t="shared" si="16"/>
        <v>121520134.26970303</v>
      </c>
      <c r="AV21" s="49">
        <f t="shared" si="16"/>
        <v>157251104.41613805</v>
      </c>
      <c r="AW21" s="49">
        <f t="shared" si="16"/>
        <v>203488170.81796318</v>
      </c>
      <c r="AX21" s="50">
        <f>$AM16*AW21</f>
        <v>3052322562.2694478</v>
      </c>
      <c r="AY21" s="51"/>
      <c r="AZ21" s="49"/>
      <c r="BA21" s="10"/>
    </row>
    <row r="22" spans="1:53" x14ac:dyDescent="0.25">
      <c r="A22" t="s">
        <v>28</v>
      </c>
      <c r="E22" s="57">
        <f>L8</f>
        <v>2.7</v>
      </c>
      <c r="AL22" s="5" t="s">
        <v>43</v>
      </c>
      <c r="AM22" s="7"/>
      <c r="AN22" s="52">
        <f>AN21/(1+$AM15)</f>
        <v>17391304.34782609</v>
      </c>
      <c r="AO22" s="53">
        <f t="shared" ref="AO22:AW22" si="17">(1+$AM14)*AN22/(1+$AM15)</f>
        <v>19569502.205419034</v>
      </c>
      <c r="AP22" s="53">
        <f t="shared" si="17"/>
        <v>22020511.452654272</v>
      </c>
      <c r="AQ22" s="53">
        <f t="shared" si="17"/>
        <v>24778500.727637436</v>
      </c>
      <c r="AR22" s="53">
        <f t="shared" si="17"/>
        <v>27881918.166597478</v>
      </c>
      <c r="AS22" s="53">
        <f t="shared" si="17"/>
        <v>31374027.395521186</v>
      </c>
      <c r="AT22" s="53">
        <f t="shared" si="17"/>
        <v>35303510.652797915</v>
      </c>
      <c r="AU22" s="53">
        <f t="shared" si="17"/>
        <v>39725147.450790375</v>
      </c>
      <c r="AV22" s="53">
        <f t="shared" si="17"/>
        <v>44700578.237308219</v>
      </c>
      <c r="AW22" s="53">
        <f t="shared" si="17"/>
        <v>50299163.702914275</v>
      </c>
      <c r="AX22" s="54">
        <f>AX21/(1+AM15)^AX20</f>
        <v>754487455.54371405</v>
      </c>
      <c r="AY22" s="53">
        <f>SUM(AN22:AX22)</f>
        <v>1067531619.8831804</v>
      </c>
      <c r="AZ22" s="53">
        <f>AY22+AM17</f>
        <v>1103751619.8831804</v>
      </c>
      <c r="BA22" s="55">
        <f>AZ22/AM18</f>
        <v>2147.3766923797284</v>
      </c>
    </row>
    <row r="23" spans="1:53" x14ac:dyDescent="0.25">
      <c r="AN23" s="75"/>
      <c r="AO23" s="75"/>
      <c r="AP23" s="75"/>
      <c r="AQ23" s="75"/>
      <c r="AR23" s="75"/>
      <c r="AS23" s="75"/>
      <c r="AT23" s="75"/>
      <c r="AU23" s="75"/>
      <c r="AV23" s="75"/>
      <c r="AW23" s="75"/>
      <c r="AX23" s="75"/>
      <c r="AY23" s="75"/>
      <c r="AZ23" s="75"/>
      <c r="BA23" s="76"/>
    </row>
    <row r="24" spans="1:53" ht="18.75" x14ac:dyDescent="0.3">
      <c r="A24" s="56" t="s">
        <v>30</v>
      </c>
      <c r="AL24" s="1" t="s">
        <v>35</v>
      </c>
      <c r="AM24" s="22">
        <f>AM1</f>
        <v>20000000</v>
      </c>
      <c r="AN24" s="42"/>
      <c r="AO24" s="42"/>
      <c r="AP24" s="42"/>
      <c r="AQ24" s="42"/>
      <c r="AR24" s="42"/>
      <c r="AS24" s="42"/>
      <c r="AT24" s="42"/>
      <c r="AU24" s="42"/>
      <c r="AV24" s="42"/>
      <c r="AW24" s="42"/>
      <c r="AX24" s="42"/>
      <c r="AY24" s="42"/>
      <c r="AZ24" s="42"/>
      <c r="BA24" s="10"/>
    </row>
    <row r="25" spans="1:53" x14ac:dyDescent="0.25">
      <c r="A25" t="s">
        <v>107</v>
      </c>
      <c r="B25" t="s">
        <v>137</v>
      </c>
      <c r="C25" t="s">
        <v>138</v>
      </c>
      <c r="AL25" s="18" t="s">
        <v>36</v>
      </c>
      <c r="AM25" s="71">
        <f>Z17</f>
        <v>0.40500000000000003</v>
      </c>
      <c r="BA25" s="17"/>
    </row>
    <row r="26" spans="1:53" x14ac:dyDescent="0.25">
      <c r="A26" s="16">
        <f>B18</f>
        <v>0.21200000000000002</v>
      </c>
      <c r="B26" s="86">
        <v>0.40500000000000003</v>
      </c>
      <c r="C26" s="85">
        <v>0.2651</v>
      </c>
      <c r="AL26" s="18" t="s">
        <v>37</v>
      </c>
      <c r="AM26" s="69">
        <f>AM3</f>
        <v>0.15</v>
      </c>
      <c r="BA26" s="17"/>
    </row>
    <row r="27" spans="1:53" ht="15.75" thickBot="1" x14ac:dyDescent="0.3">
      <c r="AL27" s="18" t="s">
        <v>38</v>
      </c>
      <c r="AM27" s="69">
        <f>AM4</f>
        <v>15</v>
      </c>
      <c r="BA27" s="17"/>
    </row>
    <row r="28" spans="1:53" ht="30.75" thickBot="1" x14ac:dyDescent="0.3">
      <c r="A28" t="s">
        <v>18</v>
      </c>
      <c r="B28" s="41" t="s">
        <v>20</v>
      </c>
      <c r="C28" s="41" t="s">
        <v>31</v>
      </c>
      <c r="D28" s="41" t="s">
        <v>21</v>
      </c>
      <c r="E28" s="41" t="s">
        <v>22</v>
      </c>
      <c r="F28" t="s">
        <v>126</v>
      </c>
      <c r="O28" s="88"/>
      <c r="P28" s="88"/>
      <c r="Q28" s="88"/>
      <c r="R28" s="89"/>
      <c r="AL28" s="18" t="s">
        <v>39</v>
      </c>
      <c r="AM28" s="69">
        <f>AM5</f>
        <v>36220000</v>
      </c>
      <c r="BA28" s="17"/>
    </row>
    <row r="29" spans="1:53" x14ac:dyDescent="0.25">
      <c r="A29" s="16">
        <f>MIN(Table1575[])</f>
        <v>0.21200000000000002</v>
      </c>
      <c r="B29" s="73">
        <f>Z6</f>
        <v>8046.3800798960219</v>
      </c>
      <c r="C29" s="63">
        <f>1-$B$6/Table172[[#This Row],[Fair Value
Method 1]]</f>
        <v>0.69588809182481204</v>
      </c>
      <c r="D29" s="66">
        <f>BA11</f>
        <v>1318.0445916029378</v>
      </c>
      <c r="E29" s="63">
        <f>1-$B$6/Table172[[#This Row],[Fair Value 
Method 2]]</f>
        <v>-0.85653809862690977</v>
      </c>
      <c r="F29" s="63">
        <f>AVERAGE(Table172[[#This Row],[MOS
Method 1]],Table172[[#This Row],[MOS 
Method 2]])</f>
        <v>-8.0325003401048867E-2</v>
      </c>
      <c r="AL29" s="5" t="s">
        <v>40</v>
      </c>
      <c r="AM29" s="70">
        <f>AM6</f>
        <v>514000</v>
      </c>
      <c r="BA29" s="17"/>
    </row>
    <row r="30" spans="1:53" x14ac:dyDescent="0.25">
      <c r="A30" s="61">
        <f>AVERAGE(Table1575[])</f>
        <v>0.29403333333333331</v>
      </c>
      <c r="B30" s="73">
        <f>Z14</f>
        <v>14507.284795194533</v>
      </c>
      <c r="C30" s="63">
        <f>1-$B$6/Table172[[#This Row],[Fair Value
Method 1]]</f>
        <v>0.83132612101124836</v>
      </c>
      <c r="D30" s="66">
        <f>BA22</f>
        <v>2147.3766923797284</v>
      </c>
      <c r="E30" s="63">
        <f>1-$B$6/Table172[[#This Row],[Fair Value 
Method 2]]</f>
        <v>-0.1395299244345567</v>
      </c>
      <c r="F30" s="63">
        <f>AVERAGE(Table172[[#This Row],[MOS
Method 1]],Table172[[#This Row],[MOS 
Method 2]])</f>
        <v>0.34589809828834583</v>
      </c>
      <c r="AL30" s="18"/>
      <c r="BA30" s="17"/>
    </row>
    <row r="31" spans="1:53" x14ac:dyDescent="0.25">
      <c r="A31" s="61">
        <f>MAX(Table1575[])</f>
        <v>0.40500000000000003</v>
      </c>
      <c r="B31" s="73">
        <f>Z21</f>
        <v>30420.327326875522</v>
      </c>
      <c r="C31" s="63">
        <f>1-$B$6/Table172[[#This Row],[Fair Value
Method 1]]</f>
        <v>0.91956036587949064</v>
      </c>
      <c r="D31" s="66">
        <f>BA33</f>
        <v>4126.4694283221097</v>
      </c>
      <c r="E31" s="63">
        <f>1-$B$6/Table172[[#This Row],[Fair Value 
Method 2]]</f>
        <v>0.40699912055449528</v>
      </c>
      <c r="F31" s="63">
        <f>AVERAGE(Table172[[#This Row],[MOS
Method 1]],Table172[[#This Row],[MOS 
Method 2]])</f>
        <v>0.66327974321699301</v>
      </c>
      <c r="AL31" s="21"/>
      <c r="AM31" s="24"/>
      <c r="AN31" s="21">
        <v>1</v>
      </c>
      <c r="AO31" s="23">
        <v>2</v>
      </c>
      <c r="AP31" s="23">
        <v>3</v>
      </c>
      <c r="AQ31" s="23">
        <v>4</v>
      </c>
      <c r="AR31" s="23">
        <v>5</v>
      </c>
      <c r="AS31" s="23">
        <v>6</v>
      </c>
      <c r="AT31" s="23">
        <v>7</v>
      </c>
      <c r="AU31" s="23">
        <v>8</v>
      </c>
      <c r="AV31" s="23">
        <v>9</v>
      </c>
      <c r="AW31" s="23">
        <v>10</v>
      </c>
      <c r="AX31" s="24">
        <v>10</v>
      </c>
      <c r="AY31" s="46" t="s">
        <v>41</v>
      </c>
      <c r="AZ31" s="46" t="s">
        <v>62</v>
      </c>
      <c r="BA31" s="47" t="s">
        <v>63</v>
      </c>
    </row>
    <row r="32" spans="1:53" x14ac:dyDescent="0.25">
      <c r="AL32" s="1" t="s">
        <v>42</v>
      </c>
      <c r="AM32" s="10"/>
      <c r="AN32" s="48">
        <f>$AM24</f>
        <v>20000000</v>
      </c>
      <c r="AO32" s="49">
        <f t="shared" ref="AO32:AW32" si="18">AN32+AN32*$AM25</f>
        <v>28100000</v>
      </c>
      <c r="AP32" s="49">
        <f t="shared" si="18"/>
        <v>39480500</v>
      </c>
      <c r="AQ32" s="49">
        <f t="shared" si="18"/>
        <v>55470102.5</v>
      </c>
      <c r="AR32" s="49">
        <f t="shared" si="18"/>
        <v>77935494.012500003</v>
      </c>
      <c r="AS32" s="49">
        <f t="shared" si="18"/>
        <v>109499369.0875625</v>
      </c>
      <c r="AT32" s="49">
        <f t="shared" si="18"/>
        <v>153846613.56802532</v>
      </c>
      <c r="AU32" s="49">
        <f t="shared" si="18"/>
        <v>216154492.06307557</v>
      </c>
      <c r="AV32" s="49">
        <f t="shared" si="18"/>
        <v>303697061.34862119</v>
      </c>
      <c r="AW32" s="49">
        <f t="shared" si="18"/>
        <v>426694371.19481277</v>
      </c>
      <c r="AX32" s="50">
        <f>$AM27*AW32</f>
        <v>6400415567.9221916</v>
      </c>
      <c r="AY32" s="51"/>
      <c r="AZ32" s="49"/>
      <c r="BA32" s="10"/>
    </row>
    <row r="33" spans="1:53" ht="18.75" x14ac:dyDescent="0.3">
      <c r="A33" s="56" t="s">
        <v>64</v>
      </c>
      <c r="AL33" s="5" t="s">
        <v>43</v>
      </c>
      <c r="AM33" s="7"/>
      <c r="AN33" s="52">
        <f>AN32/(1+$AM26)</f>
        <v>17391304.34782609</v>
      </c>
      <c r="AO33" s="53">
        <f t="shared" ref="AO33:AW33" si="19">(1+$AM25)*AN33/(1+$AM26)</f>
        <v>21247637.051039703</v>
      </c>
      <c r="AP33" s="53">
        <f t="shared" si="19"/>
        <v>25959069.614531118</v>
      </c>
      <c r="AQ33" s="53">
        <f t="shared" si="19"/>
        <v>31715211.137753241</v>
      </c>
      <c r="AR33" s="53">
        <f t="shared" si="19"/>
        <v>38747714.476994179</v>
      </c>
      <c r="AS33" s="53">
        <f t="shared" si="19"/>
        <v>47339598.991458111</v>
      </c>
      <c r="AT33" s="53">
        <f t="shared" si="19"/>
        <v>57836640.506955348</v>
      </c>
      <c r="AU33" s="53">
        <f t="shared" si="19"/>
        <v>70661286.88023676</v>
      </c>
      <c r="AV33" s="53">
        <f t="shared" si="19"/>
        <v>86329659.188463181</v>
      </c>
      <c r="AW33" s="53">
        <f t="shared" si="19"/>
        <v>105472322.74764416</v>
      </c>
      <c r="AX33" s="54">
        <f>AX32/(1+AM26)^AX31</f>
        <v>1582084841.2146621</v>
      </c>
      <c r="AY33" s="53">
        <f>SUM(AN33:AX33)</f>
        <v>2084785286.1575642</v>
      </c>
      <c r="AZ33" s="53">
        <f>AY33+AM28</f>
        <v>2121005286.1575642</v>
      </c>
      <c r="BA33" s="55">
        <f>AZ33/AM29</f>
        <v>4126.4694283221097</v>
      </c>
    </row>
    <row r="34" spans="1:53" x14ac:dyDescent="0.25">
      <c r="A34" s="77" t="s">
        <v>66</v>
      </c>
    </row>
    <row r="37" spans="1:53" x14ac:dyDescent="0.25">
      <c r="D37" s="78"/>
      <c r="E37" s="78"/>
      <c r="G37" s="79"/>
    </row>
    <row r="40" spans="1:53" x14ac:dyDescent="0.25">
      <c r="A40" t="s">
        <v>154</v>
      </c>
      <c r="D40" s="41"/>
    </row>
    <row r="41" spans="1:53" x14ac:dyDescent="0.25">
      <c r="A41" t="s">
        <v>155</v>
      </c>
    </row>
    <row r="43" spans="1:53" x14ac:dyDescent="0.25">
      <c r="A43" t="s">
        <v>157</v>
      </c>
    </row>
    <row r="44" spans="1:53" x14ac:dyDescent="0.25">
      <c r="A44" t="s">
        <v>158</v>
      </c>
    </row>
    <row r="45" spans="1:53" x14ac:dyDescent="0.25">
      <c r="A45" t="s">
        <v>159</v>
      </c>
    </row>
  </sheetData>
  <mergeCells count="11">
    <mergeCell ref="S1:S2"/>
    <mergeCell ref="T1:T2"/>
    <mergeCell ref="U1:U2"/>
    <mergeCell ref="V1:V2"/>
    <mergeCell ref="W1:W2"/>
    <mergeCell ref="R1:R2"/>
    <mergeCell ref="M1:M2"/>
    <mergeCell ref="N1:N2"/>
    <mergeCell ref="O1:O2"/>
    <mergeCell ref="P1:P2"/>
    <mergeCell ref="Q1:Q2"/>
  </mergeCells>
  <conditionalFormatting sqref="L8:L9">
    <cfRule type="cellIs" dxfId="754" priority="23" operator="greaterThan">
      <formula>3</formula>
    </cfRule>
    <cfRule type="cellIs" dxfId="753" priority="24" operator="lessThan">
      <formula>3</formula>
    </cfRule>
  </conditionalFormatting>
  <conditionalFormatting sqref="I3:K7">
    <cfRule type="cellIs" dxfId="752" priority="20" operator="between">
      <formula>0.05</formula>
      <formula>0.1</formula>
    </cfRule>
    <cfRule type="cellIs" dxfId="751" priority="21" operator="lessThan">
      <formula>0.05</formula>
    </cfRule>
    <cfRule type="cellIs" dxfId="750"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{B0E96725-FB12-4F15-9024-C851FECFC435}</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{81BB7BE5-CD84-48DA-8DB6-C5BC52F04730}</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{43A72195-5DDD-4308-8A1D-64EF4D30C551}</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{F8A99344-7261-42F1-BFF2-BB2349E70B51}</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{AD91BA2D-0FD0-49B7-8D7F-25AA5904F41B}</x14:id>
        </ext>
      </extLst>
    </cfRule>
  </conditionalFormatting>
  <conditionalFormatting sqref="E22">
    <cfRule type="cellIs" dxfId="749" priority="13" operator="greaterThan">
      <formula>3</formula>
    </cfRule>
    <cfRule type="cellIs" dxfId="748" priority="14" operator="lessThan">
      <formula>3</formula>
    </cfRule>
  </conditionalFormatting>
  <conditionalFormatting sqref="B17:D21">
    <cfRule type="cellIs" dxfId="747" priority="10" operator="between">
      <formula>0.05</formula>
      <formula>0.1</formula>
    </cfRule>
    <cfRule type="cellIs" dxfId="746" priority="11" operator="lessThan">
      <formula>0.05</formula>
    </cfRule>
    <cfRule type="cellIs" dxfId="745" priority="12" operator="greaterThan">
      <formula>0.1</formula>
    </cfRule>
  </conditionalFormatting>
  <conditionalFormatting sqref="C29:C31">
    <cfRule type="cellIs" dxfId="744" priority="7" operator="lessThan">
      <formula>0</formula>
    </cfRule>
    <cfRule type="cellIs" dxfId="743" priority="8" operator="between">
      <formula>0</formula>
      <formula>0.3</formula>
    </cfRule>
    <cfRule type="cellIs" dxfId="742" priority="9" operator="greaterThan">
      <formula>0.3</formula>
    </cfRule>
  </conditionalFormatting>
  <conditionalFormatting sqref="E29:E31">
    <cfRule type="cellIs" dxfId="741" priority="4" operator="lessThan">
      <formula>0</formula>
    </cfRule>
    <cfRule type="cellIs" dxfId="740" priority="5" operator="between">
      <formula>0</formula>
      <formula>0.3</formula>
    </cfRule>
    <cfRule type="cellIs" dxfId="739" priority="6" operator="greaterThan">
      <formula>0.3</formula>
    </cfRule>
  </conditionalFormatting>
  <conditionalFormatting sqref="F29:F31">
    <cfRule type="cellIs" dxfId="738" priority="1" operator="lessThan">
      <formula>0</formula>
    </cfRule>
    <cfRule type="cellIs" dxfId="737" priority="2" operator="between">
      <formula>0</formula>
      <formula>0.3</formula>
    </cfRule>
    <cfRule type="cellIs" dxfId="736" priority="3" operator="greaterThan">
      <formula>0.3</formula>
    </cfRule>
  </conditionalFormatting>
  <hyperlinks>
    <hyperlink ref="A34" r:id="rId1" xr:uid="{4C24B918-6715-431D-A32E-FEA6590B55A3}"/>
  </hyperlinks>
  <pageMargins left="0.7" right="0.7" top="0.75" bottom="0.75" header="0.3" footer="0.3"/>
  <pageSetup paperSize="9" orientation="portrait" r:id="rId2"/>
  <drawing r:id="rId3"/>
  <legacyDrawing r:id="rId4"/>
  <tableParts count="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dataBar" id="{B0E96725-FB12-4F15-9024-C851FECFC435}">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81BB7BE5-CD84-48DA-8DB6-C5BC52F04730}">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43A72195-5DDD-4308-8A1D-64EF4D30C551}">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F8A99344-7261-42F1-BFF2-BB2349E70B51}">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AD91BA2D-0FD0-49B7-8D7F-25AA5904F41B}">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9AB09-5B68-429B-BCF3-CACED05A84E8}">
  <dimension ref="A1:BA40"/>
  <sheetViews>
    <sheetView zoomScale="85" zoomScaleNormal="85" workbookViewId="0">
      <selection activeCell="G13" sqref="G13"/>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9906</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MIN(Table1559[])</f>
        <v>0.11169999999999999</v>
      </c>
      <c r="AA2" s="8">
        <f>Z2</f>
        <v>0.11169999999999999</v>
      </c>
      <c r="AB2" s="9">
        <f t="shared" ref="AB2:AJ3" si="1">AA2</f>
        <v>0.11169999999999999</v>
      </c>
      <c r="AC2" s="9">
        <f t="shared" si="1"/>
        <v>0.11169999999999999</v>
      </c>
      <c r="AD2" s="9">
        <f t="shared" si="1"/>
        <v>0.11169999999999999</v>
      </c>
      <c r="AE2" s="9">
        <f t="shared" si="1"/>
        <v>0.11169999999999999</v>
      </c>
      <c r="AF2" s="9">
        <f t="shared" si="1"/>
        <v>0.11169999999999999</v>
      </c>
      <c r="AG2" s="9">
        <f t="shared" si="1"/>
        <v>0.11169999999999999</v>
      </c>
      <c r="AH2" s="9">
        <f t="shared" si="1"/>
        <v>0.11169999999999999</v>
      </c>
      <c r="AI2" s="9">
        <f t="shared" si="1"/>
        <v>0.11169999999999999</v>
      </c>
      <c r="AJ2" s="25">
        <f t="shared" si="1"/>
        <v>0.11169999999999999</v>
      </c>
      <c r="AL2" s="18" t="s">
        <v>36</v>
      </c>
      <c r="AM2" s="67">
        <f>Z2</f>
        <v>0.11169999999999999</v>
      </c>
      <c r="BA2" s="17"/>
    </row>
    <row r="3" spans="1:53" x14ac:dyDescent="0.25">
      <c r="A3" t="s">
        <v>49</v>
      </c>
      <c r="B3" s="58" t="s">
        <v>91</v>
      </c>
      <c r="H3" s="2" t="s">
        <v>6</v>
      </c>
      <c r="I3" s="8">
        <f>AVERAGE(M3:W3)</f>
        <v>0.2087545454545455</v>
      </c>
      <c r="J3" s="9">
        <f>AVERAGE(S3:W3)</f>
        <v>0.215</v>
      </c>
      <c r="K3" s="9">
        <f>W3</f>
        <v>0.35600000000000004</v>
      </c>
      <c r="L3" s="10" t="s">
        <v>7</v>
      </c>
      <c r="M3" s="11">
        <v>0.38090000000000002</v>
      </c>
      <c r="N3" s="12">
        <v>0.25590000000000002</v>
      </c>
      <c r="O3" s="12">
        <v>0.15839999999999999</v>
      </c>
      <c r="P3" s="12">
        <v>0.14360000000000001</v>
      </c>
      <c r="Q3" s="12">
        <v>0.15259999999999999</v>
      </c>
      <c r="R3" s="12">
        <v>0.12990000000000002</v>
      </c>
      <c r="S3" s="12">
        <v>0.15789999999999998</v>
      </c>
      <c r="T3" s="12">
        <v>0.18289999999999998</v>
      </c>
      <c r="U3" s="12">
        <v>0.17069999999999999</v>
      </c>
      <c r="V3" s="12">
        <v>0.20749999999999999</v>
      </c>
      <c r="W3" s="13">
        <v>0.35600000000000004</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c r="H4" s="14" t="s">
        <v>8</v>
      </c>
      <c r="I4" s="15">
        <f>AVERAGE(M4:W4)</f>
        <v>0.11169999999999999</v>
      </c>
      <c r="J4" s="16">
        <f>AVERAGE(S4:W4)</f>
        <v>0.10979999999999998</v>
      </c>
      <c r="K4" s="16">
        <f>W4</f>
        <v>-0.20300000000000001</v>
      </c>
      <c r="L4" s="17" t="s">
        <v>7</v>
      </c>
      <c r="M4" s="18" t="s">
        <v>7</v>
      </c>
      <c r="N4" s="12">
        <v>-1.0999999999999999E-2</v>
      </c>
      <c r="O4" s="12">
        <v>0.56599999999999995</v>
      </c>
      <c r="P4" s="12">
        <v>-5.0000000000000001E-3</v>
      </c>
      <c r="Q4" s="12">
        <v>1.2E-2</v>
      </c>
      <c r="R4" s="12">
        <v>6.0000000000000001E-3</v>
      </c>
      <c r="S4" s="12">
        <v>0.38100000000000001</v>
      </c>
      <c r="T4" s="12">
        <v>4.8000000000000001E-2</v>
      </c>
      <c r="U4" s="12">
        <v>6.3E-2</v>
      </c>
      <c r="V4" s="12">
        <v>0.26</v>
      </c>
      <c r="W4" s="13">
        <v>-0.20300000000000001</v>
      </c>
      <c r="Y4" s="5" t="s">
        <v>15</v>
      </c>
      <c r="Z4" s="29">
        <v>48</v>
      </c>
      <c r="AA4" s="30">
        <f t="shared" si="2"/>
        <v>48</v>
      </c>
      <c r="AB4" s="31">
        <f t="shared" si="2"/>
        <v>48</v>
      </c>
      <c r="AC4" s="31">
        <f t="shared" si="2"/>
        <v>48</v>
      </c>
      <c r="AD4" s="31">
        <f t="shared" si="2"/>
        <v>48</v>
      </c>
      <c r="AE4" s="31">
        <f t="shared" si="2"/>
        <v>48</v>
      </c>
      <c r="AF4" s="31">
        <f t="shared" si="2"/>
        <v>48</v>
      </c>
      <c r="AG4" s="31">
        <f t="shared" si="2"/>
        <v>48</v>
      </c>
      <c r="AH4" s="31">
        <f t="shared" si="2"/>
        <v>48</v>
      </c>
      <c r="AI4" s="31">
        <f t="shared" si="2"/>
        <v>48</v>
      </c>
      <c r="AJ4" s="32">
        <f t="shared" si="2"/>
        <v>48</v>
      </c>
      <c r="AL4" s="18" t="s">
        <v>38</v>
      </c>
      <c r="AM4" s="64">
        <v>15</v>
      </c>
      <c r="BA4" s="17"/>
    </row>
    <row r="5" spans="1:53" x14ac:dyDescent="0.25">
      <c r="A5" t="s">
        <v>34</v>
      </c>
      <c r="B5" s="92">
        <v>44715</v>
      </c>
      <c r="H5" s="14" t="s">
        <v>9</v>
      </c>
      <c r="I5" s="15">
        <f>AVERAGE(M5:W5)</f>
        <v>0.18</v>
      </c>
      <c r="J5" s="16">
        <f>AVERAGE(S5:W5)</f>
        <v>0.33339999999999997</v>
      </c>
      <c r="K5" s="16">
        <f>W5</f>
        <v>0.69099999999999995</v>
      </c>
      <c r="L5" s="17" t="s">
        <v>7</v>
      </c>
      <c r="M5" s="18" t="s">
        <v>7</v>
      </c>
      <c r="N5" s="12">
        <v>-0.216</v>
      </c>
      <c r="O5" s="12">
        <v>-0.127</v>
      </c>
      <c r="P5" s="12">
        <v>0.16200000000000001</v>
      </c>
      <c r="Q5" s="12">
        <v>0.18</v>
      </c>
      <c r="R5" s="12">
        <v>0.13400000000000001</v>
      </c>
      <c r="S5" s="12">
        <v>0.316</v>
      </c>
      <c r="T5" s="12">
        <v>0.26900000000000002</v>
      </c>
      <c r="U5" s="12">
        <v>1.2E-2</v>
      </c>
      <c r="V5" s="12">
        <v>0.379</v>
      </c>
      <c r="W5" s="13">
        <v>0.69099999999999995</v>
      </c>
      <c r="Y5" s="1" t="s">
        <v>16</v>
      </c>
      <c r="Z5" s="33">
        <v>14.34</v>
      </c>
      <c r="AA5" s="34">
        <f>Z5</f>
        <v>14.34</v>
      </c>
      <c r="AB5" s="35">
        <f t="shared" ref="AB5:AJ5" si="3">AA5*(1+$Z2)</f>
        <v>15.941777999999999</v>
      </c>
      <c r="AC5" s="35">
        <f t="shared" si="3"/>
        <v>17.722474602599998</v>
      </c>
      <c r="AD5" s="35">
        <f t="shared" si="3"/>
        <v>19.702075015710417</v>
      </c>
      <c r="AE5" s="35">
        <f t="shared" si="3"/>
        <v>21.902796794965269</v>
      </c>
      <c r="AF5" s="35">
        <f t="shared" si="3"/>
        <v>24.349339196962887</v>
      </c>
      <c r="AG5" s="35">
        <f t="shared" si="3"/>
        <v>27.06916038526364</v>
      </c>
      <c r="AH5" s="35">
        <f t="shared" si="3"/>
        <v>30.092785600297585</v>
      </c>
      <c r="AI5" s="35">
        <f t="shared" si="3"/>
        <v>33.454149751850821</v>
      </c>
      <c r="AJ5" s="36">
        <f t="shared" si="3"/>
        <v>37.190978279132551</v>
      </c>
      <c r="AL5" s="18" t="s">
        <v>39</v>
      </c>
      <c r="AM5" s="40">
        <v>6952</v>
      </c>
      <c r="BA5" s="17"/>
    </row>
    <row r="6" spans="1:53" x14ac:dyDescent="0.25">
      <c r="A6" t="s">
        <v>44</v>
      </c>
      <c r="B6" s="62">
        <v>567</v>
      </c>
      <c r="H6" s="14" t="s">
        <v>10</v>
      </c>
      <c r="I6" s="15">
        <f>AVERAGE(M6:W6)</f>
        <v>0.1095</v>
      </c>
      <c r="J6" s="16">
        <f>AVERAGE(S6:W6)</f>
        <v>0.2238</v>
      </c>
      <c r="K6" s="16">
        <f>W6</f>
        <v>0.33100000000000002</v>
      </c>
      <c r="L6" s="17" t="s">
        <v>7</v>
      </c>
      <c r="M6" s="18" t="s">
        <v>7</v>
      </c>
      <c r="N6" s="12">
        <v>-0.14699999999999999</v>
      </c>
      <c r="O6" s="12">
        <v>-0.16200000000000001</v>
      </c>
      <c r="P6" s="12">
        <v>0.11700000000000001</v>
      </c>
      <c r="Q6" s="12">
        <v>7.3999999999999996E-2</v>
      </c>
      <c r="R6" s="12">
        <v>9.4E-2</v>
      </c>
      <c r="S6" s="12">
        <v>0.30399999999999999</v>
      </c>
      <c r="T6" s="12">
        <v>0.221</v>
      </c>
      <c r="U6" s="12">
        <v>0.08</v>
      </c>
      <c r="V6" s="12">
        <v>0.183</v>
      </c>
      <c r="W6" s="13">
        <v>0.33100000000000002</v>
      </c>
      <c r="Y6" s="5" t="s">
        <v>19</v>
      </c>
      <c r="Z6" s="37">
        <f>AA6</f>
        <v>507.45586520442663</v>
      </c>
      <c r="AA6" s="38">
        <f t="shared" ref="AA6:AI6" si="4">AB6/(1+$Z3)</f>
        <v>507.45586520442663</v>
      </c>
      <c r="AB6" s="38">
        <f t="shared" si="4"/>
        <v>583.57424498509056</v>
      </c>
      <c r="AC6" s="38">
        <f t="shared" si="4"/>
        <v>671.11038173285408</v>
      </c>
      <c r="AD6" s="38">
        <f t="shared" si="4"/>
        <v>771.77693899278211</v>
      </c>
      <c r="AE6" s="38">
        <f t="shared" si="4"/>
        <v>887.54347984169931</v>
      </c>
      <c r="AF6" s="38">
        <f t="shared" si="4"/>
        <v>1020.6750018179541</v>
      </c>
      <c r="AG6" s="38">
        <f t="shared" si="4"/>
        <v>1173.7762520906472</v>
      </c>
      <c r="AH6" s="38">
        <f t="shared" si="4"/>
        <v>1349.842689904244</v>
      </c>
      <c r="AI6" s="38">
        <f t="shared" si="4"/>
        <v>1552.3190933898804</v>
      </c>
      <c r="AJ6" s="39">
        <f>AJ5*$Z4</f>
        <v>1785.1669573983625</v>
      </c>
      <c r="AL6" s="5" t="s">
        <v>40</v>
      </c>
      <c r="AM6" s="45">
        <v>410</v>
      </c>
      <c r="BA6" s="17"/>
    </row>
    <row r="7" spans="1:53" x14ac:dyDescent="0.25">
      <c r="A7" t="s">
        <v>45</v>
      </c>
      <c r="B7" s="58"/>
      <c r="H7" s="14" t="s">
        <v>11</v>
      </c>
      <c r="I7" s="15">
        <f>AVERAGE(M7:W7)</f>
        <v>0.3992</v>
      </c>
      <c r="J7" s="16">
        <f>AVERAGE(S7:W7)</f>
        <v>0.60060000000000002</v>
      </c>
      <c r="K7" s="16">
        <f>W7</f>
        <v>1.7310000000000001</v>
      </c>
      <c r="L7" s="17" t="s">
        <v>7</v>
      </c>
      <c r="M7" s="18" t="s">
        <v>7</v>
      </c>
      <c r="N7" s="12">
        <v>-0.70399999999999996</v>
      </c>
      <c r="O7" s="12">
        <v>0.60099999999999998</v>
      </c>
      <c r="P7" s="12">
        <v>-0.20899999999999999</v>
      </c>
      <c r="Q7" s="12">
        <v>1.49</v>
      </c>
      <c r="R7" s="12">
        <v>-0.189</v>
      </c>
      <c r="S7" s="12">
        <v>7.3999999999999996E-2</v>
      </c>
      <c r="T7" s="12">
        <v>0.71</v>
      </c>
      <c r="U7" s="12">
        <v>-2.9000000000000001E-2</v>
      </c>
      <c r="V7" s="12">
        <v>0.51700000000000002</v>
      </c>
      <c r="W7" s="13">
        <v>1.7310000000000001</v>
      </c>
      <c r="AL7" s="18"/>
      <c r="BA7" s="17"/>
    </row>
    <row r="8" spans="1:53" x14ac:dyDescent="0.25">
      <c r="A8" t="s">
        <v>46</v>
      </c>
      <c r="B8" s="58"/>
      <c r="H8" s="19" t="s">
        <v>12</v>
      </c>
      <c r="I8" s="5" t="s">
        <v>7</v>
      </c>
      <c r="J8" s="6" t="s">
        <v>7</v>
      </c>
      <c r="K8" s="6" t="s">
        <v>7</v>
      </c>
      <c r="L8" s="20">
        <f>4072/9906</f>
        <v>0.41106400161518269</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82</v>
      </c>
      <c r="B9" s="58"/>
      <c r="H9" s="43"/>
      <c r="L9" s="20"/>
      <c r="Y9" s="1"/>
      <c r="AA9" s="1"/>
      <c r="AB9" s="42"/>
      <c r="AC9" s="42"/>
      <c r="AD9" s="42"/>
      <c r="AE9" s="42"/>
      <c r="AF9" s="42"/>
      <c r="AG9" s="42"/>
      <c r="AH9" s="42"/>
      <c r="AI9" s="42"/>
      <c r="AJ9" s="10"/>
      <c r="AL9" s="1"/>
      <c r="AM9" s="10"/>
      <c r="AN9" s="1"/>
      <c r="AO9" s="42"/>
      <c r="AP9" s="42"/>
      <c r="AQ9" s="42"/>
      <c r="AR9" s="42"/>
      <c r="AS9" s="42"/>
      <c r="AT9" s="42"/>
      <c r="AU9" s="42"/>
      <c r="AV9" s="42"/>
      <c r="AW9" s="42"/>
      <c r="AX9" s="10"/>
      <c r="AY9" s="93"/>
      <c r="AZ9" s="93"/>
      <c r="BA9" s="94"/>
    </row>
    <row r="10" spans="1:53" x14ac:dyDescent="0.25">
      <c r="A10" t="s">
        <v>47</v>
      </c>
      <c r="B10" s="58"/>
      <c r="Y10" s="1" t="s">
        <v>13</v>
      </c>
      <c r="Z10" s="65">
        <f>AVERAGE(Table1559[])</f>
        <v>0.19556666666666667</v>
      </c>
      <c r="AA10" s="8">
        <f>Z10</f>
        <v>0.19556666666666667</v>
      </c>
      <c r="AB10" s="9">
        <f t="shared" ref="AB10:AJ11" si="5">AA10</f>
        <v>0.19556666666666667</v>
      </c>
      <c r="AC10" s="9">
        <f t="shared" si="5"/>
        <v>0.19556666666666667</v>
      </c>
      <c r="AD10" s="9">
        <f t="shared" si="5"/>
        <v>0.19556666666666667</v>
      </c>
      <c r="AE10" s="9">
        <f t="shared" si="5"/>
        <v>0.19556666666666667</v>
      </c>
      <c r="AF10" s="9">
        <f t="shared" si="5"/>
        <v>0.19556666666666667</v>
      </c>
      <c r="AG10" s="9">
        <f t="shared" si="5"/>
        <v>0.19556666666666667</v>
      </c>
      <c r="AH10" s="9">
        <f t="shared" si="5"/>
        <v>0.19556666666666667</v>
      </c>
      <c r="AI10" s="9">
        <f t="shared" si="5"/>
        <v>0.19556666666666667</v>
      </c>
      <c r="AJ10" s="25">
        <f t="shared" si="5"/>
        <v>0.19556666666666667</v>
      </c>
      <c r="AL10" s="1" t="s">
        <v>42</v>
      </c>
      <c r="AM10" s="10"/>
      <c r="AN10" s="48">
        <f>$AM1</f>
        <v>9906</v>
      </c>
      <c r="AO10" s="49">
        <f t="shared" ref="AO10:AW10" si="6">AN10+AN10*$AM2</f>
        <v>11012.5002</v>
      </c>
      <c r="AP10" s="49">
        <f t="shared" si="6"/>
        <v>12242.596472340001</v>
      </c>
      <c r="AQ10" s="49">
        <f t="shared" si="6"/>
        <v>13610.094498300379</v>
      </c>
      <c r="AR10" s="49">
        <f t="shared" si="6"/>
        <v>15130.342053760531</v>
      </c>
      <c r="AS10" s="49">
        <f t="shared" si="6"/>
        <v>16820.401261165582</v>
      </c>
      <c r="AT10" s="49">
        <f t="shared" si="6"/>
        <v>18699.240082037777</v>
      </c>
      <c r="AU10" s="49">
        <f t="shared" si="6"/>
        <v>20787.945199201396</v>
      </c>
      <c r="AV10" s="49">
        <f t="shared" si="6"/>
        <v>23109.958677952192</v>
      </c>
      <c r="AW10" s="49">
        <f t="shared" si="6"/>
        <v>25691.341062279451</v>
      </c>
      <c r="AX10" s="50">
        <f>$AM4*AW10</f>
        <v>385370.11593419174</v>
      </c>
      <c r="AY10" s="51"/>
      <c r="AZ10" s="49"/>
      <c r="BA10" s="10"/>
    </row>
    <row r="11" spans="1:53" x14ac:dyDescent="0.25">
      <c r="A11" t="s">
        <v>48</v>
      </c>
      <c r="B11" s="58"/>
      <c r="Y11" s="18" t="s">
        <v>14</v>
      </c>
      <c r="Z11">
        <f>Z3</f>
        <v>0.15</v>
      </c>
      <c r="AA11" s="26">
        <f t="shared" ref="AA11:AJ12" si="7">Z11</f>
        <v>0.15</v>
      </c>
      <c r="AB11" s="27">
        <f t="shared" si="5"/>
        <v>0.15</v>
      </c>
      <c r="AC11" s="27">
        <f t="shared" si="5"/>
        <v>0.15</v>
      </c>
      <c r="AD11" s="27">
        <f t="shared" si="5"/>
        <v>0.15</v>
      </c>
      <c r="AE11" s="27">
        <f t="shared" si="5"/>
        <v>0.15</v>
      </c>
      <c r="AF11" s="27">
        <f t="shared" si="5"/>
        <v>0.15</v>
      </c>
      <c r="AG11" s="27">
        <f t="shared" si="5"/>
        <v>0.15</v>
      </c>
      <c r="AH11" s="27">
        <f t="shared" si="5"/>
        <v>0.15</v>
      </c>
      <c r="AI11" s="27">
        <f t="shared" si="5"/>
        <v>0.15</v>
      </c>
      <c r="AJ11" s="28">
        <f t="shared" si="5"/>
        <v>0.15</v>
      </c>
      <c r="AL11" s="5" t="s">
        <v>43</v>
      </c>
      <c r="AM11" s="7"/>
      <c r="AN11" s="52">
        <f>AN10/(1+$AM3)</f>
        <v>8613.9130434782619</v>
      </c>
      <c r="AO11" s="53">
        <f t="shared" ref="AO11:AW11" si="8">(1+$AM2)*AN11/(1+$AM3)</f>
        <v>8327.0322873345958</v>
      </c>
      <c r="AP11" s="53">
        <f t="shared" si="8"/>
        <v>8049.7059076781479</v>
      </c>
      <c r="AQ11" s="53">
        <f t="shared" si="8"/>
        <v>7781.6157022311272</v>
      </c>
      <c r="AR11" s="53">
        <f t="shared" si="8"/>
        <v>7522.454066235081</v>
      </c>
      <c r="AS11" s="53">
        <f t="shared" si="8"/>
        <v>7271.9236395074249</v>
      </c>
      <c r="AT11" s="53">
        <f t="shared" si="8"/>
        <v>7029.7369652525249</v>
      </c>
      <c r="AU11" s="53">
        <f t="shared" si="8"/>
        <v>6795.6161602358534</v>
      </c>
      <c r="AV11" s="53">
        <f t="shared" si="8"/>
        <v>6569.2925959427812</v>
      </c>
      <c r="AW11" s="53">
        <f t="shared" si="8"/>
        <v>6350.5065903561645</v>
      </c>
      <c r="AX11" s="54">
        <f>AX10/(1+AM3)^AX8</f>
        <v>95257.598855342556</v>
      </c>
      <c r="AY11" s="53">
        <f>SUM(AN11:AX11)</f>
        <v>169569.39581359451</v>
      </c>
      <c r="AZ11" s="53">
        <f>AY11+AM5</f>
        <v>176521.39581359451</v>
      </c>
      <c r="BA11" s="55">
        <f>AZ11/AM6</f>
        <v>430.53998978925489</v>
      </c>
    </row>
    <row r="12" spans="1:53" x14ac:dyDescent="0.25">
      <c r="A12" t="s">
        <v>65</v>
      </c>
      <c r="B12" s="92"/>
      <c r="Y12" s="5" t="s">
        <v>15</v>
      </c>
      <c r="Z12" s="7">
        <f>Z4</f>
        <v>48</v>
      </c>
      <c r="AA12" s="30">
        <f t="shared" si="7"/>
        <v>48</v>
      </c>
      <c r="AB12" s="31">
        <f t="shared" si="7"/>
        <v>48</v>
      </c>
      <c r="AC12" s="31">
        <f t="shared" si="7"/>
        <v>48</v>
      </c>
      <c r="AD12" s="31">
        <f t="shared" si="7"/>
        <v>48</v>
      </c>
      <c r="AE12" s="31">
        <f t="shared" si="7"/>
        <v>48</v>
      </c>
      <c r="AF12" s="31">
        <f t="shared" si="7"/>
        <v>48</v>
      </c>
      <c r="AG12" s="31">
        <f t="shared" si="7"/>
        <v>48</v>
      </c>
      <c r="AH12" s="31">
        <f t="shared" si="7"/>
        <v>48</v>
      </c>
      <c r="AI12" s="31">
        <f t="shared" si="7"/>
        <v>48</v>
      </c>
      <c r="AJ12" s="32">
        <f t="shared" si="7"/>
        <v>48</v>
      </c>
    </row>
    <row r="13" spans="1:53" x14ac:dyDescent="0.25">
      <c r="Y13" s="1" t="s">
        <v>16</v>
      </c>
      <c r="Z13">
        <f>Z5</f>
        <v>14.34</v>
      </c>
      <c r="AA13" s="34">
        <f>Z13</f>
        <v>14.34</v>
      </c>
      <c r="AB13" s="35">
        <f t="shared" ref="AB13:AJ13" si="9">AA13*(1+$Z10)</f>
        <v>17.144425999999999</v>
      </c>
      <c r="AC13" s="35">
        <f t="shared" si="9"/>
        <v>20.497304244733332</v>
      </c>
      <c r="AD13" s="35">
        <f t="shared" si="9"/>
        <v>24.505893711528348</v>
      </c>
      <c r="AE13" s="35">
        <f t="shared" si="9"/>
        <v>29.298429658379575</v>
      </c>
      <c r="AF13" s="35">
        <f t="shared" si="9"/>
        <v>35.028225885236672</v>
      </c>
      <c r="AG13" s="35">
        <f t="shared" si="9"/>
        <v>41.87857926085946</v>
      </c>
      <c r="AH13" s="35">
        <f t="shared" si="9"/>
        <v>50.068633411641542</v>
      </c>
      <c r="AI13" s="35">
        <f t="shared" si="9"/>
        <v>59.860389152511573</v>
      </c>
      <c r="AJ13" s="36">
        <f t="shared" si="9"/>
        <v>71.567085924437748</v>
      </c>
      <c r="AL13" s="1" t="s">
        <v>35</v>
      </c>
      <c r="AM13" s="72">
        <f>AM1</f>
        <v>9906</v>
      </c>
      <c r="AN13" s="42"/>
      <c r="AO13" s="42"/>
      <c r="AP13" s="42"/>
      <c r="AQ13" s="42"/>
      <c r="AR13" s="42"/>
      <c r="AS13" s="42"/>
      <c r="AT13" s="42"/>
      <c r="AU13" s="42"/>
      <c r="AV13" s="42"/>
      <c r="AW13" s="42"/>
      <c r="AX13" s="42"/>
      <c r="AY13" s="42"/>
      <c r="AZ13" s="42"/>
      <c r="BA13" s="10"/>
    </row>
    <row r="14" spans="1:53" ht="18.75" x14ac:dyDescent="0.3">
      <c r="A14" s="56" t="s">
        <v>29</v>
      </c>
      <c r="Y14" s="5" t="s">
        <v>19</v>
      </c>
      <c r="Z14" s="37">
        <f>AA14</f>
        <v>976.50395844312175</v>
      </c>
      <c r="AA14" s="38">
        <f t="shared" ref="AA14:AI14" si="10">AB14/(1+$Z11)</f>
        <v>976.50395844312175</v>
      </c>
      <c r="AB14" s="38">
        <f t="shared" si="10"/>
        <v>1122.9795522095899</v>
      </c>
      <c r="AC14" s="38">
        <f t="shared" si="10"/>
        <v>1291.4264850410282</v>
      </c>
      <c r="AD14" s="38">
        <f t="shared" si="10"/>
        <v>1485.1404577971823</v>
      </c>
      <c r="AE14" s="38">
        <f t="shared" si="10"/>
        <v>1707.9115264667596</v>
      </c>
      <c r="AF14" s="38">
        <f t="shared" si="10"/>
        <v>1964.0982554367733</v>
      </c>
      <c r="AG14" s="38">
        <f t="shared" si="10"/>
        <v>2258.7129937522891</v>
      </c>
      <c r="AH14" s="38">
        <f t="shared" si="10"/>
        <v>2597.5199428151323</v>
      </c>
      <c r="AI14" s="38">
        <f t="shared" si="10"/>
        <v>2987.1479342374018</v>
      </c>
      <c r="AJ14" s="39">
        <f>AJ13*$Z12</f>
        <v>3435.2201243730119</v>
      </c>
      <c r="AL14" s="18" t="s">
        <v>36</v>
      </c>
      <c r="AM14" s="68">
        <f>Z10</f>
        <v>0.19556666666666667</v>
      </c>
      <c r="BA14" s="17"/>
    </row>
    <row r="15" spans="1:53" x14ac:dyDescent="0.25">
      <c r="A15" s="43" t="s">
        <v>32</v>
      </c>
      <c r="B15" s="18" t="s">
        <v>0</v>
      </c>
      <c r="C15" t="s">
        <v>1</v>
      </c>
      <c r="D15" t="s">
        <v>2</v>
      </c>
      <c r="E15" t="s">
        <v>3</v>
      </c>
      <c r="AL15" s="18" t="s">
        <v>37</v>
      </c>
      <c r="AM15" s="69">
        <f>AM3</f>
        <v>0.15</v>
      </c>
      <c r="BA15" s="17"/>
    </row>
    <row r="16" spans="1:53" x14ac:dyDescent="0.25">
      <c r="A16" t="s">
        <v>52</v>
      </c>
      <c r="B16" t="s">
        <v>4</v>
      </c>
      <c r="C16" t="s">
        <v>4</v>
      </c>
      <c r="D16" t="s">
        <v>4</v>
      </c>
      <c r="E16" t="s">
        <v>5</v>
      </c>
      <c r="Y16" s="21" t="s">
        <v>61</v>
      </c>
      <c r="Z16" s="22"/>
      <c r="AA16" s="21">
        <v>2021</v>
      </c>
      <c r="AB16" s="23">
        <v>2022</v>
      </c>
      <c r="AC16" s="23">
        <v>2023</v>
      </c>
      <c r="AD16" s="23">
        <v>2024</v>
      </c>
      <c r="AE16" s="23">
        <v>2025</v>
      </c>
      <c r="AF16" s="23">
        <v>2026</v>
      </c>
      <c r="AG16" s="23">
        <v>2027</v>
      </c>
      <c r="AH16" s="23">
        <v>2028</v>
      </c>
      <c r="AI16" s="23">
        <v>2029</v>
      </c>
      <c r="AJ16" s="24">
        <v>2030</v>
      </c>
      <c r="AL16" s="18" t="s">
        <v>38</v>
      </c>
      <c r="AM16" s="69">
        <f>AM4</f>
        <v>15</v>
      </c>
      <c r="BA16" s="17"/>
    </row>
    <row r="17" spans="1:53" x14ac:dyDescent="0.25">
      <c r="A17" t="s">
        <v>23</v>
      </c>
      <c r="B17" s="16">
        <f t="shared" ref="B17:D21" si="11">I3</f>
        <v>0.2087545454545455</v>
      </c>
      <c r="C17" s="16">
        <f t="shared" si="11"/>
        <v>0.215</v>
      </c>
      <c r="D17" s="16">
        <f t="shared" si="11"/>
        <v>0.35600000000000004</v>
      </c>
      <c r="Y17" s="1" t="s">
        <v>13</v>
      </c>
      <c r="Z17" s="60">
        <f>MAX(Table1559[])</f>
        <v>0.29799999999999999</v>
      </c>
      <c r="AA17" s="8">
        <f>Z17</f>
        <v>0.29799999999999999</v>
      </c>
      <c r="AB17" s="9">
        <f t="shared" ref="AB17:AJ18" si="12">AA17</f>
        <v>0.29799999999999999</v>
      </c>
      <c r="AC17" s="9">
        <f t="shared" si="12"/>
        <v>0.29799999999999999</v>
      </c>
      <c r="AD17" s="9">
        <f t="shared" si="12"/>
        <v>0.29799999999999999</v>
      </c>
      <c r="AE17" s="9">
        <f t="shared" si="12"/>
        <v>0.29799999999999999</v>
      </c>
      <c r="AF17" s="9">
        <f t="shared" si="12"/>
        <v>0.29799999999999999</v>
      </c>
      <c r="AG17" s="9">
        <f t="shared" si="12"/>
        <v>0.29799999999999999</v>
      </c>
      <c r="AH17" s="9">
        <f t="shared" si="12"/>
        <v>0.29799999999999999</v>
      </c>
      <c r="AI17" s="9">
        <f t="shared" si="12"/>
        <v>0.29799999999999999</v>
      </c>
      <c r="AJ17" s="25">
        <f t="shared" si="12"/>
        <v>0.29799999999999999</v>
      </c>
      <c r="AL17" s="18" t="s">
        <v>39</v>
      </c>
      <c r="AM17" s="69">
        <f>AM5</f>
        <v>6952</v>
      </c>
      <c r="BA17" s="17"/>
    </row>
    <row r="18" spans="1:53" x14ac:dyDescent="0.25">
      <c r="A18" t="s">
        <v>24</v>
      </c>
      <c r="B18" s="16">
        <f t="shared" si="11"/>
        <v>0.11169999999999999</v>
      </c>
      <c r="C18" s="16">
        <f t="shared" si="11"/>
        <v>0.10979999999999998</v>
      </c>
      <c r="D18" s="16">
        <f t="shared" si="11"/>
        <v>-0.20300000000000001</v>
      </c>
      <c r="Y18" s="18" t="s">
        <v>14</v>
      </c>
      <c r="Z18">
        <f>Z3</f>
        <v>0.15</v>
      </c>
      <c r="AA18" s="26">
        <f t="shared" ref="AA18:AJ19" si="13">Z18</f>
        <v>0.15</v>
      </c>
      <c r="AB18" s="27">
        <f t="shared" si="12"/>
        <v>0.15</v>
      </c>
      <c r="AC18" s="27">
        <f t="shared" si="12"/>
        <v>0.15</v>
      </c>
      <c r="AD18" s="27">
        <f t="shared" si="12"/>
        <v>0.15</v>
      </c>
      <c r="AE18" s="27">
        <f t="shared" si="12"/>
        <v>0.15</v>
      </c>
      <c r="AF18" s="27">
        <f t="shared" si="12"/>
        <v>0.15</v>
      </c>
      <c r="AG18" s="27">
        <f t="shared" si="12"/>
        <v>0.15</v>
      </c>
      <c r="AH18" s="27">
        <f t="shared" si="12"/>
        <v>0.15</v>
      </c>
      <c r="AI18" s="27">
        <f t="shared" si="12"/>
        <v>0.15</v>
      </c>
      <c r="AJ18" s="28">
        <f t="shared" si="12"/>
        <v>0.15</v>
      </c>
      <c r="AL18" s="5" t="s">
        <v>40</v>
      </c>
      <c r="AM18" s="70">
        <f>AM6</f>
        <v>410</v>
      </c>
      <c r="BA18" s="17"/>
    </row>
    <row r="19" spans="1:53" x14ac:dyDescent="0.25">
      <c r="A19" t="s">
        <v>25</v>
      </c>
      <c r="B19" s="16">
        <f t="shared" si="11"/>
        <v>0.18</v>
      </c>
      <c r="C19" s="16">
        <f t="shared" si="11"/>
        <v>0.33339999999999997</v>
      </c>
      <c r="D19" s="16">
        <f t="shared" si="11"/>
        <v>0.69099999999999995</v>
      </c>
      <c r="Y19" s="5" t="s">
        <v>15</v>
      </c>
      <c r="Z19" s="7">
        <f>Z4</f>
        <v>48</v>
      </c>
      <c r="AA19" s="30">
        <f t="shared" si="13"/>
        <v>48</v>
      </c>
      <c r="AB19" s="31">
        <f t="shared" si="13"/>
        <v>48</v>
      </c>
      <c r="AC19" s="31">
        <f t="shared" si="13"/>
        <v>48</v>
      </c>
      <c r="AD19" s="31">
        <f t="shared" si="13"/>
        <v>48</v>
      </c>
      <c r="AE19" s="31">
        <f t="shared" si="13"/>
        <v>48</v>
      </c>
      <c r="AF19" s="31">
        <f t="shared" si="13"/>
        <v>48</v>
      </c>
      <c r="AG19" s="31">
        <f t="shared" si="13"/>
        <v>48</v>
      </c>
      <c r="AH19" s="31">
        <f t="shared" si="13"/>
        <v>48</v>
      </c>
      <c r="AI19" s="31">
        <f t="shared" si="13"/>
        <v>48</v>
      </c>
      <c r="AJ19" s="32">
        <f t="shared" si="13"/>
        <v>48</v>
      </c>
      <c r="AL19" s="18"/>
      <c r="BA19" s="17"/>
    </row>
    <row r="20" spans="1:53" x14ac:dyDescent="0.25">
      <c r="A20" t="s">
        <v>26</v>
      </c>
      <c r="B20" s="16">
        <f t="shared" si="11"/>
        <v>0.1095</v>
      </c>
      <c r="C20" s="16">
        <f t="shared" si="11"/>
        <v>0.2238</v>
      </c>
      <c r="D20" s="16">
        <f t="shared" si="11"/>
        <v>0.33100000000000002</v>
      </c>
      <c r="Y20" s="1" t="s">
        <v>16</v>
      </c>
      <c r="Z20">
        <f>Z5</f>
        <v>14.34</v>
      </c>
      <c r="AA20" s="34">
        <f>Z20</f>
        <v>14.34</v>
      </c>
      <c r="AB20" s="35">
        <f t="shared" ref="AB20:AJ20" si="14">AA20*(1+$Z17)</f>
        <v>18.613320000000002</v>
      </c>
      <c r="AC20" s="35">
        <f t="shared" si="14"/>
        <v>24.160089360000004</v>
      </c>
      <c r="AD20" s="35">
        <f t="shared" si="14"/>
        <v>31.359795989280006</v>
      </c>
      <c r="AE20" s="35">
        <f t="shared" si="14"/>
        <v>40.705015194085448</v>
      </c>
      <c r="AF20" s="35">
        <f t="shared" si="14"/>
        <v>52.835109721922912</v>
      </c>
      <c r="AG20" s="35">
        <f t="shared" si="14"/>
        <v>68.579972419055949</v>
      </c>
      <c r="AH20" s="35">
        <f t="shared" si="14"/>
        <v>89.016804199934626</v>
      </c>
      <c r="AI20" s="35">
        <f t="shared" si="14"/>
        <v>115.54381185151514</v>
      </c>
      <c r="AJ20" s="36">
        <f t="shared" si="14"/>
        <v>149.97586778326666</v>
      </c>
      <c r="AL20" s="21"/>
      <c r="AM20" s="24"/>
      <c r="AN20" s="21">
        <v>1</v>
      </c>
      <c r="AO20" s="23">
        <v>2</v>
      </c>
      <c r="AP20" s="23">
        <v>3</v>
      </c>
      <c r="AQ20" s="23">
        <v>4</v>
      </c>
      <c r="AR20" s="23">
        <v>5</v>
      </c>
      <c r="AS20" s="23">
        <v>6</v>
      </c>
      <c r="AT20" s="23">
        <v>7</v>
      </c>
      <c r="AU20" s="23">
        <v>8</v>
      </c>
      <c r="AV20" s="23">
        <v>9</v>
      </c>
      <c r="AW20" s="23">
        <v>10</v>
      </c>
      <c r="AX20" s="24">
        <v>10</v>
      </c>
      <c r="AY20" s="46" t="s">
        <v>41</v>
      </c>
      <c r="AZ20" s="46" t="s">
        <v>62</v>
      </c>
      <c r="BA20" s="47" t="s">
        <v>63</v>
      </c>
    </row>
    <row r="21" spans="1:53" ht="15.75" thickBot="1" x14ac:dyDescent="0.3">
      <c r="A21" t="s">
        <v>27</v>
      </c>
      <c r="B21" s="16">
        <f t="shared" si="11"/>
        <v>0.3992</v>
      </c>
      <c r="C21" s="16">
        <f t="shared" si="11"/>
        <v>0.60060000000000002</v>
      </c>
      <c r="D21" s="16">
        <f t="shared" si="11"/>
        <v>1.7310000000000001</v>
      </c>
      <c r="Y21" s="5" t="s">
        <v>19</v>
      </c>
      <c r="Z21" s="37">
        <f>AA21</f>
        <v>2046.3600923464976</v>
      </c>
      <c r="AA21" s="38">
        <f t="shared" ref="AA21:AI21" si="15">AB21/(1+$Z18)</f>
        <v>2046.3600923464976</v>
      </c>
      <c r="AB21" s="38">
        <f t="shared" si="15"/>
        <v>2353.314106198472</v>
      </c>
      <c r="AC21" s="38">
        <f t="shared" si="15"/>
        <v>2706.3112221282427</v>
      </c>
      <c r="AD21" s="38">
        <f t="shared" si="15"/>
        <v>3112.2579054474786</v>
      </c>
      <c r="AE21" s="38">
        <f t="shared" si="15"/>
        <v>3579.0965912646002</v>
      </c>
      <c r="AF21" s="38">
        <f t="shared" si="15"/>
        <v>4115.9610799542897</v>
      </c>
      <c r="AG21" s="38">
        <f t="shared" si="15"/>
        <v>4733.3552419474327</v>
      </c>
      <c r="AH21" s="38">
        <f t="shared" si="15"/>
        <v>5443.358528239547</v>
      </c>
      <c r="AI21" s="38">
        <f t="shared" si="15"/>
        <v>6259.8623074754787</v>
      </c>
      <c r="AJ21" s="39">
        <f>AJ20*$Z19</f>
        <v>7198.8416535967999</v>
      </c>
      <c r="AL21" s="1" t="s">
        <v>42</v>
      </c>
      <c r="AM21" s="10"/>
      <c r="AN21" s="48">
        <f>$AM13</f>
        <v>9906</v>
      </c>
      <c r="AO21" s="49">
        <f t="shared" ref="AO21:AW21" si="16">AN21+AN21*$AM14</f>
        <v>11843.2834</v>
      </c>
      <c r="AP21" s="49">
        <f t="shared" si="16"/>
        <v>14159.434856926668</v>
      </c>
      <c r="AQ21" s="49">
        <f t="shared" si="16"/>
        <v>16928.548333779625</v>
      </c>
      <c r="AR21" s="49">
        <f t="shared" si="16"/>
        <v>20239.208102922461</v>
      </c>
      <c r="AS21" s="49">
        <f t="shared" si="16"/>
        <v>24197.322567583997</v>
      </c>
      <c r="AT21" s="49">
        <f t="shared" si="16"/>
        <v>28929.512284384509</v>
      </c>
      <c r="AU21" s="49">
        <f t="shared" si="16"/>
        <v>34587.160570133972</v>
      </c>
      <c r="AV21" s="49">
        <f t="shared" si="16"/>
        <v>41351.256272299841</v>
      </c>
      <c r="AW21" s="49">
        <f t="shared" si="16"/>
        <v>49438.183623952616</v>
      </c>
      <c r="AX21" s="50">
        <f>$AM16*AW21</f>
        <v>741572.75435928931</v>
      </c>
      <c r="AY21" s="51"/>
      <c r="AZ21" s="49"/>
      <c r="BA21" s="10"/>
    </row>
    <row r="22" spans="1:53" ht="15.75" thickBot="1" x14ac:dyDescent="0.3">
      <c r="A22" t="s">
        <v>28</v>
      </c>
      <c r="E22" s="57">
        <f>L8</f>
        <v>0.41106400161518269</v>
      </c>
      <c r="P22" s="88"/>
      <c r="Q22" s="88"/>
      <c r="R22" s="88"/>
      <c r="S22" s="88"/>
      <c r="T22" s="89"/>
      <c r="AL22" s="5" t="s">
        <v>43</v>
      </c>
      <c r="AM22" s="7"/>
      <c r="AN22" s="52">
        <f>AN21/(1+$AM15)</f>
        <v>8613.9130434782619</v>
      </c>
      <c r="AO22" s="53">
        <f t="shared" ref="AO22:AW22" si="17">(1+$AM14)*AN22/(1+$AM15)</f>
        <v>8955.2237429111556</v>
      </c>
      <c r="AP22" s="53">
        <f t="shared" si="17"/>
        <v>9310.058260492593</v>
      </c>
      <c r="AQ22" s="53">
        <f t="shared" si="17"/>
        <v>9678.9524530170402</v>
      </c>
      <c r="AR22" s="53">
        <f t="shared" si="17"/>
        <v>10062.463409633687</v>
      </c>
      <c r="AS22" s="53">
        <f t="shared" si="17"/>
        <v>10461.170293140043</v>
      </c>
      <c r="AT22" s="53">
        <f t="shared" si="17"/>
        <v>10875.675214610261</v>
      </c>
      <c r="AU22" s="53">
        <f t="shared" si="17"/>
        <v>11306.604142679022</v>
      </c>
      <c r="AV22" s="53">
        <f t="shared" si="17"/>
        <v>11754.607848854159</v>
      </c>
      <c r="AW22" s="53">
        <f t="shared" si="17"/>
        <v>12220.362890285569</v>
      </c>
      <c r="AX22" s="54">
        <f>AX21/(1+AM15)^AX20</f>
        <v>183305.44335428355</v>
      </c>
      <c r="AY22" s="53">
        <f>SUM(AN22:AX22)</f>
        <v>286544.47465338535</v>
      </c>
      <c r="AZ22" s="53">
        <f>AY22+AM17</f>
        <v>293496.47465338535</v>
      </c>
      <c r="BA22" s="55">
        <f>AZ22/AM18</f>
        <v>715.84506013020814</v>
      </c>
    </row>
    <row r="23" spans="1:53" ht="15.75" thickBot="1" x14ac:dyDescent="0.3">
      <c r="R23" s="88"/>
      <c r="S23" s="88"/>
      <c r="T23" s="88"/>
      <c r="U23" s="88"/>
      <c r="V23" s="89"/>
      <c r="AN23" s="75"/>
      <c r="AO23" s="75"/>
      <c r="AP23" s="75"/>
      <c r="AQ23" s="75"/>
      <c r="AR23" s="75"/>
      <c r="AS23" s="75"/>
      <c r="AT23" s="75"/>
      <c r="AU23" s="75"/>
      <c r="AV23" s="75"/>
      <c r="AW23" s="75"/>
      <c r="AX23" s="75"/>
      <c r="AY23" s="75"/>
      <c r="AZ23" s="75"/>
      <c r="BA23" s="76"/>
    </row>
    <row r="24" spans="1:53" ht="18.75" x14ac:dyDescent="0.3">
      <c r="A24" s="56" t="s">
        <v>30</v>
      </c>
      <c r="AL24" s="1" t="s">
        <v>35</v>
      </c>
      <c r="AM24" s="22">
        <f>AM1</f>
        <v>9906</v>
      </c>
      <c r="AN24" s="42"/>
      <c r="AO24" s="42"/>
      <c r="AP24" s="42"/>
      <c r="AQ24" s="42"/>
      <c r="AR24" s="42"/>
      <c r="AS24" s="42"/>
      <c r="AT24" s="42"/>
      <c r="AU24" s="42"/>
      <c r="AV24" s="42"/>
      <c r="AW24" s="42"/>
      <c r="AX24" s="42"/>
      <c r="AY24" s="42"/>
      <c r="AZ24" s="42"/>
      <c r="BA24" s="10"/>
    </row>
    <row r="25" spans="1:53" x14ac:dyDescent="0.25">
      <c r="A25" t="s">
        <v>107</v>
      </c>
      <c r="B25" t="s">
        <v>137</v>
      </c>
      <c r="C25" t="s">
        <v>138</v>
      </c>
      <c r="AL25" s="18" t="s">
        <v>36</v>
      </c>
      <c r="AM25" s="71">
        <f>Z17</f>
        <v>0.29799999999999999</v>
      </c>
      <c r="BA25" s="17"/>
    </row>
    <row r="26" spans="1:53" x14ac:dyDescent="0.25">
      <c r="A26" s="16">
        <f>B18</f>
        <v>0.11169999999999999</v>
      </c>
      <c r="B26" s="86">
        <v>0.29799999999999999</v>
      </c>
      <c r="C26" s="85">
        <v>0.17699999999999999</v>
      </c>
      <c r="AL26" s="18" t="s">
        <v>37</v>
      </c>
      <c r="AM26" s="69">
        <f>AM3</f>
        <v>0.15</v>
      </c>
      <c r="BA26" s="17"/>
    </row>
    <row r="27" spans="1:53" x14ac:dyDescent="0.25">
      <c r="AL27" s="18" t="s">
        <v>38</v>
      </c>
      <c r="AM27" s="69">
        <f>AM4</f>
        <v>15</v>
      </c>
      <c r="BA27" s="17"/>
    </row>
    <row r="28" spans="1:53" ht="30" x14ac:dyDescent="0.25">
      <c r="A28" t="s">
        <v>18</v>
      </c>
      <c r="B28" s="41" t="s">
        <v>20</v>
      </c>
      <c r="C28" s="41" t="s">
        <v>31</v>
      </c>
      <c r="D28" s="41" t="s">
        <v>21</v>
      </c>
      <c r="E28" s="41" t="s">
        <v>22</v>
      </c>
      <c r="F28" t="s">
        <v>126</v>
      </c>
      <c r="AL28" s="18" t="s">
        <v>39</v>
      </c>
      <c r="AM28" s="69">
        <f>AM5</f>
        <v>6952</v>
      </c>
      <c r="BA28" s="17"/>
    </row>
    <row r="29" spans="1:53" x14ac:dyDescent="0.25">
      <c r="A29" s="16">
        <f>MIN(Table1559[])</f>
        <v>0.11169999999999999</v>
      </c>
      <c r="B29" s="73">
        <f>Z6</f>
        <v>507.45586520442663</v>
      </c>
      <c r="C29" s="63">
        <f>1-$B$6/Table156[[#This Row],[Fair Value
Method 1]]</f>
        <v>-0.11733854878509731</v>
      </c>
      <c r="D29" s="66">
        <f>BA11</f>
        <v>430.53998978925489</v>
      </c>
      <c r="E29" s="63">
        <f>1-$B$6/Table156[[#This Row],[Fair Value 
Method 2]]</f>
        <v>-0.31695083719758754</v>
      </c>
      <c r="F29" s="63">
        <f>AVERAGE(Table156[[#This Row],[MOS
Method 1]],Table156[[#This Row],[MOS 
Method 2]])</f>
        <v>-0.21714469299134243</v>
      </c>
      <c r="AL29" s="5" t="s">
        <v>40</v>
      </c>
      <c r="AM29" s="70">
        <f>AM6</f>
        <v>410</v>
      </c>
      <c r="BA29" s="17"/>
    </row>
    <row r="30" spans="1:53" x14ac:dyDescent="0.25">
      <c r="A30" s="61">
        <f>AVERAGE(Table1559[])</f>
        <v>0.19556666666666667</v>
      </c>
      <c r="B30" s="73">
        <f>Z14</f>
        <v>976.50395844312175</v>
      </c>
      <c r="C30" s="63">
        <f>1-$B$6/Table156[[#This Row],[Fair Value
Method 1]]</f>
        <v>0.41935719246444203</v>
      </c>
      <c r="D30" s="66">
        <f>BA22</f>
        <v>715.84506013020814</v>
      </c>
      <c r="E30" s="63">
        <f>1-$B$6/Table156[[#This Row],[Fair Value 
Method 2]]</f>
        <v>0.20792915732789174</v>
      </c>
      <c r="F30" s="63">
        <f>AVERAGE(Table156[[#This Row],[MOS
Method 1]],Table156[[#This Row],[MOS 
Method 2]])</f>
        <v>0.31364317489616689</v>
      </c>
      <c r="AL30" s="18"/>
      <c r="BA30" s="17"/>
    </row>
    <row r="31" spans="1:53" x14ac:dyDescent="0.25">
      <c r="A31" s="61">
        <f>MAX(Table1559[])</f>
        <v>0.29799999999999999</v>
      </c>
      <c r="B31" s="73">
        <f>Z21</f>
        <v>2046.3600923464976</v>
      </c>
      <c r="C31" s="63">
        <f>1-$B$6/Table156[[#This Row],[Fair Value
Method 1]]</f>
        <v>0.72292266540937145</v>
      </c>
      <c r="D31" s="66">
        <f>BA33</f>
        <v>1338.4189345404648</v>
      </c>
      <c r="E31" s="63">
        <f>1-$B$6/Table156[[#This Row],[Fair Value 
Method 2]]</f>
        <v>0.57636582585057727</v>
      </c>
      <c r="F31" s="63">
        <f>AVERAGE(Table156[[#This Row],[MOS
Method 1]],Table156[[#This Row],[MOS 
Method 2]])</f>
        <v>0.64964424562997436</v>
      </c>
      <c r="AL31" s="21"/>
      <c r="AM31" s="24"/>
      <c r="AN31" s="21">
        <v>1</v>
      </c>
      <c r="AO31" s="23">
        <v>2</v>
      </c>
      <c r="AP31" s="23">
        <v>3</v>
      </c>
      <c r="AQ31" s="23">
        <v>4</v>
      </c>
      <c r="AR31" s="23">
        <v>5</v>
      </c>
      <c r="AS31" s="23">
        <v>6</v>
      </c>
      <c r="AT31" s="23">
        <v>7</v>
      </c>
      <c r="AU31" s="23">
        <v>8</v>
      </c>
      <c r="AV31" s="23">
        <v>9</v>
      </c>
      <c r="AW31" s="23">
        <v>10</v>
      </c>
      <c r="AX31" s="24">
        <v>10</v>
      </c>
      <c r="AY31" s="46" t="s">
        <v>41</v>
      </c>
      <c r="AZ31" s="46" t="s">
        <v>62</v>
      </c>
      <c r="BA31" s="47" t="s">
        <v>63</v>
      </c>
    </row>
    <row r="32" spans="1:53" x14ac:dyDescent="0.25">
      <c r="AL32" s="1" t="s">
        <v>42</v>
      </c>
      <c r="AM32" s="10"/>
      <c r="AN32" s="48">
        <f>$AM24</f>
        <v>9906</v>
      </c>
      <c r="AO32" s="49">
        <f t="shared" ref="AO32:AW32" si="18">AN32+AN32*$AM25</f>
        <v>12857.987999999999</v>
      </c>
      <c r="AP32" s="49">
        <f t="shared" si="18"/>
        <v>16689.668424</v>
      </c>
      <c r="AQ32" s="49">
        <f t="shared" si="18"/>
        <v>21663.189614351999</v>
      </c>
      <c r="AR32" s="49">
        <f t="shared" si="18"/>
        <v>28118.820119428892</v>
      </c>
      <c r="AS32" s="49">
        <f t="shared" si="18"/>
        <v>36498.228515018702</v>
      </c>
      <c r="AT32" s="49">
        <f t="shared" si="18"/>
        <v>47374.700612494271</v>
      </c>
      <c r="AU32" s="49">
        <f t="shared" si="18"/>
        <v>61492.361395017564</v>
      </c>
      <c r="AV32" s="49">
        <f t="shared" si="18"/>
        <v>79817.085090732799</v>
      </c>
      <c r="AW32" s="49">
        <f t="shared" si="18"/>
        <v>103602.57644777116</v>
      </c>
      <c r="AX32" s="50">
        <f>$AM27*AW32</f>
        <v>1554038.6467165675</v>
      </c>
      <c r="AY32" s="51"/>
      <c r="AZ32" s="49"/>
      <c r="BA32" s="10"/>
    </row>
    <row r="33" spans="1:53" ht="18.75" x14ac:dyDescent="0.3">
      <c r="A33" s="56" t="s">
        <v>64</v>
      </c>
      <c r="AL33" s="5" t="s">
        <v>43</v>
      </c>
      <c r="AM33" s="7"/>
      <c r="AN33" s="52">
        <f>AN32/(1+$AM26)</f>
        <v>8613.9130434782619</v>
      </c>
      <c r="AO33" s="53">
        <f t="shared" ref="AO33:AW33" si="19">(1+$AM25)*AN33/(1+$AM26)</f>
        <v>9722.4862003780745</v>
      </c>
      <c r="AP33" s="53">
        <f t="shared" si="19"/>
        <v>10973.727902687602</v>
      </c>
      <c r="AQ33" s="53">
        <f t="shared" si="19"/>
        <v>12385.998971903053</v>
      </c>
      <c r="AR33" s="53">
        <f t="shared" si="19"/>
        <v>13980.023187417535</v>
      </c>
      <c r="AS33" s="53">
        <f t="shared" si="19"/>
        <v>15779.191388928664</v>
      </c>
      <c r="AT33" s="53">
        <f t="shared" si="19"/>
        <v>17809.904715503835</v>
      </c>
      <c r="AU33" s="53">
        <f t="shared" si="19"/>
        <v>20101.962018020855</v>
      </c>
      <c r="AV33" s="53">
        <f t="shared" si="19"/>
        <v>22688.997129905281</v>
      </c>
      <c r="AW33" s="53">
        <f t="shared" si="19"/>
        <v>25608.972412710486</v>
      </c>
      <c r="AX33" s="54">
        <f>AX32/(1+AM26)^AX31</f>
        <v>384134.58619065688</v>
      </c>
      <c r="AY33" s="53">
        <f>SUM(AN33:AX33)</f>
        <v>541799.76316159056</v>
      </c>
      <c r="AZ33" s="53">
        <f>AY33+AM28</f>
        <v>548751.76316159056</v>
      </c>
      <c r="BA33" s="55">
        <f>AZ33/AM29</f>
        <v>1338.4189345404648</v>
      </c>
    </row>
    <row r="34" spans="1:53" x14ac:dyDescent="0.25">
      <c r="A34" s="77" t="s">
        <v>66</v>
      </c>
    </row>
    <row r="37" spans="1:53" x14ac:dyDescent="0.25">
      <c r="D37" s="78"/>
      <c r="E37" s="78"/>
      <c r="G37" s="79"/>
    </row>
    <row r="40" spans="1:53" x14ac:dyDescent="0.25">
      <c r="D40" s="41"/>
    </row>
  </sheetData>
  <mergeCells count="11">
    <mergeCell ref="S1:S2"/>
    <mergeCell ref="T1:T2"/>
    <mergeCell ref="U1:U2"/>
    <mergeCell ref="V1:V2"/>
    <mergeCell ref="W1:W2"/>
    <mergeCell ref="R1:R2"/>
    <mergeCell ref="M1:M2"/>
    <mergeCell ref="N1:N2"/>
    <mergeCell ref="O1:O2"/>
    <mergeCell ref="P1:P2"/>
    <mergeCell ref="Q1:Q2"/>
  </mergeCells>
  <conditionalFormatting sqref="L8:L9">
    <cfRule type="cellIs" dxfId="717" priority="23" operator="greaterThan">
      <formula>3</formula>
    </cfRule>
    <cfRule type="cellIs" dxfId="716" priority="24" operator="lessThan">
      <formula>3</formula>
    </cfRule>
  </conditionalFormatting>
  <conditionalFormatting sqref="I3:K7">
    <cfRule type="cellIs" dxfId="715" priority="20" operator="between">
      <formula>0.05</formula>
      <formula>0.1</formula>
    </cfRule>
    <cfRule type="cellIs" dxfId="714" priority="21" operator="lessThan">
      <formula>0.05</formula>
    </cfRule>
    <cfRule type="cellIs" dxfId="713"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{B2D81C56-16EF-4DB7-8B52-4BEBDB8D84AE}</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{6A21EA69-2379-4C75-BF5B-A4C2FE46E851}</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{DA3C7EE1-ED34-4919-AF0F-37F69A20CD2A}</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{C52E4690-DAAA-441C-9136-0775297CCC33}</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{AAE27F42-6B61-49DF-A5DF-C43AB23B7806}</x14:id>
        </ext>
      </extLst>
    </cfRule>
  </conditionalFormatting>
  <conditionalFormatting sqref="E22">
    <cfRule type="cellIs" dxfId="712" priority="13" operator="greaterThan">
      <formula>3</formula>
    </cfRule>
    <cfRule type="cellIs" dxfId="711" priority="14" operator="lessThan">
      <formula>3</formula>
    </cfRule>
  </conditionalFormatting>
  <conditionalFormatting sqref="B17:D21">
    <cfRule type="cellIs" dxfId="710" priority="10" operator="between">
      <formula>0.05</formula>
      <formula>0.1</formula>
    </cfRule>
    <cfRule type="cellIs" dxfId="709" priority="11" operator="lessThan">
      <formula>0.05</formula>
    </cfRule>
    <cfRule type="cellIs" dxfId="708" priority="12" operator="greaterThan">
      <formula>0.1</formula>
    </cfRule>
  </conditionalFormatting>
  <conditionalFormatting sqref="C29:C31">
    <cfRule type="cellIs" dxfId="707" priority="7" operator="lessThan">
      <formula>0</formula>
    </cfRule>
    <cfRule type="cellIs" dxfId="706" priority="8" operator="between">
      <formula>0</formula>
      <formula>0.3</formula>
    </cfRule>
    <cfRule type="cellIs" dxfId="705" priority="9" operator="greaterThan">
      <formula>0.3</formula>
    </cfRule>
  </conditionalFormatting>
  <conditionalFormatting sqref="E29:E31">
    <cfRule type="cellIs" dxfId="704" priority="4" operator="lessThan">
      <formula>0</formula>
    </cfRule>
    <cfRule type="cellIs" dxfId="703" priority="5" operator="between">
      <formula>0</formula>
      <formula>0.3</formula>
    </cfRule>
    <cfRule type="cellIs" dxfId="702" priority="6" operator="greaterThan">
      <formula>0.3</formula>
    </cfRule>
  </conditionalFormatting>
  <conditionalFormatting sqref="F29:F31">
    <cfRule type="cellIs" dxfId="701" priority="1" operator="lessThan">
      <formula>0</formula>
    </cfRule>
    <cfRule type="cellIs" dxfId="700" priority="2" operator="between">
      <formula>0</formula>
      <formula>0.3</formula>
    </cfRule>
    <cfRule type="cellIs" dxfId="699" priority="3" operator="greaterThan">
      <formula>0.3</formula>
    </cfRule>
  </conditionalFormatting>
  <hyperlinks>
    <hyperlink ref="A34" r:id="rId1" xr:uid="{0E36D9AD-58F4-4A4D-901F-F2C44A990169}"/>
  </hyperlinks>
  <pageMargins left="0.7" right="0.7" top="0.75" bottom="0.75" header="0.3" footer="0.3"/>
  <pageSetup paperSize="9" orientation="portrait" r:id="rId2"/>
  <drawing r:id="rId3"/>
  <legacyDrawing r:id="rId4"/>
  <tableParts count="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dataBar" id="{B2D81C56-16EF-4DB7-8B52-4BEBDB8D84AE}">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6A21EA69-2379-4C75-BF5B-A4C2FE46E851}">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DA3C7EE1-ED34-4919-AF0F-37F69A20CD2A}">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C52E4690-DAAA-441C-9136-0775297CCC33}">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AAE27F42-6B61-49DF-A5DF-C43AB23B7806}">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7067-EC4E-41CF-B58B-14AE6DEE7485}">
  <dimension ref="A1:BA39"/>
  <sheetViews>
    <sheetView zoomScaleNormal="100" workbookViewId="0">
      <selection activeCell="G12" sqref="G12"/>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995</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MIN(Table116[Growth rate])</f>
        <v>0.27</v>
      </c>
      <c r="AA2" s="8">
        <f>Z2</f>
        <v>0.27</v>
      </c>
      <c r="AB2" s="9">
        <f t="shared" ref="AB2:AJ3" si="1">AA2</f>
        <v>0.27</v>
      </c>
      <c r="AC2" s="9">
        <f t="shared" si="1"/>
        <v>0.27</v>
      </c>
      <c r="AD2" s="9">
        <f t="shared" si="1"/>
        <v>0.27</v>
      </c>
      <c r="AE2" s="9">
        <f t="shared" si="1"/>
        <v>0.27</v>
      </c>
      <c r="AF2" s="9">
        <f t="shared" si="1"/>
        <v>0.27</v>
      </c>
      <c r="AG2" s="9">
        <f t="shared" si="1"/>
        <v>0.27</v>
      </c>
      <c r="AH2" s="9">
        <f t="shared" si="1"/>
        <v>0.27</v>
      </c>
      <c r="AI2" s="9">
        <f t="shared" si="1"/>
        <v>0.27</v>
      </c>
      <c r="AJ2" s="25">
        <f t="shared" si="1"/>
        <v>0.27</v>
      </c>
      <c r="AL2" s="18" t="s">
        <v>36</v>
      </c>
      <c r="AM2" s="67">
        <f>Z2</f>
        <v>0.27</v>
      </c>
      <c r="BA2" s="17"/>
    </row>
    <row r="3" spans="1:53" x14ac:dyDescent="0.25">
      <c r="A3" t="s">
        <v>49</v>
      </c>
      <c r="B3" s="58" t="s">
        <v>123</v>
      </c>
      <c r="H3" s="2" t="s">
        <v>6</v>
      </c>
      <c r="I3" s="8">
        <f>AVERAGE(M3:W3)</f>
        <v>0.22641428571428571</v>
      </c>
      <c r="J3" s="9">
        <f>AVERAGE(S3:W3)</f>
        <v>0.26382</v>
      </c>
      <c r="K3" s="9">
        <f>W3</f>
        <v>0.23469999999999999</v>
      </c>
      <c r="L3" s="10" t="s">
        <v>7</v>
      </c>
      <c r="M3" s="11"/>
      <c r="N3" s="12"/>
      <c r="O3" s="12"/>
      <c r="P3" s="12"/>
      <c r="Q3" s="12">
        <v>8.6199999999999999E-2</v>
      </c>
      <c r="R3" s="12">
        <v>0.17960000000000001</v>
      </c>
      <c r="S3" s="12">
        <v>0.34630000000000005</v>
      </c>
      <c r="T3" s="12">
        <v>0.2029</v>
      </c>
      <c r="U3" s="12">
        <v>0.27160000000000001</v>
      </c>
      <c r="V3" s="12">
        <v>0.2636</v>
      </c>
      <c r="W3" s="13">
        <v>0.23469999999999999</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119</v>
      </c>
      <c r="H4" s="14" t="s">
        <v>8</v>
      </c>
      <c r="I4" s="15">
        <f>AVERAGE(M4:W4)</f>
        <v>0.40249999999999997</v>
      </c>
      <c r="J4" s="16">
        <f>AVERAGE(S4:W4)</f>
        <v>0.40249999999999997</v>
      </c>
      <c r="K4" s="16">
        <f>W4</f>
        <v>0.46100000000000002</v>
      </c>
      <c r="L4" s="17" t="s">
        <v>7</v>
      </c>
      <c r="M4" s="18" t="s">
        <v>7</v>
      </c>
      <c r="N4" s="12"/>
      <c r="O4" s="12"/>
      <c r="P4" s="12"/>
      <c r="Q4" s="12"/>
      <c r="R4" s="12"/>
      <c r="S4" s="12"/>
      <c r="T4" s="12"/>
      <c r="U4" s="12"/>
      <c r="V4" s="12">
        <v>0.34399999999999997</v>
      </c>
      <c r="W4" s="13">
        <v>0.46100000000000002</v>
      </c>
      <c r="Y4" s="5" t="s">
        <v>15</v>
      </c>
      <c r="Z4" s="29">
        <v>140</v>
      </c>
      <c r="AA4" s="30">
        <f t="shared" si="2"/>
        <v>140</v>
      </c>
      <c r="AB4" s="31">
        <f t="shared" si="2"/>
        <v>140</v>
      </c>
      <c r="AC4" s="31">
        <f t="shared" si="2"/>
        <v>140</v>
      </c>
      <c r="AD4" s="31">
        <f t="shared" si="2"/>
        <v>140</v>
      </c>
      <c r="AE4" s="31">
        <f t="shared" si="2"/>
        <v>140</v>
      </c>
      <c r="AF4" s="31">
        <f t="shared" si="2"/>
        <v>140</v>
      </c>
      <c r="AG4" s="31">
        <f t="shared" si="2"/>
        <v>140</v>
      </c>
      <c r="AH4" s="31">
        <f t="shared" si="2"/>
        <v>140</v>
      </c>
      <c r="AI4" s="31">
        <f t="shared" si="2"/>
        <v>140</v>
      </c>
      <c r="AJ4" s="32">
        <f t="shared" si="2"/>
        <v>140</v>
      </c>
      <c r="AL4" s="18" t="s">
        <v>38</v>
      </c>
      <c r="AM4" s="64">
        <v>15</v>
      </c>
      <c r="BA4" s="17"/>
    </row>
    <row r="5" spans="1:53" x14ac:dyDescent="0.25">
      <c r="A5" t="s">
        <v>34</v>
      </c>
      <c r="B5" s="87">
        <v>44591</v>
      </c>
      <c r="H5" s="14" t="s">
        <v>9</v>
      </c>
      <c r="I5" s="15">
        <f>AVERAGE(M5:W5)</f>
        <v>0.91649999999999998</v>
      </c>
      <c r="J5" s="16">
        <f>AVERAGE(S5:W5)</f>
        <v>0.67120000000000002</v>
      </c>
      <c r="K5" s="16">
        <f>W5</f>
        <v>0.11</v>
      </c>
      <c r="L5" s="17" t="s">
        <v>7</v>
      </c>
      <c r="M5" s="18" t="s">
        <v>7</v>
      </c>
      <c r="N5" s="12"/>
      <c r="O5" s="12"/>
      <c r="P5" s="12"/>
      <c r="Q5" s="12"/>
      <c r="R5" s="12">
        <v>2.1429999999999998</v>
      </c>
      <c r="S5" s="12">
        <v>1.8819999999999999</v>
      </c>
      <c r="T5" s="12">
        <v>-0.26500000000000001</v>
      </c>
      <c r="U5" s="12">
        <v>0.84099999999999997</v>
      </c>
      <c r="V5" s="12">
        <v>0.78800000000000003</v>
      </c>
      <c r="W5" s="13">
        <v>0.11</v>
      </c>
      <c r="Y5" s="1" t="s">
        <v>16</v>
      </c>
      <c r="Z5" s="33">
        <v>8.51</v>
      </c>
      <c r="AA5" s="34">
        <f>Z5</f>
        <v>8.51</v>
      </c>
      <c r="AB5" s="35">
        <f t="shared" ref="AB5:AJ5" si="3">AA5*(1+$Z2)</f>
        <v>10.807700000000001</v>
      </c>
      <c r="AC5" s="35">
        <f t="shared" si="3"/>
        <v>13.725779000000001</v>
      </c>
      <c r="AD5" s="35">
        <f t="shared" si="3"/>
        <v>17.431739330000003</v>
      </c>
      <c r="AE5" s="35">
        <f t="shared" si="3"/>
        <v>22.138308949100004</v>
      </c>
      <c r="AF5" s="35">
        <f t="shared" si="3"/>
        <v>28.115652365357004</v>
      </c>
      <c r="AG5" s="35">
        <f t="shared" si="3"/>
        <v>35.706878504003399</v>
      </c>
      <c r="AH5" s="35">
        <f t="shared" si="3"/>
        <v>45.347735700084314</v>
      </c>
      <c r="AI5" s="35">
        <f t="shared" si="3"/>
        <v>57.591624339107078</v>
      </c>
      <c r="AJ5" s="36">
        <f t="shared" si="3"/>
        <v>73.14136291066599</v>
      </c>
      <c r="AL5" s="18" t="s">
        <v>39</v>
      </c>
      <c r="AM5" s="40">
        <v>2737</v>
      </c>
      <c r="BA5" s="17"/>
    </row>
    <row r="6" spans="1:53" x14ac:dyDescent="0.25">
      <c r="A6" t="s">
        <v>44</v>
      </c>
      <c r="B6" s="62">
        <v>1619</v>
      </c>
      <c r="H6" s="14" t="s">
        <v>10</v>
      </c>
      <c r="I6" s="15">
        <f>AVERAGE(M6:W6)</f>
        <v>0.53675000000000006</v>
      </c>
      <c r="J6" s="16">
        <f>AVERAGE(S6:W6)</f>
        <v>0.53675000000000006</v>
      </c>
      <c r="K6" s="16">
        <f>W6</f>
        <v>0.371</v>
      </c>
      <c r="L6" s="17" t="s">
        <v>7</v>
      </c>
      <c r="M6" s="18" t="s">
        <v>7</v>
      </c>
      <c r="N6" s="12"/>
      <c r="O6" s="12"/>
      <c r="P6" s="12"/>
      <c r="Q6" s="12"/>
      <c r="R6" s="12"/>
      <c r="S6" s="12"/>
      <c r="T6" s="12">
        <v>0.53600000000000003</v>
      </c>
      <c r="U6" s="12">
        <v>0.63300000000000001</v>
      </c>
      <c r="V6" s="12">
        <v>0.60699999999999998</v>
      </c>
      <c r="W6" s="13">
        <v>0.371</v>
      </c>
      <c r="Y6" s="5" t="s">
        <v>19</v>
      </c>
      <c r="Z6" s="37">
        <f>AA6</f>
        <v>2910.7876337245389</v>
      </c>
      <c r="AA6" s="38">
        <f t="shared" ref="AA6:AI6" si="4">AB6/(1+$Z3)</f>
        <v>2910.7876337245389</v>
      </c>
      <c r="AB6" s="38">
        <f t="shared" si="4"/>
        <v>3347.4057787832194</v>
      </c>
      <c r="AC6" s="38">
        <f t="shared" si="4"/>
        <v>3849.5166456007018</v>
      </c>
      <c r="AD6" s="38">
        <f t="shared" si="4"/>
        <v>4426.9441424408069</v>
      </c>
      <c r="AE6" s="38">
        <f t="shared" si="4"/>
        <v>5090.9857638069279</v>
      </c>
      <c r="AF6" s="38">
        <f t="shared" si="4"/>
        <v>5854.6336283779665</v>
      </c>
      <c r="AG6" s="38">
        <f t="shared" si="4"/>
        <v>6732.8286726346614</v>
      </c>
      <c r="AH6" s="38">
        <f t="shared" si="4"/>
        <v>7742.7529735298604</v>
      </c>
      <c r="AI6" s="38">
        <f t="shared" si="4"/>
        <v>8904.1659195593384</v>
      </c>
      <c r="AJ6" s="39">
        <f>AJ5*$Z4</f>
        <v>10239.790807493238</v>
      </c>
      <c r="AL6" s="5" t="s">
        <v>40</v>
      </c>
      <c r="AM6" s="45">
        <v>31</v>
      </c>
      <c r="BA6" s="17"/>
    </row>
    <row r="7" spans="1:53" x14ac:dyDescent="0.25">
      <c r="A7" t="s">
        <v>45</v>
      </c>
      <c r="B7" s="58" t="s">
        <v>120</v>
      </c>
      <c r="H7" s="14" t="s">
        <v>11</v>
      </c>
      <c r="I7" s="15">
        <f>AVERAGE(M7:W7)</f>
        <v>0.438</v>
      </c>
      <c r="J7" s="16">
        <f>AVERAGE(S7:W7)</f>
        <v>0.53839999999999999</v>
      </c>
      <c r="K7" s="16">
        <f>W7</f>
        <v>0.95499999999999996</v>
      </c>
      <c r="L7" s="17" t="s">
        <v>7</v>
      </c>
      <c r="M7" s="18" t="s">
        <v>7</v>
      </c>
      <c r="N7" s="12"/>
      <c r="O7" s="12"/>
      <c r="P7" s="12"/>
      <c r="Q7" s="12"/>
      <c r="R7" s="12">
        <v>-6.4000000000000001E-2</v>
      </c>
      <c r="S7" s="12">
        <v>0.34100000000000003</v>
      </c>
      <c r="T7" s="12">
        <v>7.2999999999999995E-2</v>
      </c>
      <c r="U7" s="12">
        <v>0.94699999999999995</v>
      </c>
      <c r="V7" s="12">
        <v>0.376</v>
      </c>
      <c r="W7" s="13">
        <v>0.95499999999999996</v>
      </c>
      <c r="AL7" s="18"/>
      <c r="BA7" s="17"/>
    </row>
    <row r="8" spans="1:53" x14ac:dyDescent="0.25">
      <c r="A8" t="s">
        <v>46</v>
      </c>
      <c r="B8" s="58" t="s">
        <v>109</v>
      </c>
      <c r="H8" s="19" t="s">
        <v>12</v>
      </c>
      <c r="I8" s="5" t="s">
        <v>7</v>
      </c>
      <c r="J8" s="6" t="s">
        <v>7</v>
      </c>
      <c r="K8" s="6" t="s">
        <v>7</v>
      </c>
      <c r="L8" s="20">
        <f>2940/995</f>
        <v>2.9547738693467336</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47</v>
      </c>
      <c r="B9" s="58"/>
      <c r="Y9" s="1" t="s">
        <v>13</v>
      </c>
      <c r="Z9" s="65">
        <f>AVERAGE(Table116[Growth rate])</f>
        <v>0.36276666666666668</v>
      </c>
      <c r="AA9" s="8">
        <f>Z9</f>
        <v>0.36276666666666668</v>
      </c>
      <c r="AB9" s="9">
        <f t="shared" ref="AB9:AJ10" si="5">AA9</f>
        <v>0.36276666666666668</v>
      </c>
      <c r="AC9" s="9">
        <f t="shared" si="5"/>
        <v>0.36276666666666668</v>
      </c>
      <c r="AD9" s="9">
        <f t="shared" si="5"/>
        <v>0.36276666666666668</v>
      </c>
      <c r="AE9" s="9">
        <f t="shared" si="5"/>
        <v>0.36276666666666668</v>
      </c>
      <c r="AF9" s="9">
        <f t="shared" si="5"/>
        <v>0.36276666666666668</v>
      </c>
      <c r="AG9" s="9">
        <f t="shared" si="5"/>
        <v>0.36276666666666668</v>
      </c>
      <c r="AH9" s="9">
        <f t="shared" si="5"/>
        <v>0.36276666666666668</v>
      </c>
      <c r="AI9" s="9">
        <f t="shared" si="5"/>
        <v>0.36276666666666668</v>
      </c>
      <c r="AJ9" s="25">
        <f t="shared" si="5"/>
        <v>0.36276666666666668</v>
      </c>
      <c r="AL9" s="1" t="s">
        <v>42</v>
      </c>
      <c r="AM9" s="10"/>
      <c r="AN9" s="48">
        <f>$AM1</f>
        <v>995</v>
      </c>
      <c r="AO9" s="49">
        <f t="shared" ref="AO9:AW9" si="6">AN9+AN9*$AM2</f>
        <v>1263.6500000000001</v>
      </c>
      <c r="AP9" s="49">
        <f t="shared" si="6"/>
        <v>1604.8355000000001</v>
      </c>
      <c r="AQ9" s="49">
        <f t="shared" si="6"/>
        <v>2038.1410850000002</v>
      </c>
      <c r="AR9" s="49">
        <f t="shared" si="6"/>
        <v>2588.4391779500002</v>
      </c>
      <c r="AS9" s="49">
        <f t="shared" si="6"/>
        <v>3287.3177559965002</v>
      </c>
      <c r="AT9" s="49">
        <f t="shared" si="6"/>
        <v>4174.8935501155556</v>
      </c>
      <c r="AU9" s="49">
        <f t="shared" si="6"/>
        <v>5302.1148086467556</v>
      </c>
      <c r="AV9" s="49">
        <f t="shared" si="6"/>
        <v>6733.6858069813798</v>
      </c>
      <c r="AW9" s="49">
        <f t="shared" si="6"/>
        <v>8551.7809748663531</v>
      </c>
      <c r="AX9" s="50">
        <f>$AM4*AW9</f>
        <v>128276.71462299529</v>
      </c>
      <c r="AY9" s="51"/>
      <c r="AZ9" s="49"/>
      <c r="BA9" s="10"/>
    </row>
    <row r="10" spans="1:53" x14ac:dyDescent="0.25">
      <c r="A10" t="s">
        <v>48</v>
      </c>
      <c r="B10" s="58"/>
      <c r="Y10" s="18" t="s">
        <v>14</v>
      </c>
      <c r="Z10">
        <f>Z3</f>
        <v>0.15</v>
      </c>
      <c r="AA10" s="26">
        <f t="shared" ref="AA10:AJ11" si="7">Z10</f>
        <v>0.15</v>
      </c>
      <c r="AB10" s="27">
        <f t="shared" si="5"/>
        <v>0.15</v>
      </c>
      <c r="AC10" s="27">
        <f t="shared" si="5"/>
        <v>0.15</v>
      </c>
      <c r="AD10" s="27">
        <f t="shared" si="5"/>
        <v>0.15</v>
      </c>
      <c r="AE10" s="27">
        <f t="shared" si="5"/>
        <v>0.15</v>
      </c>
      <c r="AF10" s="27">
        <f t="shared" si="5"/>
        <v>0.15</v>
      </c>
      <c r="AG10" s="27">
        <f t="shared" si="5"/>
        <v>0.15</v>
      </c>
      <c r="AH10" s="27">
        <f t="shared" si="5"/>
        <v>0.15</v>
      </c>
      <c r="AI10" s="27">
        <f t="shared" si="5"/>
        <v>0.15</v>
      </c>
      <c r="AJ10" s="28">
        <f t="shared" si="5"/>
        <v>0.15</v>
      </c>
      <c r="AL10" s="5" t="s">
        <v>43</v>
      </c>
      <c r="AM10" s="7"/>
      <c r="AN10" s="52">
        <f>AN9/(1+$AM3)</f>
        <v>865.21739130434787</v>
      </c>
      <c r="AO10" s="53">
        <f t="shared" ref="AO10:AW10" si="8">(1+$AM2)*AN10/(1+$AM3)</f>
        <v>955.50094517958416</v>
      </c>
      <c r="AP10" s="53">
        <f t="shared" si="8"/>
        <v>1055.2053916331063</v>
      </c>
      <c r="AQ10" s="53">
        <f t="shared" si="8"/>
        <v>1165.3137803252566</v>
      </c>
      <c r="AR10" s="53">
        <f t="shared" si="8"/>
        <v>1286.9117400113705</v>
      </c>
      <c r="AS10" s="53">
        <f t="shared" si="8"/>
        <v>1421.1981824473396</v>
      </c>
      <c r="AT10" s="53">
        <f t="shared" si="8"/>
        <v>1569.4971232244534</v>
      </c>
      <c r="AU10" s="53">
        <f t="shared" si="8"/>
        <v>1733.2707360826575</v>
      </c>
      <c r="AV10" s="53">
        <f t="shared" si="8"/>
        <v>1914.1337694130218</v>
      </c>
      <c r="AW10" s="53">
        <f t="shared" si="8"/>
        <v>2113.8694670909026</v>
      </c>
      <c r="AX10" s="54">
        <f>AX9/(1+AM3)^AX8</f>
        <v>31708.042006363547</v>
      </c>
      <c r="AY10" s="53">
        <f>SUM(AN10:AX10)</f>
        <v>45788.160533075585</v>
      </c>
      <c r="AZ10" s="53">
        <f>AY10+AM5</f>
        <v>48525.160533075585</v>
      </c>
      <c r="BA10" s="55">
        <f>AZ10/AM6</f>
        <v>1565.3277591314704</v>
      </c>
    </row>
    <row r="11" spans="1:53" x14ac:dyDescent="0.25">
      <c r="A11" t="s">
        <v>65</v>
      </c>
      <c r="B11" s="59"/>
      <c r="Y11" s="5" t="s">
        <v>15</v>
      </c>
      <c r="Z11" s="7">
        <f>Z4</f>
        <v>140</v>
      </c>
      <c r="AA11" s="30">
        <f t="shared" si="7"/>
        <v>140</v>
      </c>
      <c r="AB11" s="31">
        <f t="shared" si="7"/>
        <v>140</v>
      </c>
      <c r="AC11" s="31">
        <f t="shared" si="7"/>
        <v>140</v>
      </c>
      <c r="AD11" s="31">
        <f t="shared" si="7"/>
        <v>140</v>
      </c>
      <c r="AE11" s="31">
        <f t="shared" si="7"/>
        <v>140</v>
      </c>
      <c r="AF11" s="31">
        <f t="shared" si="7"/>
        <v>140</v>
      </c>
      <c r="AG11" s="31">
        <f t="shared" si="7"/>
        <v>140</v>
      </c>
      <c r="AH11" s="31">
        <f t="shared" si="7"/>
        <v>140</v>
      </c>
      <c r="AI11" s="31">
        <f t="shared" si="7"/>
        <v>140</v>
      </c>
      <c r="AJ11" s="32">
        <f t="shared" si="7"/>
        <v>140</v>
      </c>
    </row>
    <row r="12" spans="1:53" x14ac:dyDescent="0.25">
      <c r="Y12" s="1" t="s">
        <v>16</v>
      </c>
      <c r="Z12">
        <f>Z5</f>
        <v>8.51</v>
      </c>
      <c r="AA12" s="34">
        <f>Z12</f>
        <v>8.51</v>
      </c>
      <c r="AB12" s="35">
        <f t="shared" ref="AB12:AJ12" si="9">AA12*(1+$Z9)</f>
        <v>11.597144333333333</v>
      </c>
      <c r="AC12" s="35">
        <f t="shared" si="9"/>
        <v>15.804201725988888</v>
      </c>
      <c r="AD12" s="35">
        <f t="shared" si="9"/>
        <v>21.537439305453457</v>
      </c>
      <c r="AE12" s="35">
        <f t="shared" si="9"/>
        <v>29.350504370828457</v>
      </c>
      <c r="AF12" s="35">
        <f t="shared" si="9"/>
        <v>39.997889006419328</v>
      </c>
      <c r="AG12" s="35">
        <f t="shared" si="9"/>
        <v>54.507789874981377</v>
      </c>
      <c r="AH12" s="35">
        <f t="shared" si="9"/>
        <v>74.281399115295457</v>
      </c>
      <c r="AI12" s="35">
        <f t="shared" si="9"/>
        <v>101.22821466768747</v>
      </c>
      <c r="AJ12" s="36">
        <f t="shared" si="9"/>
        <v>137.95043667530223</v>
      </c>
      <c r="AL12" s="1" t="s">
        <v>35</v>
      </c>
      <c r="AM12" s="72">
        <f>AM1</f>
        <v>995</v>
      </c>
      <c r="AN12" s="42"/>
      <c r="AO12" s="42"/>
      <c r="AP12" s="42"/>
      <c r="AQ12" s="42"/>
      <c r="AR12" s="42"/>
      <c r="AS12" s="42"/>
      <c r="AT12" s="42"/>
      <c r="AU12" s="42"/>
      <c r="AV12" s="42"/>
      <c r="AW12" s="42"/>
      <c r="AX12" s="42"/>
      <c r="AY12" s="42"/>
      <c r="AZ12" s="42"/>
      <c r="BA12" s="10"/>
    </row>
    <row r="13" spans="1:53" ht="18.75" x14ac:dyDescent="0.3">
      <c r="A13" s="56" t="s">
        <v>29</v>
      </c>
      <c r="Y13" s="5" t="s">
        <v>19</v>
      </c>
      <c r="Z13" s="37">
        <f>AA13</f>
        <v>5489.9773419837893</v>
      </c>
      <c r="AA13" s="38">
        <f t="shared" ref="AA13:AI13" si="10">AB13/(1+$Z10)</f>
        <v>5489.9773419837893</v>
      </c>
      <c r="AB13" s="38">
        <f t="shared" si="10"/>
        <v>6313.4739432813576</v>
      </c>
      <c r="AC13" s="38">
        <f t="shared" si="10"/>
        <v>7260.4950347735612</v>
      </c>
      <c r="AD13" s="38">
        <f t="shared" si="10"/>
        <v>8349.5692899895948</v>
      </c>
      <c r="AE13" s="38">
        <f t="shared" si="10"/>
        <v>9602.0046834880341</v>
      </c>
      <c r="AF13" s="38">
        <f t="shared" si="10"/>
        <v>11042.305386011238</v>
      </c>
      <c r="AG13" s="38">
        <f t="shared" si="10"/>
        <v>12698.651193912923</v>
      </c>
      <c r="AH13" s="38">
        <f t="shared" si="10"/>
        <v>14603.448872999861</v>
      </c>
      <c r="AI13" s="38">
        <f t="shared" si="10"/>
        <v>16793.96620394984</v>
      </c>
      <c r="AJ13" s="39">
        <f>AJ12*$Z11</f>
        <v>19313.061134542313</v>
      </c>
      <c r="AL13" s="18" t="s">
        <v>36</v>
      </c>
      <c r="AM13" s="68">
        <f>Z9</f>
        <v>0.36276666666666668</v>
      </c>
      <c r="BA13" s="17"/>
    </row>
    <row r="14" spans="1:53" x14ac:dyDescent="0.25">
      <c r="A14" s="43" t="s">
        <v>32</v>
      </c>
      <c r="B14" s="18" t="s">
        <v>0</v>
      </c>
      <c r="C14" t="s">
        <v>1</v>
      </c>
      <c r="D14" t="s">
        <v>2</v>
      </c>
      <c r="E14" t="s">
        <v>3</v>
      </c>
      <c r="AL14" s="18" t="s">
        <v>37</v>
      </c>
      <c r="AM14" s="69">
        <f>AM3</f>
        <v>0.15</v>
      </c>
      <c r="BA14" s="17"/>
    </row>
    <row r="15" spans="1:53" x14ac:dyDescent="0.25">
      <c r="A15" t="s">
        <v>52</v>
      </c>
      <c r="B15" t="s">
        <v>4</v>
      </c>
      <c r="C15" t="s">
        <v>4</v>
      </c>
      <c r="D15" t="s">
        <v>4</v>
      </c>
      <c r="E15" t="s">
        <v>5</v>
      </c>
      <c r="Y15" s="21" t="s">
        <v>61</v>
      </c>
      <c r="Z15" s="22"/>
      <c r="AA15" s="21">
        <v>2021</v>
      </c>
      <c r="AB15" s="23">
        <v>2022</v>
      </c>
      <c r="AC15" s="23">
        <v>2023</v>
      </c>
      <c r="AD15" s="23">
        <v>2024</v>
      </c>
      <c r="AE15" s="23">
        <v>2025</v>
      </c>
      <c r="AF15" s="23">
        <v>2026</v>
      </c>
      <c r="AG15" s="23">
        <v>2027</v>
      </c>
      <c r="AH15" s="23">
        <v>2028</v>
      </c>
      <c r="AI15" s="23">
        <v>2029</v>
      </c>
      <c r="AJ15" s="24">
        <v>2030</v>
      </c>
      <c r="AL15" s="18" t="s">
        <v>38</v>
      </c>
      <c r="AM15" s="69">
        <f t="shared" ref="AM15:AM17" si="11">AM4</f>
        <v>15</v>
      </c>
      <c r="BA15" s="17"/>
    </row>
    <row r="16" spans="1:53" x14ac:dyDescent="0.25">
      <c r="A16" t="s">
        <v>23</v>
      </c>
      <c r="B16" s="16">
        <f t="shared" ref="B16:D20" si="12">I3</f>
        <v>0.22641428571428571</v>
      </c>
      <c r="C16" s="16">
        <f t="shared" si="12"/>
        <v>0.26382</v>
      </c>
      <c r="D16" s="16">
        <f t="shared" si="12"/>
        <v>0.23469999999999999</v>
      </c>
      <c r="Y16" s="1" t="s">
        <v>13</v>
      </c>
      <c r="Z16" s="60">
        <f>MAX(Table116[Growth rate])</f>
        <v>0.4743</v>
      </c>
      <c r="AA16" s="8">
        <f>Z16</f>
        <v>0.4743</v>
      </c>
      <c r="AB16" s="9">
        <f t="shared" ref="AB16:AJ17" si="13">AA16</f>
        <v>0.4743</v>
      </c>
      <c r="AC16" s="9">
        <f t="shared" si="13"/>
        <v>0.4743</v>
      </c>
      <c r="AD16" s="9">
        <f t="shared" si="13"/>
        <v>0.4743</v>
      </c>
      <c r="AE16" s="9">
        <f t="shared" si="13"/>
        <v>0.4743</v>
      </c>
      <c r="AF16" s="9">
        <f t="shared" si="13"/>
        <v>0.4743</v>
      </c>
      <c r="AG16" s="9">
        <f t="shared" si="13"/>
        <v>0.4743</v>
      </c>
      <c r="AH16" s="9">
        <f t="shared" si="13"/>
        <v>0.4743</v>
      </c>
      <c r="AI16" s="9">
        <f t="shared" si="13"/>
        <v>0.4743</v>
      </c>
      <c r="AJ16" s="25">
        <f t="shared" si="13"/>
        <v>0.4743</v>
      </c>
      <c r="AL16" s="18" t="s">
        <v>39</v>
      </c>
      <c r="AM16" s="69">
        <f t="shared" si="11"/>
        <v>2737</v>
      </c>
      <c r="BA16" s="17"/>
    </row>
    <row r="17" spans="1:53" x14ac:dyDescent="0.25">
      <c r="A17" t="s">
        <v>24</v>
      </c>
      <c r="B17" s="16">
        <f t="shared" si="12"/>
        <v>0.40249999999999997</v>
      </c>
      <c r="C17" s="16">
        <f t="shared" si="12"/>
        <v>0.40249999999999997</v>
      </c>
      <c r="D17" s="16">
        <f t="shared" si="12"/>
        <v>0.46100000000000002</v>
      </c>
      <c r="Y17" s="18" t="s">
        <v>14</v>
      </c>
      <c r="Z17">
        <f>Z3</f>
        <v>0.15</v>
      </c>
      <c r="AA17" s="26">
        <f t="shared" ref="AA17:AJ18" si="14">Z17</f>
        <v>0.15</v>
      </c>
      <c r="AB17" s="27">
        <f t="shared" si="13"/>
        <v>0.15</v>
      </c>
      <c r="AC17" s="27">
        <f t="shared" si="13"/>
        <v>0.15</v>
      </c>
      <c r="AD17" s="27">
        <f t="shared" si="13"/>
        <v>0.15</v>
      </c>
      <c r="AE17" s="27">
        <f t="shared" si="13"/>
        <v>0.15</v>
      </c>
      <c r="AF17" s="27">
        <f t="shared" si="13"/>
        <v>0.15</v>
      </c>
      <c r="AG17" s="27">
        <f t="shared" si="13"/>
        <v>0.15</v>
      </c>
      <c r="AH17" s="27">
        <f t="shared" si="13"/>
        <v>0.15</v>
      </c>
      <c r="AI17" s="27">
        <f t="shared" si="13"/>
        <v>0.15</v>
      </c>
      <c r="AJ17" s="28">
        <f t="shared" si="13"/>
        <v>0.15</v>
      </c>
      <c r="AL17" s="5" t="s">
        <v>40</v>
      </c>
      <c r="AM17" s="70">
        <f t="shared" si="11"/>
        <v>31</v>
      </c>
      <c r="BA17" s="17"/>
    </row>
    <row r="18" spans="1:53" x14ac:dyDescent="0.25">
      <c r="A18" t="s">
        <v>25</v>
      </c>
      <c r="B18" s="16">
        <f t="shared" si="12"/>
        <v>0.91649999999999998</v>
      </c>
      <c r="C18" s="16">
        <f t="shared" si="12"/>
        <v>0.67120000000000002</v>
      </c>
      <c r="D18" s="16">
        <f t="shared" si="12"/>
        <v>0.11</v>
      </c>
      <c r="Y18" s="5" t="s">
        <v>15</v>
      </c>
      <c r="Z18" s="7">
        <f>Z4</f>
        <v>140</v>
      </c>
      <c r="AA18" s="30">
        <f t="shared" si="14"/>
        <v>140</v>
      </c>
      <c r="AB18" s="31">
        <f t="shared" si="14"/>
        <v>140</v>
      </c>
      <c r="AC18" s="31">
        <f t="shared" si="14"/>
        <v>140</v>
      </c>
      <c r="AD18" s="31">
        <f t="shared" si="14"/>
        <v>140</v>
      </c>
      <c r="AE18" s="31">
        <f t="shared" si="14"/>
        <v>140</v>
      </c>
      <c r="AF18" s="31">
        <f t="shared" si="14"/>
        <v>140</v>
      </c>
      <c r="AG18" s="31">
        <f t="shared" si="14"/>
        <v>140</v>
      </c>
      <c r="AH18" s="31">
        <f t="shared" si="14"/>
        <v>140</v>
      </c>
      <c r="AI18" s="31">
        <f t="shared" si="14"/>
        <v>140</v>
      </c>
      <c r="AJ18" s="32">
        <f t="shared" si="14"/>
        <v>140</v>
      </c>
      <c r="AL18" s="18"/>
      <c r="BA18" s="17"/>
    </row>
    <row r="19" spans="1:53" x14ac:dyDescent="0.25">
      <c r="A19" t="s">
        <v>26</v>
      </c>
      <c r="B19" s="16">
        <f t="shared" si="12"/>
        <v>0.53675000000000006</v>
      </c>
      <c r="C19" s="16">
        <f t="shared" si="12"/>
        <v>0.53675000000000006</v>
      </c>
      <c r="D19" s="16">
        <f t="shared" si="12"/>
        <v>0.371</v>
      </c>
      <c r="Y19" s="1" t="s">
        <v>16</v>
      </c>
      <c r="Z19">
        <f>Z5</f>
        <v>8.51</v>
      </c>
      <c r="AA19" s="34">
        <f>Z19</f>
        <v>8.51</v>
      </c>
      <c r="AB19" s="35">
        <f t="shared" ref="AB19:AJ19" si="15">AA19*(1+$Z16)</f>
        <v>12.546292999999999</v>
      </c>
      <c r="AC19" s="35">
        <f t="shared" si="15"/>
        <v>18.496999769899997</v>
      </c>
      <c r="AD19" s="35">
        <f t="shared" si="15"/>
        <v>27.270126760763564</v>
      </c>
      <c r="AE19" s="35">
        <f t="shared" si="15"/>
        <v>40.204347883393723</v>
      </c>
      <c r="AF19" s="35">
        <f t="shared" si="15"/>
        <v>59.273270084487365</v>
      </c>
      <c r="AG19" s="35">
        <f t="shared" si="15"/>
        <v>87.386582085559724</v>
      </c>
      <c r="AH19" s="35">
        <f t="shared" si="15"/>
        <v>128.83403796874069</v>
      </c>
      <c r="AI19" s="35">
        <f t="shared" si="15"/>
        <v>189.94002217731438</v>
      </c>
      <c r="AJ19" s="36">
        <f t="shared" si="15"/>
        <v>280.02857469601457</v>
      </c>
      <c r="AL19" s="21"/>
      <c r="AM19" s="24"/>
      <c r="AN19" s="21">
        <v>1</v>
      </c>
      <c r="AO19" s="23">
        <v>2</v>
      </c>
      <c r="AP19" s="23">
        <v>3</v>
      </c>
      <c r="AQ19" s="23">
        <v>4</v>
      </c>
      <c r="AR19" s="23">
        <v>5</v>
      </c>
      <c r="AS19" s="23">
        <v>6</v>
      </c>
      <c r="AT19" s="23">
        <v>7</v>
      </c>
      <c r="AU19" s="23">
        <v>8</v>
      </c>
      <c r="AV19" s="23">
        <v>9</v>
      </c>
      <c r="AW19" s="23">
        <v>10</v>
      </c>
      <c r="AX19" s="24">
        <v>10</v>
      </c>
      <c r="AY19" s="46" t="s">
        <v>41</v>
      </c>
      <c r="AZ19" s="46" t="s">
        <v>62</v>
      </c>
      <c r="BA19" s="47" t="s">
        <v>63</v>
      </c>
    </row>
    <row r="20" spans="1:53" x14ac:dyDescent="0.25">
      <c r="A20" t="s">
        <v>27</v>
      </c>
      <c r="B20" s="16">
        <f t="shared" si="12"/>
        <v>0.438</v>
      </c>
      <c r="C20" s="16">
        <f t="shared" si="12"/>
        <v>0.53839999999999999</v>
      </c>
      <c r="D20" s="16">
        <f t="shared" si="12"/>
        <v>0.95499999999999996</v>
      </c>
      <c r="Y20" s="5" t="s">
        <v>19</v>
      </c>
      <c r="Z20" s="37">
        <f>AA20</f>
        <v>11144.223731655446</v>
      </c>
      <c r="AA20" s="38">
        <f t="shared" ref="AA20:AI20" si="16">AB20/(1+$Z17)</f>
        <v>11144.223731655446</v>
      </c>
      <c r="AB20" s="38">
        <f t="shared" si="16"/>
        <v>12815.857291403761</v>
      </c>
      <c r="AC20" s="38">
        <f t="shared" si="16"/>
        <v>14738.235885114325</v>
      </c>
      <c r="AD20" s="38">
        <f t="shared" si="16"/>
        <v>16948.971267881472</v>
      </c>
      <c r="AE20" s="38">
        <f t="shared" si="16"/>
        <v>19491.316958063693</v>
      </c>
      <c r="AF20" s="38">
        <f t="shared" si="16"/>
        <v>22415.014501773247</v>
      </c>
      <c r="AG20" s="38">
        <f t="shared" si="16"/>
        <v>25777.266677039232</v>
      </c>
      <c r="AH20" s="38">
        <f t="shared" si="16"/>
        <v>29643.856678595115</v>
      </c>
      <c r="AI20" s="38">
        <f t="shared" si="16"/>
        <v>34090.435180384382</v>
      </c>
      <c r="AJ20" s="39">
        <f>AJ19*$Z18</f>
        <v>39204.000457442038</v>
      </c>
      <c r="AL20" s="1" t="s">
        <v>42</v>
      </c>
      <c r="AM20" s="10"/>
      <c r="AN20" s="48">
        <f>$AM12</f>
        <v>995</v>
      </c>
      <c r="AO20" s="49">
        <f t="shared" ref="AO20:AW20" si="17">AN20+AN20*$AM13</f>
        <v>1355.9528333333333</v>
      </c>
      <c r="AP20" s="49">
        <f t="shared" si="17"/>
        <v>1847.8473228388889</v>
      </c>
      <c r="AQ20" s="49">
        <f t="shared" si="17"/>
        <v>2518.1847366540765</v>
      </c>
      <c r="AR20" s="49">
        <f t="shared" si="17"/>
        <v>3431.6982196209538</v>
      </c>
      <c r="AS20" s="49">
        <f t="shared" si="17"/>
        <v>4676.6039437587815</v>
      </c>
      <c r="AT20" s="49">
        <f t="shared" si="17"/>
        <v>6373.1199677563418</v>
      </c>
      <c r="AU20" s="49">
        <f t="shared" si="17"/>
        <v>8685.075454726084</v>
      </c>
      <c r="AV20" s="49">
        <f t="shared" si="17"/>
        <v>11835.731327185549</v>
      </c>
      <c r="AW20" s="49">
        <f t="shared" si="17"/>
        <v>16129.340128310894</v>
      </c>
      <c r="AX20" s="50">
        <f>$AM15*AW20</f>
        <v>241940.10192466341</v>
      </c>
      <c r="AY20" s="51"/>
      <c r="AZ20" s="49"/>
      <c r="BA20" s="10"/>
    </row>
    <row r="21" spans="1:53" x14ac:dyDescent="0.25">
      <c r="A21" t="s">
        <v>28</v>
      </c>
      <c r="E21" s="57">
        <f>L8</f>
        <v>2.9547738693467336</v>
      </c>
      <c r="AL21" s="5" t="s">
        <v>43</v>
      </c>
      <c r="AM21" s="7"/>
      <c r="AN21" s="52">
        <f>AN20/(1+$AM14)</f>
        <v>865.21739130434787</v>
      </c>
      <c r="AO21" s="53">
        <f t="shared" ref="AO21:AW21" si="18">(1+$AM13)*AN21/(1+$AM14)</f>
        <v>1025.2951480781348</v>
      </c>
      <c r="AP21" s="53">
        <f t="shared" si="18"/>
        <v>1214.989609822562</v>
      </c>
      <c r="AQ21" s="53">
        <f t="shared" si="18"/>
        <v>1439.780296184806</v>
      </c>
      <c r="AR21" s="53">
        <f t="shared" si="18"/>
        <v>1706.1605173600994</v>
      </c>
      <c r="AS21" s="53">
        <f t="shared" si="18"/>
        <v>2021.8249400357377</v>
      </c>
      <c r="AT21" s="53">
        <f t="shared" si="18"/>
        <v>2395.8918557530742</v>
      </c>
      <c r="AU21" s="53">
        <f t="shared" si="18"/>
        <v>2839.1665721377663</v>
      </c>
      <c r="AV21" s="53">
        <f t="shared" si="18"/>
        <v>3364.4535353248784</v>
      </c>
      <c r="AW21" s="53">
        <f t="shared" si="18"/>
        <v>3986.9261995561451</v>
      </c>
      <c r="AX21" s="54">
        <f>AX20/(1+AM14)^AX19</f>
        <v>59803.892993342197</v>
      </c>
      <c r="AY21" s="53">
        <f>SUM(AN21:AX21)</f>
        <v>80663.599058899752</v>
      </c>
      <c r="AZ21" s="53">
        <f>AY21+AM16</f>
        <v>83400.599058899752</v>
      </c>
      <c r="BA21" s="55">
        <f>AZ21/AM17</f>
        <v>2690.3419051257983</v>
      </c>
    </row>
    <row r="22" spans="1:53" x14ac:dyDescent="0.25">
      <c r="AN22" s="75"/>
      <c r="AO22" s="75"/>
      <c r="AP22" s="75"/>
      <c r="AQ22" s="75"/>
      <c r="AR22" s="75"/>
      <c r="AS22" s="75"/>
      <c r="AT22" s="75"/>
      <c r="AU22" s="75"/>
      <c r="AV22" s="75"/>
      <c r="AW22" s="75"/>
      <c r="AX22" s="75"/>
      <c r="AY22" s="75"/>
      <c r="AZ22" s="75"/>
      <c r="BA22" s="76"/>
    </row>
    <row r="23" spans="1:53" ht="18.75" x14ac:dyDescent="0.3">
      <c r="A23" s="56" t="s">
        <v>30</v>
      </c>
      <c r="AL23" s="1" t="s">
        <v>35</v>
      </c>
      <c r="AM23" s="22">
        <f>AM1</f>
        <v>995</v>
      </c>
      <c r="AN23" s="42"/>
      <c r="AO23" s="42"/>
      <c r="AP23" s="42"/>
      <c r="AQ23" s="42"/>
      <c r="AR23" s="42"/>
      <c r="AS23" s="42"/>
      <c r="AT23" s="42"/>
      <c r="AU23" s="42"/>
      <c r="AV23" s="42"/>
      <c r="AW23" s="42"/>
      <c r="AX23" s="42"/>
      <c r="AY23" s="42"/>
      <c r="AZ23" s="42"/>
      <c r="BA23" s="10"/>
    </row>
    <row r="24" spans="1:53" x14ac:dyDescent="0.25">
      <c r="A24" t="s">
        <v>107</v>
      </c>
      <c r="B24" t="s">
        <v>104</v>
      </c>
      <c r="C24" t="s">
        <v>105</v>
      </c>
      <c r="D24" t="s">
        <v>106</v>
      </c>
      <c r="AL24" s="18" t="s">
        <v>36</v>
      </c>
      <c r="AM24" s="71">
        <f>Z16</f>
        <v>0.4743</v>
      </c>
      <c r="BA24" s="17"/>
    </row>
    <row r="25" spans="1:53" x14ac:dyDescent="0.25">
      <c r="A25" s="16">
        <v>0.34399999999999997</v>
      </c>
      <c r="B25" s="86">
        <v>0.27</v>
      </c>
      <c r="C25" s="85">
        <v>0.34399999999999997</v>
      </c>
      <c r="D25" s="86">
        <v>0.4743</v>
      </c>
      <c r="AL25" s="18" t="s">
        <v>37</v>
      </c>
      <c r="AM25" s="69">
        <f>AM3</f>
        <v>0.15</v>
      </c>
      <c r="BA25" s="17"/>
    </row>
    <row r="26" spans="1:53" x14ac:dyDescent="0.25">
      <c r="AL26" s="18" t="s">
        <v>38</v>
      </c>
      <c r="AM26" s="69">
        <f>AM4</f>
        <v>15</v>
      </c>
      <c r="BA26" s="17"/>
    </row>
    <row r="27" spans="1:53" ht="30" x14ac:dyDescent="0.25">
      <c r="A27" t="s">
        <v>18</v>
      </c>
      <c r="B27" s="41" t="s">
        <v>20</v>
      </c>
      <c r="C27" s="41" t="s">
        <v>31</v>
      </c>
      <c r="D27" s="41" t="s">
        <v>21</v>
      </c>
      <c r="E27" s="41" t="s">
        <v>22</v>
      </c>
      <c r="F27" t="s">
        <v>126</v>
      </c>
      <c r="AL27" s="18" t="s">
        <v>39</v>
      </c>
      <c r="AM27" s="69">
        <f>AM5</f>
        <v>2737</v>
      </c>
      <c r="BA27" s="17"/>
    </row>
    <row r="28" spans="1:53" x14ac:dyDescent="0.25">
      <c r="A28" s="16">
        <f>B25</f>
        <v>0.27</v>
      </c>
      <c r="B28" s="73">
        <f>Z6</f>
        <v>2910.7876337245389</v>
      </c>
      <c r="C28" s="63">
        <f>1-$B$6/Table116[[#This Row],[Fair Value
Method 1]]</f>
        <v>0.44379315713651502</v>
      </c>
      <c r="D28" s="66">
        <f>BA10</f>
        <v>1565.3277591314704</v>
      </c>
      <c r="E28" s="63">
        <f>1-$B$6/Table116[[#This Row],[Fair Value 
Method 2]]</f>
        <v>-3.4288180577791483E-2</v>
      </c>
      <c r="F28" s="63">
        <f>AVERAGE(Table116[[#This Row],[MOS
Method 1]],Table116[[#This Row],[MOS 
Method 2]])</f>
        <v>0.20475248827936177</v>
      </c>
      <c r="AL28" s="5" t="s">
        <v>40</v>
      </c>
      <c r="AM28" s="70">
        <f>AM6</f>
        <v>31</v>
      </c>
      <c r="BA28" s="17"/>
    </row>
    <row r="29" spans="1:53" x14ac:dyDescent="0.25">
      <c r="A29" s="61">
        <f>C25</f>
        <v>0.34399999999999997</v>
      </c>
      <c r="B29" s="73">
        <f>Z13</f>
        <v>5489.9773419837893</v>
      </c>
      <c r="C29" s="63">
        <f>1-$B$6/Table116[[#This Row],[Fair Value
Method 1]]</f>
        <v>0.70509896505055913</v>
      </c>
      <c r="D29" s="66">
        <f>BA21</f>
        <v>2690.3419051257983</v>
      </c>
      <c r="E29" s="63">
        <f>1-$B$6/Table116[[#This Row],[Fair Value 
Method 2]]</f>
        <v>0.39821775183467001</v>
      </c>
      <c r="F29" s="63">
        <f>AVERAGE(Table116[[#This Row],[MOS
Method 1]],Table116[[#This Row],[MOS 
Method 2]])</f>
        <v>0.55165835844261457</v>
      </c>
      <c r="AL29" s="18"/>
      <c r="BA29" s="17"/>
    </row>
    <row r="30" spans="1:53" x14ac:dyDescent="0.25">
      <c r="A30" s="61">
        <f>D25</f>
        <v>0.4743</v>
      </c>
      <c r="B30" s="73">
        <f>Z20</f>
        <v>11144.223731655446</v>
      </c>
      <c r="C30" s="63">
        <f>1-$B$6/Table116[[#This Row],[Fair Value
Method 1]]</f>
        <v>0.85472294535857263</v>
      </c>
      <c r="D30" s="66">
        <f>BA32</f>
        <v>5092.2039353128848</v>
      </c>
      <c r="E30" s="63">
        <f>1-$B$6/Table116[[#This Row],[Fair Value 
Method 2]]</f>
        <v>0.68206300836211065</v>
      </c>
      <c r="F30" s="63">
        <f>AVERAGE(Table116[[#This Row],[MOS
Method 1]],Table116[[#This Row],[MOS 
Method 2]])</f>
        <v>0.76839297686034169</v>
      </c>
      <c r="AL30" s="21"/>
      <c r="AM30" s="24"/>
      <c r="AN30" s="21">
        <v>1</v>
      </c>
      <c r="AO30" s="23">
        <v>2</v>
      </c>
      <c r="AP30" s="23">
        <v>3</v>
      </c>
      <c r="AQ30" s="23">
        <v>4</v>
      </c>
      <c r="AR30" s="23">
        <v>5</v>
      </c>
      <c r="AS30" s="23">
        <v>6</v>
      </c>
      <c r="AT30" s="23">
        <v>7</v>
      </c>
      <c r="AU30" s="23">
        <v>8</v>
      </c>
      <c r="AV30" s="23">
        <v>9</v>
      </c>
      <c r="AW30" s="23">
        <v>10</v>
      </c>
      <c r="AX30" s="24">
        <v>10</v>
      </c>
      <c r="AY30" s="46" t="s">
        <v>41</v>
      </c>
      <c r="AZ30" s="46" t="s">
        <v>62</v>
      </c>
      <c r="BA30" s="47" t="s">
        <v>63</v>
      </c>
    </row>
    <row r="31" spans="1:53" x14ac:dyDescent="0.25">
      <c r="AL31" s="1" t="s">
        <v>42</v>
      </c>
      <c r="AM31" s="10"/>
      <c r="AN31" s="48">
        <f>$AM23</f>
        <v>995</v>
      </c>
      <c r="AO31" s="49">
        <f t="shared" ref="AO31:AW31" si="19">AN31+AN31*$AM24</f>
        <v>1466.9285</v>
      </c>
      <c r="AP31" s="49">
        <f t="shared" si="19"/>
        <v>2162.6926875499998</v>
      </c>
      <c r="AQ31" s="49">
        <f t="shared" si="19"/>
        <v>3188.457829254965</v>
      </c>
      <c r="AR31" s="49">
        <f t="shared" si="19"/>
        <v>4700.7433776705948</v>
      </c>
      <c r="AS31" s="49">
        <f t="shared" si="19"/>
        <v>6930.305961699758</v>
      </c>
      <c r="AT31" s="49">
        <f t="shared" si="19"/>
        <v>10217.350079333954</v>
      </c>
      <c r="AU31" s="49">
        <f t="shared" si="19"/>
        <v>15063.439221962048</v>
      </c>
      <c r="AV31" s="49">
        <f t="shared" si="19"/>
        <v>22208.028444938645</v>
      </c>
      <c r="AW31" s="49">
        <f t="shared" si="19"/>
        <v>32741.296336373045</v>
      </c>
      <c r="AX31" s="50">
        <f>$AM26*AW31</f>
        <v>491119.4450455957</v>
      </c>
      <c r="AY31" s="51"/>
      <c r="AZ31" s="49"/>
      <c r="BA31" s="10"/>
    </row>
    <row r="32" spans="1:53" ht="18.75" x14ac:dyDescent="0.3">
      <c r="A32" s="56" t="s">
        <v>64</v>
      </c>
      <c r="AL32" s="5" t="s">
        <v>43</v>
      </c>
      <c r="AM32" s="7"/>
      <c r="AN32" s="52">
        <f>AN31/(1+$AM25)</f>
        <v>865.21739130434787</v>
      </c>
      <c r="AO32" s="53">
        <f t="shared" ref="AO32:AW32" si="20">(1+$AM24)*AN32/(1+$AM25)</f>
        <v>1109.2086956521739</v>
      </c>
      <c r="AP32" s="53">
        <f t="shared" si="20"/>
        <v>1422.005547826087</v>
      </c>
      <c r="AQ32" s="53">
        <f t="shared" si="20"/>
        <v>1823.0111123130437</v>
      </c>
      <c r="AR32" s="53">
        <f t="shared" si="20"/>
        <v>2337.1002459853221</v>
      </c>
      <c r="AS32" s="53">
        <f t="shared" si="20"/>
        <v>2996.1625153531832</v>
      </c>
      <c r="AT32" s="53">
        <f t="shared" si="20"/>
        <v>3841.0803446827813</v>
      </c>
      <c r="AU32" s="53">
        <f t="shared" si="20"/>
        <v>4924.2650018833256</v>
      </c>
      <c r="AV32" s="53">
        <f t="shared" si="20"/>
        <v>6312.9077324144237</v>
      </c>
      <c r="AW32" s="53">
        <f t="shared" si="20"/>
        <v>8093.1477129552914</v>
      </c>
      <c r="AX32" s="54">
        <f>AX31/(1+AM25)^AX30</f>
        <v>121397.21569432942</v>
      </c>
      <c r="AY32" s="53">
        <f>SUM(AN32:AX32)</f>
        <v>155121.32199469942</v>
      </c>
      <c r="AZ32" s="53">
        <f>AY32+AM27</f>
        <v>157858.32199469942</v>
      </c>
      <c r="BA32" s="55">
        <f>AZ32/AM28</f>
        <v>5092.2039353128848</v>
      </c>
    </row>
    <row r="33" spans="1:7" x14ac:dyDescent="0.25">
      <c r="A33" s="77" t="s">
        <v>66</v>
      </c>
    </row>
    <row r="36" spans="1:7" x14ac:dyDescent="0.25">
      <c r="D36" s="78"/>
      <c r="E36" s="78"/>
      <c r="G36" s="79"/>
    </row>
    <row r="39" spans="1:7" x14ac:dyDescent="0.25">
      <c r="D39" s="41"/>
    </row>
  </sheetData>
  <mergeCells count="11">
    <mergeCell ref="R1:R2"/>
    <mergeCell ref="M1:M2"/>
    <mergeCell ref="N1:N2"/>
    <mergeCell ref="O1:O2"/>
    <mergeCell ref="P1:P2"/>
    <mergeCell ref="Q1:Q2"/>
    <mergeCell ref="S1:S2"/>
    <mergeCell ref="T1:T2"/>
    <mergeCell ref="U1:U2"/>
    <mergeCell ref="V1:V2"/>
    <mergeCell ref="W1:W2"/>
  </mergeCells>
  <conditionalFormatting sqref="L8">
    <cfRule type="cellIs" dxfId="680" priority="23" operator="greaterThan">
      <formula>3</formula>
    </cfRule>
    <cfRule type="cellIs" dxfId="679" priority="24" operator="lessThan">
      <formula>3</formula>
    </cfRule>
  </conditionalFormatting>
  <conditionalFormatting sqref="I3:K7">
    <cfRule type="cellIs" dxfId="678" priority="20" operator="between">
      <formula>0.05</formula>
      <formula>0.1</formula>
    </cfRule>
    <cfRule type="cellIs" dxfId="677" priority="21" operator="lessThan">
      <formula>0.05</formula>
    </cfRule>
    <cfRule type="cellIs" dxfId="676"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{E6635B30-39F2-4395-9504-238870733F48}</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{057E0FC7-7013-4BF1-9822-8C4FA38258E7}</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{BEE1F611-604D-40C8-9D93-5330D91BC066}</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{2D9A30BB-E145-4FFE-8831-C9CE145BDE56}</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{AB290B39-5956-4A90-BDFF-7C4179066A8D}</x14:id>
        </ext>
      </extLst>
    </cfRule>
  </conditionalFormatting>
  <conditionalFormatting sqref="E21">
    <cfRule type="cellIs" dxfId="675" priority="13" operator="greaterThan">
      <formula>3</formula>
    </cfRule>
    <cfRule type="cellIs" dxfId="674" priority="14" operator="lessThan">
      <formula>3</formula>
    </cfRule>
  </conditionalFormatting>
  <conditionalFormatting sqref="B16:D20">
    <cfRule type="cellIs" dxfId="673" priority="10" operator="between">
      <formula>0.05</formula>
      <formula>0.1</formula>
    </cfRule>
    <cfRule type="cellIs" dxfId="672" priority="11" operator="lessThan">
      <formula>0.05</formula>
    </cfRule>
    <cfRule type="cellIs" dxfId="671" priority="12" operator="greaterThan">
      <formula>0.1</formula>
    </cfRule>
  </conditionalFormatting>
  <conditionalFormatting sqref="C28:C30">
    <cfRule type="cellIs" dxfId="670" priority="7" operator="lessThan">
      <formula>0</formula>
    </cfRule>
    <cfRule type="cellIs" dxfId="669" priority="8" operator="between">
      <formula>0</formula>
      <formula>0.3</formula>
    </cfRule>
    <cfRule type="cellIs" dxfId="668" priority="9" operator="greaterThan">
      <formula>0.3</formula>
    </cfRule>
  </conditionalFormatting>
  <conditionalFormatting sqref="E28:E30">
    <cfRule type="cellIs" dxfId="667" priority="4" operator="lessThan">
      <formula>0</formula>
    </cfRule>
    <cfRule type="cellIs" dxfId="666" priority="5" operator="between">
      <formula>0</formula>
      <formula>0.3</formula>
    </cfRule>
    <cfRule type="cellIs" dxfId="665" priority="6" operator="greaterThan">
      <formula>0.3</formula>
    </cfRule>
  </conditionalFormatting>
  <conditionalFormatting sqref="F28:F30">
    <cfRule type="cellIs" dxfId="664" priority="1" operator="lessThan">
      <formula>0</formula>
    </cfRule>
    <cfRule type="cellIs" dxfId="663" priority="2" operator="between">
      <formula>0</formula>
      <formula>0.3</formula>
    </cfRule>
    <cfRule type="cellIs" dxfId="662" priority="3" operator="greaterThan">
      <formula>0.3</formula>
    </cfRule>
  </conditionalFormatting>
  <hyperlinks>
    <hyperlink ref="B4" r:id="rId1" xr:uid="{2AE140B3-A89A-454A-9F0B-668F597B0FAE}"/>
    <hyperlink ref="A33" r:id="rId2" xr:uid="{255ACF75-CC9E-467D-8F9B-AD8B0FD9BFF7}"/>
  </hyperlinks>
  <pageMargins left="0.7" right="0.7" top="0.75" bottom="0.75" header="0.3" footer="0.3"/>
  <pageSetup paperSize="9" orientation="portrait" r:id="rId3"/>
  <legacyDrawing r:id="rId4"/>
  <tableParts count="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dataBar" id="{E6635B30-39F2-4395-9504-238870733F48}">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057E0FC7-7013-4BF1-9822-8C4FA38258E7}">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BEE1F611-604D-40C8-9D93-5330D91BC066}">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2D9A30BB-E145-4FFE-8831-C9CE145BDE56}">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AB290B39-5956-4A90-BDFF-7C4179066A8D}">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D837-12B8-4E04-918B-AA084F3A3273}">
  <dimension ref="A1:BA40"/>
  <sheetViews>
    <sheetView zoomScale="70" zoomScaleNormal="70" workbookViewId="0">
      <selection activeCell="D42" sqref="D42"/>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39" max="39" width="10"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4603</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MIN(Table1563[])</f>
        <v>5.7900000000000007E-2</v>
      </c>
      <c r="AA2" s="8">
        <f>Z2</f>
        <v>5.7900000000000007E-2</v>
      </c>
      <c r="AB2" s="9">
        <f t="shared" ref="AB2:AJ3" si="1">AA2</f>
        <v>5.7900000000000007E-2</v>
      </c>
      <c r="AC2" s="9">
        <f t="shared" si="1"/>
        <v>5.7900000000000007E-2</v>
      </c>
      <c r="AD2" s="9">
        <f t="shared" si="1"/>
        <v>5.7900000000000007E-2</v>
      </c>
      <c r="AE2" s="9">
        <f t="shared" si="1"/>
        <v>5.7900000000000007E-2</v>
      </c>
      <c r="AF2" s="9">
        <f t="shared" si="1"/>
        <v>5.7900000000000007E-2</v>
      </c>
      <c r="AG2" s="9">
        <f t="shared" si="1"/>
        <v>5.7900000000000007E-2</v>
      </c>
      <c r="AH2" s="9">
        <f t="shared" si="1"/>
        <v>5.7900000000000007E-2</v>
      </c>
      <c r="AI2" s="9">
        <f t="shared" si="1"/>
        <v>5.7900000000000007E-2</v>
      </c>
      <c r="AJ2" s="25">
        <f t="shared" si="1"/>
        <v>5.7900000000000007E-2</v>
      </c>
      <c r="AL2" s="18" t="s">
        <v>36</v>
      </c>
      <c r="AM2" s="67">
        <f>Z2</f>
        <v>5.7900000000000007E-2</v>
      </c>
      <c r="BA2" s="17"/>
    </row>
    <row r="3" spans="1:53" x14ac:dyDescent="0.25">
      <c r="A3" t="s">
        <v>49</v>
      </c>
      <c r="B3" s="58" t="s">
        <v>148</v>
      </c>
      <c r="H3" s="2" t="s">
        <v>6</v>
      </c>
      <c r="I3" s="8">
        <f>AVERAGE(M3:W3)</f>
        <v>0.10495454545454544</v>
      </c>
      <c r="J3" s="9">
        <f>AVERAGE(S3:W3)</f>
        <v>0.12809999999999999</v>
      </c>
      <c r="K3" s="9">
        <f>W3</f>
        <v>0.1338</v>
      </c>
      <c r="L3" s="10" t="s">
        <v>7</v>
      </c>
      <c r="M3" s="11">
        <v>7.8600000000000003E-2</v>
      </c>
      <c r="N3" s="12">
        <v>4.6900000000000004E-2</v>
      </c>
      <c r="O3" s="12">
        <v>9.1400000000000009E-2</v>
      </c>
      <c r="P3" s="12">
        <v>9.9100000000000008E-2</v>
      </c>
      <c r="Q3" s="12">
        <v>0.10050000000000001</v>
      </c>
      <c r="R3" s="12">
        <v>9.7500000000000003E-2</v>
      </c>
      <c r="S3" s="12">
        <v>0.14449999999999999</v>
      </c>
      <c r="T3" s="12">
        <v>0.1176</v>
      </c>
      <c r="U3" s="12">
        <v>0.1201</v>
      </c>
      <c r="V3" s="12">
        <v>0.1245</v>
      </c>
      <c r="W3" s="13">
        <v>0.1338</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149</v>
      </c>
      <c r="H4" s="14" t="s">
        <v>8</v>
      </c>
      <c r="I4" s="15">
        <f>AVERAGE(M4:W4)</f>
        <v>5.7900000000000007E-2</v>
      </c>
      <c r="J4" s="16">
        <f>AVERAGE(S4:W4)</f>
        <v>6.5399999999999986E-2</v>
      </c>
      <c r="K4" s="16">
        <f>W4</f>
        <v>9.2999999999999999E-2</v>
      </c>
      <c r="L4" s="17" t="s">
        <v>7</v>
      </c>
      <c r="M4" s="18" t="s">
        <v>7</v>
      </c>
      <c r="N4" s="12">
        <v>7.0000000000000007E-2</v>
      </c>
      <c r="O4" s="12">
        <v>3.9E-2</v>
      </c>
      <c r="P4" s="12">
        <v>5.3999999999999999E-2</v>
      </c>
      <c r="Q4" s="12">
        <v>4.5999999999999999E-2</v>
      </c>
      <c r="R4" s="12">
        <v>4.2999999999999997E-2</v>
      </c>
      <c r="S4" s="12">
        <v>5.2999999999999999E-2</v>
      </c>
      <c r="T4" s="12">
        <v>9.6000000000000002E-2</v>
      </c>
      <c r="U4" s="12">
        <v>2.1000000000000001E-2</v>
      </c>
      <c r="V4" s="12">
        <v>6.4000000000000001E-2</v>
      </c>
      <c r="W4" s="13">
        <v>9.2999999999999999E-2</v>
      </c>
      <c r="Y4" s="5" t="s">
        <v>15</v>
      </c>
      <c r="Z4" s="29">
        <v>17.7</v>
      </c>
      <c r="AA4" s="30">
        <f t="shared" si="2"/>
        <v>17.7</v>
      </c>
      <c r="AB4" s="31">
        <f t="shared" si="2"/>
        <v>17.7</v>
      </c>
      <c r="AC4" s="31">
        <f t="shared" si="2"/>
        <v>17.7</v>
      </c>
      <c r="AD4" s="31">
        <f t="shared" si="2"/>
        <v>17.7</v>
      </c>
      <c r="AE4" s="31">
        <f t="shared" si="2"/>
        <v>17.7</v>
      </c>
      <c r="AF4" s="31">
        <f t="shared" si="2"/>
        <v>17.7</v>
      </c>
      <c r="AG4" s="31">
        <f t="shared" si="2"/>
        <v>17.7</v>
      </c>
      <c r="AH4" s="31">
        <f t="shared" si="2"/>
        <v>17.7</v>
      </c>
      <c r="AI4" s="31">
        <f t="shared" si="2"/>
        <v>17.7</v>
      </c>
      <c r="AJ4" s="32">
        <f t="shared" si="2"/>
        <v>17.7</v>
      </c>
      <c r="AL4" s="18" t="s">
        <v>38</v>
      </c>
      <c r="AM4" s="64">
        <v>15</v>
      </c>
      <c r="BA4" s="17"/>
    </row>
    <row r="5" spans="1:53" x14ac:dyDescent="0.25">
      <c r="A5" t="s">
        <v>34</v>
      </c>
      <c r="B5" s="92">
        <v>44716</v>
      </c>
      <c r="H5" s="14" t="s">
        <v>9</v>
      </c>
      <c r="I5" s="15">
        <f>AVERAGE(M5:W5)</f>
        <v>0.13240000000000002</v>
      </c>
      <c r="J5" s="16">
        <f>AVERAGE(S5:W5)</f>
        <v>0.17120000000000002</v>
      </c>
      <c r="K5" s="16">
        <f>W5</f>
        <v>0.2</v>
      </c>
      <c r="L5" s="17" t="s">
        <v>7</v>
      </c>
      <c r="M5" s="18" t="s">
        <v>7</v>
      </c>
      <c r="N5" s="12">
        <v>0.115</v>
      </c>
      <c r="O5" s="12">
        <v>0.223</v>
      </c>
      <c r="P5" s="12">
        <v>0.14099999999999999</v>
      </c>
      <c r="Q5" s="12">
        <v>2.8000000000000001E-2</v>
      </c>
      <c r="R5" s="12">
        <v>-3.9E-2</v>
      </c>
      <c r="S5" s="12">
        <v>0.58399999999999996</v>
      </c>
      <c r="T5" s="12">
        <v>-0.11799999999999999</v>
      </c>
      <c r="U5" s="12">
        <v>7.0000000000000007E-2</v>
      </c>
      <c r="V5" s="12">
        <v>0.12</v>
      </c>
      <c r="W5" s="13">
        <v>0.2</v>
      </c>
      <c r="Y5" s="1" t="s">
        <v>16</v>
      </c>
      <c r="Z5" s="33">
        <v>38.22</v>
      </c>
      <c r="AA5" s="34">
        <f>Z5</f>
        <v>38.22</v>
      </c>
      <c r="AB5" s="35">
        <f t="shared" ref="AB5:AJ5" si="3">AA5*(1+$Z2)</f>
        <v>40.432938</v>
      </c>
      <c r="AC5" s="35">
        <f t="shared" si="3"/>
        <v>42.774005110200001</v>
      </c>
      <c r="AD5" s="35">
        <f t="shared" si="3"/>
        <v>45.250620006080581</v>
      </c>
      <c r="AE5" s="35">
        <f t="shared" si="3"/>
        <v>47.870630904432652</v>
      </c>
      <c r="AF5" s="35">
        <f t="shared" si="3"/>
        <v>50.642340433799305</v>
      </c>
      <c r="AG5" s="35">
        <f t="shared" si="3"/>
        <v>53.574531944916288</v>
      </c>
      <c r="AH5" s="35">
        <f t="shared" si="3"/>
        <v>56.676497344526943</v>
      </c>
      <c r="AI5" s="35">
        <f t="shared" si="3"/>
        <v>59.958066540775057</v>
      </c>
      <c r="AJ5" s="36">
        <f t="shared" si="3"/>
        <v>63.42963859348594</v>
      </c>
      <c r="AL5" s="18" t="s">
        <v>39</v>
      </c>
      <c r="AM5" s="40">
        <v>9072</v>
      </c>
      <c r="BA5" s="17"/>
    </row>
    <row r="6" spans="1:53" x14ac:dyDescent="0.25">
      <c r="A6" t="s">
        <v>44</v>
      </c>
      <c r="B6" s="62">
        <v>671</v>
      </c>
      <c r="H6" s="14" t="s">
        <v>10</v>
      </c>
      <c r="I6" s="15">
        <f>AVERAGE(M6:W6)</f>
        <v>8.2099999999999992E-2</v>
      </c>
      <c r="J6" s="16">
        <f>AVERAGE(S6:W6)</f>
        <v>9.7599999999999992E-2</v>
      </c>
      <c r="K6" s="16">
        <f>W6</f>
        <v>0.19600000000000001</v>
      </c>
      <c r="L6" s="17" t="s">
        <v>7</v>
      </c>
      <c r="M6" s="18" t="s">
        <v>7</v>
      </c>
      <c r="N6" s="12">
        <v>2.4E-2</v>
      </c>
      <c r="O6" s="12">
        <v>9.2999999999999999E-2</v>
      </c>
      <c r="P6" s="12">
        <v>0.112</v>
      </c>
      <c r="Q6" s="12">
        <v>2.9000000000000001E-2</v>
      </c>
      <c r="R6" s="12">
        <v>7.4999999999999997E-2</v>
      </c>
      <c r="S6" s="12">
        <v>0.109</v>
      </c>
      <c r="T6" s="12">
        <v>4.3999999999999997E-2</v>
      </c>
      <c r="U6" s="12">
        <v>2.4E-2</v>
      </c>
      <c r="V6" s="12">
        <v>0.115</v>
      </c>
      <c r="W6" s="13">
        <v>0.19600000000000001</v>
      </c>
      <c r="Y6" s="5" t="s">
        <v>19</v>
      </c>
      <c r="Z6" s="37">
        <f>AA6</f>
        <v>319.14271848711684</v>
      </c>
      <c r="AA6" s="38">
        <f t="shared" ref="AA6:AI6" si="4">AB6/(1+$Z3)</f>
        <v>319.14271848711684</v>
      </c>
      <c r="AB6" s="38">
        <f t="shared" si="4"/>
        <v>367.01412626018436</v>
      </c>
      <c r="AC6" s="38">
        <f t="shared" si="4"/>
        <v>422.06624519921195</v>
      </c>
      <c r="AD6" s="38">
        <f t="shared" si="4"/>
        <v>485.3761819790937</v>
      </c>
      <c r="AE6" s="38">
        <f t="shared" si="4"/>
        <v>558.1826092759577</v>
      </c>
      <c r="AF6" s="38">
        <f t="shared" si="4"/>
        <v>641.91000066735126</v>
      </c>
      <c r="AG6" s="38">
        <f t="shared" si="4"/>
        <v>738.19650076745393</v>
      </c>
      <c r="AH6" s="38">
        <f t="shared" si="4"/>
        <v>848.92597588257195</v>
      </c>
      <c r="AI6" s="38">
        <f t="shared" si="4"/>
        <v>976.2648722649576</v>
      </c>
      <c r="AJ6" s="39">
        <f>AJ5*$Z4</f>
        <v>1122.7046031047012</v>
      </c>
      <c r="AL6" s="5" t="s">
        <v>40</v>
      </c>
      <c r="AM6" s="45">
        <v>154</v>
      </c>
      <c r="BA6" s="17"/>
    </row>
    <row r="7" spans="1:53" x14ac:dyDescent="0.25">
      <c r="A7" t="s">
        <v>45</v>
      </c>
      <c r="B7" s="58" t="s">
        <v>55</v>
      </c>
      <c r="H7" s="14" t="s">
        <v>11</v>
      </c>
      <c r="I7" s="15">
        <f>AVERAGE(M7:W7)</f>
        <v>0.11610000000000001</v>
      </c>
      <c r="J7" s="16">
        <f>AVERAGE(S7:W7)</f>
        <v>0.2298</v>
      </c>
      <c r="K7" s="16">
        <f>W7</f>
        <v>0.29699999999999999</v>
      </c>
      <c r="L7" s="17" t="s">
        <v>7</v>
      </c>
      <c r="M7" s="18" t="s">
        <v>7</v>
      </c>
      <c r="N7" s="12">
        <v>-0.19</v>
      </c>
      <c r="O7" s="12">
        <v>0.69799999999999995</v>
      </c>
      <c r="P7" s="12">
        <v>-0.15</v>
      </c>
      <c r="Q7" s="12">
        <v>-7.6999999999999999E-2</v>
      </c>
      <c r="R7" s="12">
        <v>-0.26900000000000002</v>
      </c>
      <c r="S7" s="12">
        <v>0.80500000000000005</v>
      </c>
      <c r="T7" s="12">
        <v>-0.218</v>
      </c>
      <c r="U7" s="12">
        <v>-8.4000000000000005E-2</v>
      </c>
      <c r="V7" s="12">
        <v>0.34899999999999998</v>
      </c>
      <c r="W7" s="13">
        <v>0.29699999999999999</v>
      </c>
      <c r="AL7" s="18"/>
      <c r="BA7" s="17"/>
    </row>
    <row r="8" spans="1:53" x14ac:dyDescent="0.25">
      <c r="A8" t="s">
        <v>46</v>
      </c>
      <c r="B8" s="58"/>
      <c r="H8" s="19" t="s">
        <v>12</v>
      </c>
      <c r="I8" s="5" t="s">
        <v>7</v>
      </c>
      <c r="J8" s="6" t="s">
        <v>7</v>
      </c>
      <c r="K8" s="6" t="s">
        <v>7</v>
      </c>
      <c r="L8" s="20">
        <v>1.41</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82</v>
      </c>
      <c r="B9" s="58"/>
      <c r="H9" s="43"/>
      <c r="L9" s="20"/>
      <c r="Y9" s="1"/>
      <c r="AA9" s="1"/>
      <c r="AB9" s="42"/>
      <c r="AC9" s="42"/>
      <c r="AD9" s="42"/>
      <c r="AE9" s="42"/>
      <c r="AF9" s="42"/>
      <c r="AG9" s="42"/>
      <c r="AH9" s="42"/>
      <c r="AI9" s="42"/>
      <c r="AJ9" s="10"/>
      <c r="AL9" s="1"/>
      <c r="AM9" s="10"/>
      <c r="AN9" s="1"/>
      <c r="AO9" s="42"/>
      <c r="AP9" s="42"/>
      <c r="AQ9" s="42"/>
      <c r="AR9" s="42"/>
      <c r="AS9" s="42"/>
      <c r="AT9" s="42"/>
      <c r="AU9" s="42"/>
      <c r="AV9" s="42"/>
      <c r="AW9" s="42"/>
      <c r="AX9" s="10"/>
      <c r="AY9" s="93"/>
      <c r="AZ9" s="93"/>
      <c r="BA9" s="94"/>
    </row>
    <row r="10" spans="1:53" x14ac:dyDescent="0.25">
      <c r="A10" t="s">
        <v>47</v>
      </c>
      <c r="B10" s="58"/>
      <c r="Y10" s="1" t="s">
        <v>13</v>
      </c>
      <c r="Z10" s="65">
        <f>AVERAGE(Table1563[])</f>
        <v>6.7833333333333343E-2</v>
      </c>
      <c r="AA10" s="8">
        <f>Z10</f>
        <v>6.7833333333333343E-2</v>
      </c>
      <c r="AB10" s="9">
        <f t="shared" ref="AB10:AJ11" si="5">AA10</f>
        <v>6.7833333333333343E-2</v>
      </c>
      <c r="AC10" s="9">
        <f t="shared" si="5"/>
        <v>6.7833333333333343E-2</v>
      </c>
      <c r="AD10" s="9">
        <f t="shared" si="5"/>
        <v>6.7833333333333343E-2</v>
      </c>
      <c r="AE10" s="9">
        <f t="shared" si="5"/>
        <v>6.7833333333333343E-2</v>
      </c>
      <c r="AF10" s="9">
        <f t="shared" si="5"/>
        <v>6.7833333333333343E-2</v>
      </c>
      <c r="AG10" s="9">
        <f t="shared" si="5"/>
        <v>6.7833333333333343E-2</v>
      </c>
      <c r="AH10" s="9">
        <f t="shared" si="5"/>
        <v>6.7833333333333343E-2</v>
      </c>
      <c r="AI10" s="9">
        <f t="shared" si="5"/>
        <v>6.7833333333333343E-2</v>
      </c>
      <c r="AJ10" s="25">
        <f t="shared" si="5"/>
        <v>6.7833333333333343E-2</v>
      </c>
      <c r="AL10" s="1" t="s">
        <v>42</v>
      </c>
      <c r="AM10" s="10"/>
      <c r="AN10" s="48">
        <f>$AM1</f>
        <v>4603</v>
      </c>
      <c r="AO10" s="49">
        <f t="shared" ref="AO10:AW10" si="6">AN10+AN10*$AM2</f>
        <v>4869.5137000000004</v>
      </c>
      <c r="AP10" s="49">
        <f t="shared" si="6"/>
        <v>5151.4585432300009</v>
      </c>
      <c r="AQ10" s="49">
        <f t="shared" si="6"/>
        <v>5449.7279928830176</v>
      </c>
      <c r="AR10" s="49">
        <f t="shared" si="6"/>
        <v>5765.2672436709445</v>
      </c>
      <c r="AS10" s="49">
        <f t="shared" si="6"/>
        <v>6099.0762170794924</v>
      </c>
      <c r="AT10" s="49">
        <f t="shared" si="6"/>
        <v>6452.2127300483953</v>
      </c>
      <c r="AU10" s="49">
        <f t="shared" si="6"/>
        <v>6825.7958471181973</v>
      </c>
      <c r="AV10" s="49">
        <f t="shared" si="6"/>
        <v>7221.0094266663409</v>
      </c>
      <c r="AW10" s="49">
        <f t="shared" si="6"/>
        <v>7639.1058724703216</v>
      </c>
      <c r="AX10" s="50">
        <f>$AM4*AW10</f>
        <v>114586.58808705483</v>
      </c>
      <c r="AY10" s="51"/>
      <c r="AZ10" s="49"/>
      <c r="BA10" s="10"/>
    </row>
    <row r="11" spans="1:53" x14ac:dyDescent="0.25">
      <c r="A11" t="s">
        <v>48</v>
      </c>
      <c r="B11" s="58" t="s">
        <v>150</v>
      </c>
      <c r="Y11" s="18" t="s">
        <v>14</v>
      </c>
      <c r="Z11">
        <f>Z3</f>
        <v>0.15</v>
      </c>
      <c r="AA11" s="26">
        <f t="shared" ref="AA11:AJ12" si="7">Z11</f>
        <v>0.15</v>
      </c>
      <c r="AB11" s="27">
        <f t="shared" si="5"/>
        <v>0.15</v>
      </c>
      <c r="AC11" s="27">
        <f t="shared" si="5"/>
        <v>0.15</v>
      </c>
      <c r="AD11" s="27">
        <f t="shared" si="5"/>
        <v>0.15</v>
      </c>
      <c r="AE11" s="27">
        <f t="shared" si="5"/>
        <v>0.15</v>
      </c>
      <c r="AF11" s="27">
        <f t="shared" si="5"/>
        <v>0.15</v>
      </c>
      <c r="AG11" s="27">
        <f t="shared" si="5"/>
        <v>0.15</v>
      </c>
      <c r="AH11" s="27">
        <f t="shared" si="5"/>
        <v>0.15</v>
      </c>
      <c r="AI11" s="27">
        <f t="shared" si="5"/>
        <v>0.15</v>
      </c>
      <c r="AJ11" s="28">
        <f t="shared" si="5"/>
        <v>0.15</v>
      </c>
      <c r="AL11" s="5" t="s">
        <v>43</v>
      </c>
      <c r="AM11" s="7"/>
      <c r="AN11" s="52">
        <f>AN10/(1+$AM3)</f>
        <v>4002.6086956521744</v>
      </c>
      <c r="AO11" s="53">
        <f t="shared" ref="AO11:AW11" si="8">(1+$AM2)*AN11/(1+$AM3)</f>
        <v>3682.0519470699442</v>
      </c>
      <c r="AP11" s="53">
        <f t="shared" si="8"/>
        <v>3387.1676128741692</v>
      </c>
      <c r="AQ11" s="53">
        <f t="shared" si="8"/>
        <v>3115.8996675300732</v>
      </c>
      <c r="AR11" s="53">
        <f t="shared" si="8"/>
        <v>2866.3567463304912</v>
      </c>
      <c r="AS11" s="53">
        <f t="shared" si="8"/>
        <v>2636.7989582113278</v>
      </c>
      <c r="AT11" s="53">
        <f t="shared" si="8"/>
        <v>2425.6257546884904</v>
      </c>
      <c r="AU11" s="53">
        <f t="shared" si="8"/>
        <v>2231.3647703347428</v>
      </c>
      <c r="AV11" s="53">
        <f t="shared" si="8"/>
        <v>2052.661556988804</v>
      </c>
      <c r="AW11" s="53">
        <f t="shared" si="8"/>
        <v>1888.2701401203965</v>
      </c>
      <c r="AX11" s="54">
        <f>AX10/(1+AM3)^AX8</f>
        <v>28324.052101805944</v>
      </c>
      <c r="AY11" s="53">
        <f>SUM(AN11:AX11)</f>
        <v>56612.857951606551</v>
      </c>
      <c r="AZ11" s="53">
        <f>AY11+AM5</f>
        <v>65684.857951606551</v>
      </c>
      <c r="BA11" s="55">
        <f>AZ11/AM6</f>
        <v>426.5250516338088</v>
      </c>
    </row>
    <row r="12" spans="1:53" x14ac:dyDescent="0.25">
      <c r="A12" t="s">
        <v>65</v>
      </c>
      <c r="B12" s="92"/>
      <c r="Y12" s="5" t="s">
        <v>15</v>
      </c>
      <c r="Z12" s="7">
        <f>Z4</f>
        <v>17.7</v>
      </c>
      <c r="AA12" s="30">
        <f t="shared" si="7"/>
        <v>17.7</v>
      </c>
      <c r="AB12" s="31">
        <f t="shared" si="7"/>
        <v>17.7</v>
      </c>
      <c r="AC12" s="31">
        <f t="shared" si="7"/>
        <v>17.7</v>
      </c>
      <c r="AD12" s="31">
        <f t="shared" si="7"/>
        <v>17.7</v>
      </c>
      <c r="AE12" s="31">
        <f t="shared" si="7"/>
        <v>17.7</v>
      </c>
      <c r="AF12" s="31">
        <f t="shared" si="7"/>
        <v>17.7</v>
      </c>
      <c r="AG12" s="31">
        <f t="shared" si="7"/>
        <v>17.7</v>
      </c>
      <c r="AH12" s="31">
        <f t="shared" si="7"/>
        <v>17.7</v>
      </c>
      <c r="AI12" s="31">
        <f t="shared" si="7"/>
        <v>17.7</v>
      </c>
      <c r="AJ12" s="32">
        <f t="shared" si="7"/>
        <v>17.7</v>
      </c>
    </row>
    <row r="13" spans="1:53" x14ac:dyDescent="0.25">
      <c r="Y13" s="1" t="s">
        <v>16</v>
      </c>
      <c r="Z13">
        <f>Z5</f>
        <v>38.22</v>
      </c>
      <c r="AA13" s="34">
        <f>Z13</f>
        <v>38.22</v>
      </c>
      <c r="AB13" s="35">
        <f t="shared" ref="AB13:AJ13" si="9">AA13*(1+$Z10)</f>
        <v>40.81259</v>
      </c>
      <c r="AC13" s="35">
        <f t="shared" si="9"/>
        <v>43.581044021666671</v>
      </c>
      <c r="AD13" s="35">
        <f t="shared" si="9"/>
        <v>46.537291507803062</v>
      </c>
      <c r="AE13" s="35">
        <f t="shared" si="9"/>
        <v>49.694071115082373</v>
      </c>
      <c r="AF13" s="35">
        <f t="shared" si="9"/>
        <v>53.064985605722129</v>
      </c>
      <c r="AG13" s="35">
        <f t="shared" si="9"/>
        <v>56.664560462643614</v>
      </c>
      <c r="AH13" s="35">
        <f t="shared" si="9"/>
        <v>60.508306480692944</v>
      </c>
      <c r="AI13" s="35">
        <f t="shared" si="9"/>
        <v>64.612786603633282</v>
      </c>
      <c r="AJ13" s="36">
        <f t="shared" si="9"/>
        <v>68.995687294913083</v>
      </c>
      <c r="AL13" s="1" t="s">
        <v>35</v>
      </c>
      <c r="AM13" s="72">
        <f>AM1</f>
        <v>4603</v>
      </c>
      <c r="AN13" s="42"/>
      <c r="AO13" s="42"/>
      <c r="AP13" s="42"/>
      <c r="AQ13" s="42"/>
      <c r="AR13" s="42"/>
      <c r="AS13" s="42"/>
      <c r="AT13" s="42"/>
      <c r="AU13" s="42"/>
      <c r="AV13" s="42"/>
      <c r="AW13" s="42"/>
      <c r="AX13" s="42"/>
      <c r="AY13" s="42"/>
      <c r="AZ13" s="42"/>
      <c r="BA13" s="10"/>
    </row>
    <row r="14" spans="1:53" ht="18.75" x14ac:dyDescent="0.3">
      <c r="A14" s="56" t="s">
        <v>29</v>
      </c>
      <c r="Y14" s="5" t="s">
        <v>19</v>
      </c>
      <c r="Z14" s="37">
        <f>AA14</f>
        <v>347.1479846875074</v>
      </c>
      <c r="AA14" s="38">
        <f t="shared" ref="AA14:AI14" si="10">AB14/(1+$Z11)</f>
        <v>347.1479846875074</v>
      </c>
      <c r="AB14" s="38">
        <f t="shared" si="10"/>
        <v>399.22018239063345</v>
      </c>
      <c r="AC14" s="38">
        <f t="shared" si="10"/>
        <v>459.10320974922843</v>
      </c>
      <c r="AD14" s="38">
        <f t="shared" si="10"/>
        <v>527.96869121161262</v>
      </c>
      <c r="AE14" s="38">
        <f t="shared" si="10"/>
        <v>607.16399489335447</v>
      </c>
      <c r="AF14" s="38">
        <f t="shared" si="10"/>
        <v>698.2385941273576</v>
      </c>
      <c r="AG14" s="38">
        <f t="shared" si="10"/>
        <v>802.97438324646123</v>
      </c>
      <c r="AH14" s="38">
        <f t="shared" si="10"/>
        <v>923.42054073343036</v>
      </c>
      <c r="AI14" s="38">
        <f t="shared" si="10"/>
        <v>1061.9336218434448</v>
      </c>
      <c r="AJ14" s="39">
        <f>AJ13*$Z12</f>
        <v>1221.2236651199614</v>
      </c>
      <c r="AL14" s="18" t="s">
        <v>36</v>
      </c>
      <c r="AM14" s="68">
        <f>Z10</f>
        <v>6.7833333333333343E-2</v>
      </c>
      <c r="BA14" s="17"/>
    </row>
    <row r="15" spans="1:53" x14ac:dyDescent="0.25">
      <c r="A15" s="43" t="s">
        <v>32</v>
      </c>
      <c r="B15" s="18" t="s">
        <v>0</v>
      </c>
      <c r="C15" t="s">
        <v>1</v>
      </c>
      <c r="D15" t="s">
        <v>2</v>
      </c>
      <c r="E15" t="s">
        <v>3</v>
      </c>
      <c r="AL15" s="18" t="s">
        <v>37</v>
      </c>
      <c r="AM15" s="69">
        <f>AM3</f>
        <v>0.15</v>
      </c>
      <c r="BA15" s="17"/>
    </row>
    <row r="16" spans="1:53" x14ac:dyDescent="0.25">
      <c r="A16" t="s">
        <v>52</v>
      </c>
      <c r="B16" t="s">
        <v>4</v>
      </c>
      <c r="C16" t="s">
        <v>4</v>
      </c>
      <c r="D16" t="s">
        <v>4</v>
      </c>
      <c r="E16" t="s">
        <v>5</v>
      </c>
      <c r="Y16" s="21" t="s">
        <v>61</v>
      </c>
      <c r="Z16" s="22"/>
      <c r="AA16" s="21">
        <v>2021</v>
      </c>
      <c r="AB16" s="23">
        <v>2022</v>
      </c>
      <c r="AC16" s="23">
        <v>2023</v>
      </c>
      <c r="AD16" s="23">
        <v>2024</v>
      </c>
      <c r="AE16" s="23">
        <v>2025</v>
      </c>
      <c r="AF16" s="23">
        <v>2026</v>
      </c>
      <c r="AG16" s="23">
        <v>2027</v>
      </c>
      <c r="AH16" s="23">
        <v>2028</v>
      </c>
      <c r="AI16" s="23">
        <v>2029</v>
      </c>
      <c r="AJ16" s="24">
        <v>2030</v>
      </c>
      <c r="AL16" s="18" t="s">
        <v>38</v>
      </c>
      <c r="AM16" s="69">
        <f>AM4</f>
        <v>15</v>
      </c>
      <c r="BA16" s="17"/>
    </row>
    <row r="17" spans="1:53" x14ac:dyDescent="0.25">
      <c r="A17" t="s">
        <v>23</v>
      </c>
      <c r="B17" s="16">
        <f t="shared" ref="B17:D21" si="11">I3</f>
        <v>0.10495454545454544</v>
      </c>
      <c r="C17" s="16">
        <f t="shared" si="11"/>
        <v>0.12809999999999999</v>
      </c>
      <c r="D17" s="16">
        <f t="shared" si="11"/>
        <v>0.1338</v>
      </c>
      <c r="Y17" s="1" t="s">
        <v>13</v>
      </c>
      <c r="Z17" s="60">
        <f>MAX(Table1563[])</f>
        <v>8.14E-2</v>
      </c>
      <c r="AA17" s="8">
        <f>Z17</f>
        <v>8.14E-2</v>
      </c>
      <c r="AB17" s="9">
        <f t="shared" ref="AB17:AJ18" si="12">AA17</f>
        <v>8.14E-2</v>
      </c>
      <c r="AC17" s="9">
        <f t="shared" si="12"/>
        <v>8.14E-2</v>
      </c>
      <c r="AD17" s="9">
        <f t="shared" si="12"/>
        <v>8.14E-2</v>
      </c>
      <c r="AE17" s="9">
        <f t="shared" si="12"/>
        <v>8.14E-2</v>
      </c>
      <c r="AF17" s="9">
        <f t="shared" si="12"/>
        <v>8.14E-2</v>
      </c>
      <c r="AG17" s="9">
        <f t="shared" si="12"/>
        <v>8.14E-2</v>
      </c>
      <c r="AH17" s="9">
        <f t="shared" si="12"/>
        <v>8.14E-2</v>
      </c>
      <c r="AI17" s="9">
        <f t="shared" si="12"/>
        <v>8.14E-2</v>
      </c>
      <c r="AJ17" s="25">
        <f t="shared" si="12"/>
        <v>8.14E-2</v>
      </c>
      <c r="AL17" s="18" t="s">
        <v>39</v>
      </c>
      <c r="AM17" s="69">
        <f>AM5</f>
        <v>9072</v>
      </c>
      <c r="BA17" s="17"/>
    </row>
    <row r="18" spans="1:53" ht="15.75" thickBot="1" x14ac:dyDescent="0.3">
      <c r="A18" t="s">
        <v>24</v>
      </c>
      <c r="B18" s="16">
        <f t="shared" si="11"/>
        <v>5.7900000000000007E-2</v>
      </c>
      <c r="C18" s="16">
        <f t="shared" si="11"/>
        <v>6.5399999999999986E-2</v>
      </c>
      <c r="D18" s="16">
        <f t="shared" si="11"/>
        <v>9.2999999999999999E-2</v>
      </c>
      <c r="Y18" s="18" t="s">
        <v>14</v>
      </c>
      <c r="Z18">
        <f>Z3</f>
        <v>0.15</v>
      </c>
      <c r="AA18" s="26">
        <f t="shared" ref="AA18:AJ19" si="13">Z18</f>
        <v>0.15</v>
      </c>
      <c r="AB18" s="27">
        <f t="shared" si="12"/>
        <v>0.15</v>
      </c>
      <c r="AC18" s="27">
        <f t="shared" si="12"/>
        <v>0.15</v>
      </c>
      <c r="AD18" s="27">
        <f t="shared" si="12"/>
        <v>0.15</v>
      </c>
      <c r="AE18" s="27">
        <f t="shared" si="12"/>
        <v>0.15</v>
      </c>
      <c r="AF18" s="27">
        <f t="shared" si="12"/>
        <v>0.15</v>
      </c>
      <c r="AG18" s="27">
        <f t="shared" si="12"/>
        <v>0.15</v>
      </c>
      <c r="AH18" s="27">
        <f t="shared" si="12"/>
        <v>0.15</v>
      </c>
      <c r="AI18" s="27">
        <f t="shared" si="12"/>
        <v>0.15</v>
      </c>
      <c r="AJ18" s="28">
        <f t="shared" si="12"/>
        <v>0.15</v>
      </c>
      <c r="AL18" s="5" t="s">
        <v>40</v>
      </c>
      <c r="AM18" s="70">
        <f>AM6</f>
        <v>154</v>
      </c>
      <c r="BA18" s="17"/>
    </row>
    <row r="19" spans="1:53" ht="15.75" thickBot="1" x14ac:dyDescent="0.3">
      <c r="A19" t="s">
        <v>25</v>
      </c>
      <c r="B19" s="16">
        <f t="shared" si="11"/>
        <v>0.13240000000000002</v>
      </c>
      <c r="C19" s="16">
        <f t="shared" si="11"/>
        <v>0.17120000000000002</v>
      </c>
      <c r="D19" s="16">
        <f t="shared" si="11"/>
        <v>0.2</v>
      </c>
      <c r="M19" s="88"/>
      <c r="N19" s="88"/>
      <c r="O19" s="88"/>
      <c r="P19" s="88"/>
      <c r="Q19" s="88"/>
      <c r="R19" s="88"/>
      <c r="S19" s="88"/>
      <c r="T19" s="88"/>
      <c r="U19" s="88"/>
      <c r="V19" s="88"/>
      <c r="W19" s="89"/>
      <c r="Y19" s="5" t="s">
        <v>15</v>
      </c>
      <c r="Z19" s="7">
        <f>Z4</f>
        <v>17.7</v>
      </c>
      <c r="AA19" s="30">
        <f t="shared" si="13"/>
        <v>17.7</v>
      </c>
      <c r="AB19" s="31">
        <f t="shared" si="13"/>
        <v>17.7</v>
      </c>
      <c r="AC19" s="31">
        <f t="shared" si="13"/>
        <v>17.7</v>
      </c>
      <c r="AD19" s="31">
        <f t="shared" si="13"/>
        <v>17.7</v>
      </c>
      <c r="AE19" s="31">
        <f t="shared" si="13"/>
        <v>17.7</v>
      </c>
      <c r="AF19" s="31">
        <f t="shared" si="13"/>
        <v>17.7</v>
      </c>
      <c r="AG19" s="31">
        <f t="shared" si="13"/>
        <v>17.7</v>
      </c>
      <c r="AH19" s="31">
        <f t="shared" si="13"/>
        <v>17.7</v>
      </c>
      <c r="AI19" s="31">
        <f t="shared" si="13"/>
        <v>17.7</v>
      </c>
      <c r="AJ19" s="32">
        <f t="shared" si="13"/>
        <v>17.7</v>
      </c>
      <c r="AL19" s="18"/>
      <c r="BA19" s="17"/>
    </row>
    <row r="20" spans="1:53" x14ac:dyDescent="0.25">
      <c r="A20" t="s">
        <v>26</v>
      </c>
      <c r="B20" s="16">
        <f t="shared" si="11"/>
        <v>8.2099999999999992E-2</v>
      </c>
      <c r="C20" s="16">
        <f t="shared" si="11"/>
        <v>9.7599999999999992E-2</v>
      </c>
      <c r="D20" s="16">
        <f t="shared" si="11"/>
        <v>0.19600000000000001</v>
      </c>
      <c r="Y20" s="1" t="s">
        <v>16</v>
      </c>
      <c r="Z20">
        <f>Z5</f>
        <v>38.22</v>
      </c>
      <c r="AA20" s="34">
        <f>Z20</f>
        <v>38.22</v>
      </c>
      <c r="AB20" s="35">
        <f t="shared" ref="AB20:AJ20" si="14">AA20*(1+$Z17)</f>
        <v>41.331107999999993</v>
      </c>
      <c r="AC20" s="35">
        <f t="shared" si="14"/>
        <v>44.695460191199992</v>
      </c>
      <c r="AD20" s="35">
        <f t="shared" si="14"/>
        <v>48.333670650763665</v>
      </c>
      <c r="AE20" s="35">
        <f t="shared" si="14"/>
        <v>52.268031441735822</v>
      </c>
      <c r="AF20" s="35">
        <f t="shared" si="14"/>
        <v>56.522649201093117</v>
      </c>
      <c r="AG20" s="35">
        <f t="shared" si="14"/>
        <v>61.123592846062088</v>
      </c>
      <c r="AH20" s="35">
        <f t="shared" si="14"/>
        <v>66.099053303731537</v>
      </c>
      <c r="AI20" s="35">
        <f t="shared" si="14"/>
        <v>71.479516242655279</v>
      </c>
      <c r="AJ20" s="36">
        <f t="shared" si="14"/>
        <v>77.29794886480741</v>
      </c>
      <c r="AL20" s="21"/>
      <c r="AM20" s="24"/>
      <c r="AN20" s="21">
        <v>1</v>
      </c>
      <c r="AO20" s="23">
        <v>2</v>
      </c>
      <c r="AP20" s="23">
        <v>3</v>
      </c>
      <c r="AQ20" s="23">
        <v>4</v>
      </c>
      <c r="AR20" s="23">
        <v>5</v>
      </c>
      <c r="AS20" s="23">
        <v>6</v>
      </c>
      <c r="AT20" s="23">
        <v>7</v>
      </c>
      <c r="AU20" s="23">
        <v>8</v>
      </c>
      <c r="AV20" s="23">
        <v>9</v>
      </c>
      <c r="AW20" s="23">
        <v>10</v>
      </c>
      <c r="AX20" s="24">
        <v>10</v>
      </c>
      <c r="AY20" s="46" t="s">
        <v>41</v>
      </c>
      <c r="AZ20" s="46" t="s">
        <v>62</v>
      </c>
      <c r="BA20" s="47" t="s">
        <v>63</v>
      </c>
    </row>
    <row r="21" spans="1:53" x14ac:dyDescent="0.25">
      <c r="A21" t="s">
        <v>27</v>
      </c>
      <c r="B21" s="16">
        <f t="shared" si="11"/>
        <v>0.11610000000000001</v>
      </c>
      <c r="C21" s="16">
        <f t="shared" si="11"/>
        <v>0.2298</v>
      </c>
      <c r="D21" s="16">
        <f t="shared" si="11"/>
        <v>0.29699999999999999</v>
      </c>
      <c r="Y21" s="5" t="s">
        <v>19</v>
      </c>
      <c r="Z21" s="37">
        <f>AA21</f>
        <v>388.92035460416804</v>
      </c>
      <c r="AA21" s="38">
        <f t="shared" ref="AA21:AI21" si="15">AB21/(1+$Z18)</f>
        <v>388.92035460416804</v>
      </c>
      <c r="AB21" s="38">
        <f t="shared" si="15"/>
        <v>447.25840779479324</v>
      </c>
      <c r="AC21" s="38">
        <f t="shared" si="15"/>
        <v>514.34716896401221</v>
      </c>
      <c r="AD21" s="38">
        <f t="shared" si="15"/>
        <v>591.49924430861404</v>
      </c>
      <c r="AE21" s="38">
        <f t="shared" si="15"/>
        <v>680.22413095490606</v>
      </c>
      <c r="AF21" s="38">
        <f t="shared" si="15"/>
        <v>782.25775059814191</v>
      </c>
      <c r="AG21" s="38">
        <f t="shared" si="15"/>
        <v>899.59641318786316</v>
      </c>
      <c r="AH21" s="38">
        <f t="shared" si="15"/>
        <v>1034.5358751660426</v>
      </c>
      <c r="AI21" s="38">
        <f t="shared" si="15"/>
        <v>1189.7162564409489</v>
      </c>
      <c r="AJ21" s="39">
        <f>AJ20*$Z19</f>
        <v>1368.1736949070912</v>
      </c>
      <c r="AL21" s="1" t="s">
        <v>42</v>
      </c>
      <c r="AM21" s="10"/>
      <c r="AN21" s="48">
        <f>$AM13</f>
        <v>4603</v>
      </c>
      <c r="AO21" s="49">
        <f t="shared" ref="AO21:AW21" si="16">AN21+AN21*$AM14</f>
        <v>4915.2368333333334</v>
      </c>
      <c r="AP21" s="49">
        <f t="shared" si="16"/>
        <v>5248.6537318611108</v>
      </c>
      <c r="AQ21" s="49">
        <f t="shared" si="16"/>
        <v>5604.6874100056893</v>
      </c>
      <c r="AR21" s="49">
        <f t="shared" si="16"/>
        <v>5984.8720393177418</v>
      </c>
      <c r="AS21" s="49">
        <f t="shared" si="16"/>
        <v>6390.8458593181285</v>
      </c>
      <c r="AT21" s="49">
        <f t="shared" si="16"/>
        <v>6824.3582367752078</v>
      </c>
      <c r="AU21" s="49">
        <f t="shared" si="16"/>
        <v>7287.2772038364592</v>
      </c>
      <c r="AV21" s="49">
        <f t="shared" si="16"/>
        <v>7781.5975074966991</v>
      </c>
      <c r="AW21" s="49">
        <f t="shared" si="16"/>
        <v>8309.4492050885583</v>
      </c>
      <c r="AX21" s="50">
        <f>$AM16*AW21</f>
        <v>124641.73807632837</v>
      </c>
      <c r="AY21" s="51"/>
      <c r="AZ21" s="49"/>
      <c r="BA21" s="10"/>
    </row>
    <row r="22" spans="1:53" x14ac:dyDescent="0.25">
      <c r="A22" t="s">
        <v>28</v>
      </c>
      <c r="E22" s="57">
        <f>L8</f>
        <v>1.41</v>
      </c>
      <c r="AL22" s="5" t="s">
        <v>43</v>
      </c>
      <c r="AM22" s="7"/>
      <c r="AN22" s="52">
        <f>AN21/(1+$AM15)</f>
        <v>4002.6086956521744</v>
      </c>
      <c r="AO22" s="53">
        <f t="shared" ref="AO22:AW22" si="17">(1+$AM14)*AN22/(1+$AM15)</f>
        <v>3716.6252047889107</v>
      </c>
      <c r="AP22" s="53">
        <f t="shared" si="17"/>
        <v>3451.0750271134139</v>
      </c>
      <c r="AQ22" s="53">
        <f t="shared" si="17"/>
        <v>3204.4982172051659</v>
      </c>
      <c r="AR22" s="53">
        <f t="shared" si="17"/>
        <v>2975.5391416860148</v>
      </c>
      <c r="AS22" s="53">
        <f t="shared" si="17"/>
        <v>2762.939026200333</v>
      </c>
      <c r="AT22" s="53">
        <f t="shared" si="17"/>
        <v>2565.5290349080487</v>
      </c>
      <c r="AU22" s="53">
        <f t="shared" si="17"/>
        <v>2382.2238444428799</v>
      </c>
      <c r="AV22" s="53">
        <f t="shared" si="17"/>
        <v>2212.0156770065992</v>
      </c>
      <c r="AW22" s="53">
        <f t="shared" si="17"/>
        <v>2053.9687597943889</v>
      </c>
      <c r="AX22" s="54">
        <f>AX21/(1+AM15)^AX20</f>
        <v>30809.531396915809</v>
      </c>
      <c r="AY22" s="53">
        <f>SUM(AN22:AX22)</f>
        <v>60136.55402571374</v>
      </c>
      <c r="AZ22" s="53">
        <f>AY22+AM17</f>
        <v>69208.554025713733</v>
      </c>
      <c r="BA22" s="55">
        <f>AZ22/AM18</f>
        <v>449.4061949721671</v>
      </c>
    </row>
    <row r="23" spans="1:53" x14ac:dyDescent="0.25">
      <c r="AN23" s="75"/>
      <c r="AO23" s="75"/>
      <c r="AP23" s="75"/>
      <c r="AQ23" s="75"/>
      <c r="AR23" s="75"/>
      <c r="AS23" s="75"/>
      <c r="AT23" s="75"/>
      <c r="AU23" s="75"/>
      <c r="AV23" s="75"/>
      <c r="AW23" s="75"/>
      <c r="AX23" s="75"/>
      <c r="AY23" s="75"/>
      <c r="AZ23" s="75"/>
      <c r="BA23" s="76"/>
    </row>
    <row r="24" spans="1:53" ht="18.75" x14ac:dyDescent="0.3">
      <c r="A24" s="56" t="s">
        <v>30</v>
      </c>
      <c r="AL24" s="1" t="s">
        <v>35</v>
      </c>
      <c r="AM24" s="22">
        <f>AM1</f>
        <v>4603</v>
      </c>
      <c r="AN24" s="42"/>
      <c r="AO24" s="42"/>
      <c r="AP24" s="42"/>
      <c r="AQ24" s="42"/>
      <c r="AR24" s="42"/>
      <c r="AS24" s="42"/>
      <c r="AT24" s="42"/>
      <c r="AU24" s="42"/>
      <c r="AV24" s="42"/>
      <c r="AW24" s="42"/>
      <c r="AX24" s="42"/>
      <c r="AY24" s="42"/>
      <c r="AZ24" s="42"/>
      <c r="BA24" s="10"/>
    </row>
    <row r="25" spans="1:53" x14ac:dyDescent="0.25">
      <c r="A25" t="s">
        <v>107</v>
      </c>
      <c r="B25" t="s">
        <v>137</v>
      </c>
      <c r="C25" t="s">
        <v>138</v>
      </c>
      <c r="AL25" s="18" t="s">
        <v>36</v>
      </c>
      <c r="AM25" s="71">
        <f>Z17</f>
        <v>8.14E-2</v>
      </c>
      <c r="BA25" s="17"/>
    </row>
    <row r="26" spans="1:53" x14ac:dyDescent="0.25">
      <c r="A26" s="16">
        <f>B18</f>
        <v>5.7900000000000007E-2</v>
      </c>
      <c r="B26" s="86">
        <v>6.4199999999999993E-2</v>
      </c>
      <c r="C26" s="85">
        <v>8.14E-2</v>
      </c>
      <c r="AL26" s="18" t="s">
        <v>37</v>
      </c>
      <c r="AM26" s="69">
        <f>AM3</f>
        <v>0.15</v>
      </c>
      <c r="BA26" s="17"/>
    </row>
    <row r="27" spans="1:53" x14ac:dyDescent="0.25">
      <c r="AL27" s="18" t="s">
        <v>38</v>
      </c>
      <c r="AM27" s="69">
        <f>AM4</f>
        <v>15</v>
      </c>
      <c r="BA27" s="17"/>
    </row>
    <row r="28" spans="1:53" ht="30" x14ac:dyDescent="0.25">
      <c r="A28" t="s">
        <v>18</v>
      </c>
      <c r="B28" s="41" t="s">
        <v>20</v>
      </c>
      <c r="C28" s="41" t="s">
        <v>31</v>
      </c>
      <c r="D28" s="41" t="s">
        <v>21</v>
      </c>
      <c r="E28" s="41" t="s">
        <v>22</v>
      </c>
      <c r="F28" t="s">
        <v>126</v>
      </c>
      <c r="AL28" s="18" t="s">
        <v>39</v>
      </c>
      <c r="AM28" s="69">
        <f>AM5</f>
        <v>9072</v>
      </c>
      <c r="BA28" s="17"/>
    </row>
    <row r="29" spans="1:53" x14ac:dyDescent="0.25">
      <c r="A29" s="16">
        <f>MIN(Table1563[])</f>
        <v>5.7900000000000007E-2</v>
      </c>
      <c r="B29" s="73">
        <f>Z6</f>
        <v>319.14271848711684</v>
      </c>
      <c r="C29" s="63">
        <f>1-$B$6/Table160[[#This Row],[Fair Value
Method 1]]</f>
        <v>-1.1025076278752288</v>
      </c>
      <c r="D29" s="66">
        <f>BA11</f>
        <v>426.5250516338088</v>
      </c>
      <c r="E29" s="63">
        <f>1-$B$6/Table160[[#This Row],[Fair Value 
Method 2]]</f>
        <v>-0.57317840401103592</v>
      </c>
      <c r="F29" s="63">
        <f>AVERAGE(Table160[[#This Row],[MOS
Method 1]],Table160[[#This Row],[MOS 
Method 2]])</f>
        <v>-0.83784301594313237</v>
      </c>
      <c r="AL29" s="5" t="s">
        <v>40</v>
      </c>
      <c r="AM29" s="70">
        <f>AM6</f>
        <v>154</v>
      </c>
      <c r="BA29" s="17"/>
    </row>
    <row r="30" spans="1:53" x14ac:dyDescent="0.25">
      <c r="A30" s="61">
        <f>AVERAGE(Table1563[])</f>
        <v>6.7833333333333343E-2</v>
      </c>
      <c r="B30" s="73">
        <f>Z14</f>
        <v>347.1479846875074</v>
      </c>
      <c r="C30" s="63">
        <f>1-$B$6/Table160[[#This Row],[Fair Value
Method 1]]</f>
        <v>-0.93289326050391685</v>
      </c>
      <c r="D30" s="66">
        <f>BA22</f>
        <v>449.4061949721671</v>
      </c>
      <c r="E30" s="63">
        <f>1-$B$6/Table160[[#This Row],[Fair Value 
Method 2]]</f>
        <v>-0.4930813315592073</v>
      </c>
      <c r="F30" s="63">
        <f>AVERAGE(Table160[[#This Row],[MOS
Method 1]],Table160[[#This Row],[MOS 
Method 2]])</f>
        <v>-0.71298729603156208</v>
      </c>
      <c r="AL30" s="18"/>
      <c r="BA30" s="17"/>
    </row>
    <row r="31" spans="1:53" x14ac:dyDescent="0.25">
      <c r="A31" s="61">
        <f>MAX(Table1563[])</f>
        <v>8.14E-2</v>
      </c>
      <c r="B31" s="73">
        <f>Z21</f>
        <v>388.92035460416804</v>
      </c>
      <c r="C31" s="63">
        <f>1-$B$6/Table160[[#This Row],[Fair Value
Method 1]]</f>
        <v>-0.72528897512428858</v>
      </c>
      <c r="D31" s="66">
        <f>BA33</f>
        <v>483.20400096461657</v>
      </c>
      <c r="E31" s="63">
        <f>1-$B$6/Table160[[#This Row],[Fair Value 
Method 2]]</f>
        <v>-0.38864744219933534</v>
      </c>
      <c r="F31" s="63">
        <f>AVERAGE(Table160[[#This Row],[MOS
Method 1]],Table160[[#This Row],[MOS 
Method 2]])</f>
        <v>-0.55696820866181196</v>
      </c>
      <c r="AL31" s="21"/>
      <c r="AM31" s="24"/>
      <c r="AN31" s="21">
        <v>1</v>
      </c>
      <c r="AO31" s="23">
        <v>2</v>
      </c>
      <c r="AP31" s="23">
        <v>3</v>
      </c>
      <c r="AQ31" s="23">
        <v>4</v>
      </c>
      <c r="AR31" s="23">
        <v>5</v>
      </c>
      <c r="AS31" s="23">
        <v>6</v>
      </c>
      <c r="AT31" s="23">
        <v>7</v>
      </c>
      <c r="AU31" s="23">
        <v>8</v>
      </c>
      <c r="AV31" s="23">
        <v>9</v>
      </c>
      <c r="AW31" s="23">
        <v>10</v>
      </c>
      <c r="AX31" s="24">
        <v>10</v>
      </c>
      <c r="AY31" s="46" t="s">
        <v>41</v>
      </c>
      <c r="AZ31" s="46" t="s">
        <v>62</v>
      </c>
      <c r="BA31" s="47" t="s">
        <v>63</v>
      </c>
    </row>
    <row r="32" spans="1:53" x14ac:dyDescent="0.25">
      <c r="AL32" s="1" t="s">
        <v>42</v>
      </c>
      <c r="AM32" s="10"/>
      <c r="AN32" s="48">
        <f>$AM24</f>
        <v>4603</v>
      </c>
      <c r="AO32" s="49">
        <f t="shared" ref="AO32:AW32" si="18">AN32+AN32*$AM25</f>
        <v>4977.6841999999997</v>
      </c>
      <c r="AP32" s="49">
        <f t="shared" si="18"/>
        <v>5382.8676938799999</v>
      </c>
      <c r="AQ32" s="49">
        <f t="shared" si="18"/>
        <v>5821.0331241618323</v>
      </c>
      <c r="AR32" s="49">
        <f t="shared" si="18"/>
        <v>6294.8652204686059</v>
      </c>
      <c r="AS32" s="49">
        <f t="shared" si="18"/>
        <v>6807.26724941475</v>
      </c>
      <c r="AT32" s="49">
        <f t="shared" si="18"/>
        <v>7361.378803517111</v>
      </c>
      <c r="AU32" s="49">
        <f t="shared" si="18"/>
        <v>7960.5950381234034</v>
      </c>
      <c r="AV32" s="49">
        <f t="shared" si="18"/>
        <v>8608.5874742266478</v>
      </c>
      <c r="AW32" s="49">
        <f t="shared" si="18"/>
        <v>9309.3264946286963</v>
      </c>
      <c r="AX32" s="50">
        <f>$AM27*AW32</f>
        <v>139639.89741943043</v>
      </c>
      <c r="AY32" s="51"/>
      <c r="AZ32" s="49"/>
      <c r="BA32" s="10"/>
    </row>
    <row r="33" spans="1:53" ht="18.75" x14ac:dyDescent="0.3">
      <c r="A33" s="56" t="s">
        <v>64</v>
      </c>
      <c r="AL33" s="5" t="s">
        <v>43</v>
      </c>
      <c r="AM33" s="7"/>
      <c r="AN33" s="52">
        <f>AN32/(1+$AM26)</f>
        <v>4002.6086956521744</v>
      </c>
      <c r="AO33" s="53">
        <f t="shared" ref="AO33:AW33" si="19">(1+$AM25)*AN33/(1+$AM26)</f>
        <v>3763.8443856332706</v>
      </c>
      <c r="AP33" s="53">
        <f t="shared" si="19"/>
        <v>3539.3228857598424</v>
      </c>
      <c r="AQ33" s="53">
        <f t="shared" si="19"/>
        <v>3328.1945814440815</v>
      </c>
      <c r="AR33" s="53">
        <f t="shared" si="19"/>
        <v>3129.6605394553299</v>
      </c>
      <c r="AS33" s="53">
        <f t="shared" si="19"/>
        <v>2942.9694846669508</v>
      </c>
      <c r="AT33" s="53">
        <f t="shared" si="19"/>
        <v>2767.4149571468179</v>
      </c>
      <c r="AU33" s="53">
        <f t="shared" si="19"/>
        <v>2602.3326388335381</v>
      </c>
      <c r="AV33" s="53">
        <f t="shared" si="19"/>
        <v>2447.0978396822507</v>
      </c>
      <c r="AW33" s="53">
        <f t="shared" si="19"/>
        <v>2301.1231337672921</v>
      </c>
      <c r="AX33" s="54">
        <f>AX32/(1+AM26)^AX31</f>
        <v>34516.847006509408</v>
      </c>
      <c r="AY33" s="53">
        <f>SUM(AN33:AX33)</f>
        <v>65341.416148550954</v>
      </c>
      <c r="AZ33" s="53">
        <f>AY33+AM28</f>
        <v>74413.416148550954</v>
      </c>
      <c r="BA33" s="55">
        <f>AZ33/AM29</f>
        <v>483.20400096461657</v>
      </c>
    </row>
    <row r="34" spans="1:53" x14ac:dyDescent="0.25">
      <c r="A34" s="77" t="s">
        <v>66</v>
      </c>
    </row>
    <row r="37" spans="1:53" x14ac:dyDescent="0.25">
      <c r="D37" s="78"/>
      <c r="E37" s="78"/>
      <c r="G37" s="79"/>
    </row>
    <row r="40" spans="1:53" x14ac:dyDescent="0.25">
      <c r="D40" s="41"/>
    </row>
  </sheetData>
  <mergeCells count="11">
    <mergeCell ref="R1:R2"/>
    <mergeCell ref="M1:M2"/>
    <mergeCell ref="N1:N2"/>
    <mergeCell ref="O1:O2"/>
    <mergeCell ref="P1:P2"/>
    <mergeCell ref="Q1:Q2"/>
    <mergeCell ref="S1:S2"/>
    <mergeCell ref="T1:T2"/>
    <mergeCell ref="U1:U2"/>
    <mergeCell ref="V1:V2"/>
    <mergeCell ref="W1:W2"/>
  </mergeCells>
  <conditionalFormatting sqref="L8:L9">
    <cfRule type="cellIs" dxfId="642" priority="23" operator="greaterThan">
      <formula>3</formula>
    </cfRule>
    <cfRule type="cellIs" dxfId="641" priority="24" operator="lessThan">
      <formula>3</formula>
    </cfRule>
  </conditionalFormatting>
  <conditionalFormatting sqref="I3:K7">
    <cfRule type="cellIs" dxfId="640" priority="20" operator="between">
      <formula>0.05</formula>
      <formula>0.1</formula>
    </cfRule>
    <cfRule type="cellIs" dxfId="639" priority="21" operator="lessThan">
      <formula>0.05</formula>
    </cfRule>
    <cfRule type="cellIs" dxfId="638"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{177A35C7-78D4-45E8-AD0B-F8AE99553718}</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{8700EF08-7B1D-4950-B375-5B12E8B431EF}</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{C2A4A4A1-6AE5-4FA3-B8DB-BD616DA74A32}</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{5A8EE6B0-D921-41E3-BBEB-BFA82C0ABD2C}</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{AB886330-DC33-45DF-9114-E1D4657201E3}</x14:id>
        </ext>
      </extLst>
    </cfRule>
  </conditionalFormatting>
  <conditionalFormatting sqref="E22">
    <cfRule type="cellIs" dxfId="637" priority="13" operator="greaterThan">
      <formula>3</formula>
    </cfRule>
    <cfRule type="cellIs" dxfId="636" priority="14" operator="lessThan">
      <formula>3</formula>
    </cfRule>
  </conditionalFormatting>
  <conditionalFormatting sqref="B17:D21">
    <cfRule type="cellIs" dxfId="635" priority="10" operator="between">
      <formula>0.05</formula>
      <formula>0.1</formula>
    </cfRule>
    <cfRule type="cellIs" dxfId="634" priority="11" operator="lessThan">
      <formula>0.05</formula>
    </cfRule>
    <cfRule type="cellIs" dxfId="633" priority="12" operator="greaterThan">
      <formula>0.1</formula>
    </cfRule>
  </conditionalFormatting>
  <conditionalFormatting sqref="C29:C31">
    <cfRule type="cellIs" dxfId="632" priority="7" operator="lessThan">
      <formula>0</formula>
    </cfRule>
    <cfRule type="cellIs" dxfId="631" priority="8" operator="between">
      <formula>0</formula>
      <formula>0.3</formula>
    </cfRule>
    <cfRule type="cellIs" dxfId="630" priority="9" operator="greaterThan">
      <formula>0.3</formula>
    </cfRule>
  </conditionalFormatting>
  <conditionalFormatting sqref="E29:E31">
    <cfRule type="cellIs" dxfId="629" priority="4" operator="lessThan">
      <formula>0</formula>
    </cfRule>
    <cfRule type="cellIs" dxfId="628" priority="5" operator="between">
      <formula>0</formula>
      <formula>0.3</formula>
    </cfRule>
    <cfRule type="cellIs" dxfId="627" priority="6" operator="greaterThan">
      <formula>0.3</formula>
    </cfRule>
  </conditionalFormatting>
  <conditionalFormatting sqref="F29:F31">
    <cfRule type="cellIs" dxfId="626" priority="1" operator="lessThan">
      <formula>0</formula>
    </cfRule>
    <cfRule type="cellIs" dxfId="625" priority="2" operator="between">
      <formula>0</formula>
      <formula>0.3</formula>
    </cfRule>
    <cfRule type="cellIs" dxfId="624" priority="3" operator="greaterThan">
      <formula>0.3</formula>
    </cfRule>
  </conditionalFormatting>
  <hyperlinks>
    <hyperlink ref="A34" r:id="rId1" xr:uid="{10B40DAF-2D61-40E8-AA91-E5F6F765F72D}"/>
  </hyperlinks>
  <pageMargins left="0.7" right="0.7" top="0.75" bottom="0.75" header="0.3" footer="0.3"/>
  <pageSetup paperSize="9" orientation="portrait" r:id="rId2"/>
  <drawing r:id="rId3"/>
  <legacyDrawing r:id="rId4"/>
  <tableParts count="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dataBar" id="{177A35C7-78D4-45E8-AD0B-F8AE99553718}">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8700EF08-7B1D-4950-B375-5B12E8B431EF}">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C2A4A4A1-6AE5-4FA3-B8DB-BD616DA74A32}">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5A8EE6B0-D921-41E3-BBEB-BFA82C0ABD2C}">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AB886330-DC33-45DF-9114-E1D4657201E3}">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91AE3-FB48-41B1-97D2-DD483B1CDBD2}">
  <dimension ref="A1:BA39"/>
  <sheetViews>
    <sheetView zoomScaleNormal="100" workbookViewId="0">
      <selection activeCell="D23" sqref="D23"/>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112</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MIN(Table1539[])</f>
        <v>3.9E-2</v>
      </c>
      <c r="AA2" s="8">
        <f>Z2</f>
        <v>3.9E-2</v>
      </c>
      <c r="AB2" s="9">
        <f t="shared" ref="AB2:AJ3" si="1">AA2</f>
        <v>3.9E-2</v>
      </c>
      <c r="AC2" s="9">
        <f t="shared" si="1"/>
        <v>3.9E-2</v>
      </c>
      <c r="AD2" s="9">
        <f t="shared" si="1"/>
        <v>3.9E-2</v>
      </c>
      <c r="AE2" s="9">
        <f t="shared" si="1"/>
        <v>3.9E-2</v>
      </c>
      <c r="AF2" s="9">
        <f t="shared" si="1"/>
        <v>3.9E-2</v>
      </c>
      <c r="AG2" s="9">
        <f t="shared" si="1"/>
        <v>3.9E-2</v>
      </c>
      <c r="AH2" s="9">
        <f t="shared" si="1"/>
        <v>3.9E-2</v>
      </c>
      <c r="AI2" s="9">
        <f t="shared" si="1"/>
        <v>3.9E-2</v>
      </c>
      <c r="AJ2" s="25">
        <f t="shared" si="1"/>
        <v>3.9E-2</v>
      </c>
      <c r="AL2" s="18" t="s">
        <v>36</v>
      </c>
      <c r="AM2" s="67">
        <f>Z2</f>
        <v>3.9E-2</v>
      </c>
      <c r="BA2" s="17"/>
    </row>
    <row r="3" spans="1:53" x14ac:dyDescent="0.25">
      <c r="A3" t="s">
        <v>49</v>
      </c>
      <c r="B3" s="58" t="s">
        <v>53</v>
      </c>
      <c r="H3" s="2" t="s">
        <v>6</v>
      </c>
      <c r="I3" s="8">
        <f>AVERAGE(M3:W3)</f>
        <v>0.22494545454545456</v>
      </c>
      <c r="J3" s="9">
        <f>AVERAGE(S3:W3)</f>
        <v>0.25006</v>
      </c>
      <c r="K3" s="9">
        <f>W3</f>
        <v>0.21600000000000003</v>
      </c>
      <c r="L3" s="10" t="s">
        <v>7</v>
      </c>
      <c r="M3" s="11">
        <v>0.27500000000000002</v>
      </c>
      <c r="N3" s="12">
        <v>0.2218</v>
      </c>
      <c r="O3" s="12">
        <v>0.25159999999999999</v>
      </c>
      <c r="P3" s="12">
        <v>0.32140000000000002</v>
      </c>
      <c r="Q3" s="12">
        <v>2.7200000000000002E-2</v>
      </c>
      <c r="R3" s="12">
        <v>0.12710000000000002</v>
      </c>
      <c r="S3" s="12">
        <v>0.30399999999999999</v>
      </c>
      <c r="T3" s="12">
        <v>0.2122</v>
      </c>
      <c r="U3" s="12">
        <v>0.27529999999999999</v>
      </c>
      <c r="V3" s="12">
        <v>0.24280000000000002</v>
      </c>
      <c r="W3" s="13">
        <v>0.21600000000000003</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116</v>
      </c>
      <c r="H4" s="14" t="s">
        <v>8</v>
      </c>
      <c r="I4" s="15">
        <f>AVERAGE(M4:W4)</f>
        <v>0.16550000000000004</v>
      </c>
      <c r="J4" s="16">
        <f>AVERAGE(S4:W4)</f>
        <v>0.35560000000000003</v>
      </c>
      <c r="K4" s="16">
        <f>W4</f>
        <v>0.55100000000000005</v>
      </c>
      <c r="L4" s="17" t="s">
        <v>7</v>
      </c>
      <c r="M4" s="18" t="s">
        <v>7</v>
      </c>
      <c r="N4" s="12">
        <v>0.221</v>
      </c>
      <c r="O4" s="12">
        <v>0.14899999999999999</v>
      </c>
      <c r="P4" s="12">
        <v>8.1000000000000003E-2</v>
      </c>
      <c r="Q4" s="12">
        <v>0.14000000000000001</v>
      </c>
      <c r="R4" s="12">
        <v>-0.71399999999999997</v>
      </c>
      <c r="S4" s="12">
        <v>-0.60599999999999998</v>
      </c>
      <c r="T4" s="12">
        <v>1.597</v>
      </c>
      <c r="U4" s="12">
        <v>0.33300000000000002</v>
      </c>
      <c r="V4" s="12">
        <v>-9.7000000000000003E-2</v>
      </c>
      <c r="W4" s="13">
        <v>0.55100000000000005</v>
      </c>
      <c r="Y4" s="5" t="s">
        <v>15</v>
      </c>
      <c r="Z4" s="29">
        <v>43</v>
      </c>
      <c r="AA4" s="30">
        <f t="shared" si="2"/>
        <v>43</v>
      </c>
      <c r="AB4" s="31">
        <f t="shared" si="2"/>
        <v>43</v>
      </c>
      <c r="AC4" s="31">
        <f t="shared" si="2"/>
        <v>43</v>
      </c>
      <c r="AD4" s="31">
        <f t="shared" si="2"/>
        <v>43</v>
      </c>
      <c r="AE4" s="31">
        <f t="shared" si="2"/>
        <v>43</v>
      </c>
      <c r="AF4" s="31">
        <f t="shared" si="2"/>
        <v>43</v>
      </c>
      <c r="AG4" s="31">
        <f t="shared" si="2"/>
        <v>43</v>
      </c>
      <c r="AH4" s="31">
        <f t="shared" si="2"/>
        <v>43</v>
      </c>
      <c r="AI4" s="31">
        <f t="shared" si="2"/>
        <v>43</v>
      </c>
      <c r="AJ4" s="32">
        <f t="shared" si="2"/>
        <v>43</v>
      </c>
      <c r="AL4" s="18" t="s">
        <v>38</v>
      </c>
      <c r="AM4" s="64">
        <v>15</v>
      </c>
      <c r="BA4" s="17"/>
    </row>
    <row r="5" spans="1:53" x14ac:dyDescent="0.25">
      <c r="A5" t="s">
        <v>34</v>
      </c>
      <c r="B5" s="59">
        <v>44568</v>
      </c>
      <c r="H5" s="14" t="s">
        <v>9</v>
      </c>
      <c r="I5" s="15">
        <f>AVERAGE(M5:W5)</f>
        <v>0.57489999999999997</v>
      </c>
      <c r="J5" s="16">
        <f>AVERAGE(S5:W5)</f>
        <v>0.2172</v>
      </c>
      <c r="K5" s="16">
        <f>W5</f>
        <v>0.14099999999999999</v>
      </c>
      <c r="L5" s="17" t="s">
        <v>7</v>
      </c>
      <c r="M5" s="18" t="s">
        <v>7</v>
      </c>
      <c r="N5" s="12">
        <v>-0.44500000000000001</v>
      </c>
      <c r="O5" s="12">
        <v>1.8939999999999999</v>
      </c>
      <c r="P5" s="12">
        <v>0.60699999999999998</v>
      </c>
      <c r="Q5" s="12">
        <v>-0.91200000000000003</v>
      </c>
      <c r="R5" s="12">
        <v>3.5190000000000001</v>
      </c>
      <c r="S5" s="12">
        <v>0.443</v>
      </c>
      <c r="T5" s="12">
        <v>-0.16500000000000001</v>
      </c>
      <c r="U5" s="12">
        <v>0.54400000000000004</v>
      </c>
      <c r="V5" s="12">
        <v>0.123</v>
      </c>
      <c r="W5" s="13">
        <v>0.14099999999999999</v>
      </c>
      <c r="Y5" s="1" t="s">
        <v>16</v>
      </c>
      <c r="Z5" s="33">
        <v>2.91</v>
      </c>
      <c r="AA5" s="34">
        <f>Z5</f>
        <v>2.91</v>
      </c>
      <c r="AB5" s="35">
        <f t="shared" ref="AB5:AJ5" si="3">AA5*(1+$Z2)</f>
        <v>3.0234899999999998</v>
      </c>
      <c r="AC5" s="35">
        <f t="shared" si="3"/>
        <v>3.1414061099999997</v>
      </c>
      <c r="AD5" s="35">
        <f t="shared" si="3"/>
        <v>3.2639209482899996</v>
      </c>
      <c r="AE5" s="35">
        <f t="shared" si="3"/>
        <v>3.3912138652733095</v>
      </c>
      <c r="AF5" s="35">
        <f t="shared" si="3"/>
        <v>3.5234712060189683</v>
      </c>
      <c r="AG5" s="35">
        <f t="shared" si="3"/>
        <v>3.6608865830537081</v>
      </c>
      <c r="AH5" s="35">
        <f t="shared" si="3"/>
        <v>3.8036611597928025</v>
      </c>
      <c r="AI5" s="35">
        <f t="shared" si="3"/>
        <v>3.9520039450247215</v>
      </c>
      <c r="AJ5" s="36">
        <f t="shared" si="3"/>
        <v>4.1061320988806855</v>
      </c>
      <c r="AL5" s="18" t="s">
        <v>39</v>
      </c>
      <c r="AM5" s="40">
        <v>42.61</v>
      </c>
      <c r="BA5" s="17"/>
    </row>
    <row r="6" spans="1:53" x14ac:dyDescent="0.25">
      <c r="A6" t="s">
        <v>44</v>
      </c>
      <c r="B6" s="62">
        <v>44.24</v>
      </c>
      <c r="H6" s="14" t="s">
        <v>10</v>
      </c>
      <c r="I6" s="15">
        <f>AVERAGE(M6:W6)</f>
        <v>-2.3875000000000021E-2</v>
      </c>
      <c r="J6" s="16">
        <f>AVERAGE(S6:W6)</f>
        <v>8.4999999999999992E-2</v>
      </c>
      <c r="K6" s="16">
        <f>W6</f>
        <v>0.121</v>
      </c>
      <c r="L6" s="17" t="s">
        <v>7</v>
      </c>
      <c r="M6" s="18" t="s">
        <v>7</v>
      </c>
      <c r="N6" s="12"/>
      <c r="O6" s="12"/>
      <c r="P6" s="12">
        <v>-0.53</v>
      </c>
      <c r="Q6" s="12">
        <v>-6.2E-2</v>
      </c>
      <c r="R6" s="12">
        <v>-2.4E-2</v>
      </c>
      <c r="S6" s="12">
        <v>9.5000000000000001E-2</v>
      </c>
      <c r="T6" s="12">
        <v>8.8999999999999996E-2</v>
      </c>
      <c r="U6" s="12">
        <v>6.7000000000000004E-2</v>
      </c>
      <c r="V6" s="12">
        <v>5.2999999999999999E-2</v>
      </c>
      <c r="W6" s="13">
        <v>0.121</v>
      </c>
      <c r="Y6" s="5" t="s">
        <v>19</v>
      </c>
      <c r="Z6" s="37">
        <f>AA6</f>
        <v>50.190417627081459</v>
      </c>
      <c r="AA6" s="38">
        <f t="shared" ref="AA6:AI6" si="4">AB6/(1+$Z3)</f>
        <v>50.190417627081459</v>
      </c>
      <c r="AB6" s="38">
        <f t="shared" si="4"/>
        <v>57.718980271143671</v>
      </c>
      <c r="AC6" s="38">
        <f t="shared" si="4"/>
        <v>66.376827311815219</v>
      </c>
      <c r="AD6" s="38">
        <f t="shared" si="4"/>
        <v>76.33335140858749</v>
      </c>
      <c r="AE6" s="38">
        <f t="shared" si="4"/>
        <v>87.783354119875611</v>
      </c>
      <c r="AF6" s="38">
        <f t="shared" si="4"/>
        <v>100.95085723785694</v>
      </c>
      <c r="AG6" s="38">
        <f t="shared" si="4"/>
        <v>116.09348582353547</v>
      </c>
      <c r="AH6" s="38">
        <f t="shared" si="4"/>
        <v>133.50750869706579</v>
      </c>
      <c r="AI6" s="38">
        <f t="shared" si="4"/>
        <v>153.53363500162564</v>
      </c>
      <c r="AJ6" s="39">
        <f>AJ5*$Z4</f>
        <v>176.56368025186947</v>
      </c>
      <c r="AL6" s="5" t="s">
        <v>40</v>
      </c>
      <c r="AM6" s="45">
        <v>96</v>
      </c>
      <c r="BA6" s="17"/>
    </row>
    <row r="7" spans="1:53" x14ac:dyDescent="0.25">
      <c r="A7" t="s">
        <v>45</v>
      </c>
      <c r="B7" s="58" t="s">
        <v>55</v>
      </c>
      <c r="H7" s="14" t="s">
        <v>11</v>
      </c>
      <c r="I7" s="15">
        <f>AVERAGE(M7:W7)</f>
        <v>-0.20529999999999998</v>
      </c>
      <c r="J7" s="16">
        <f>AVERAGE(S7:W7)</f>
        <v>-0.30419999999999997</v>
      </c>
      <c r="K7" s="16">
        <f>W7</f>
        <v>-1</v>
      </c>
      <c r="L7" s="17" t="s">
        <v>7</v>
      </c>
      <c r="M7" s="18" t="s">
        <v>7</v>
      </c>
      <c r="N7" s="12">
        <v>-0.14699999999999999</v>
      </c>
      <c r="O7" s="12">
        <v>-0.109</v>
      </c>
      <c r="P7" s="12">
        <v>-0.27600000000000002</v>
      </c>
      <c r="Q7" s="12">
        <v>-1</v>
      </c>
      <c r="R7" s="12">
        <v>1</v>
      </c>
      <c r="S7" s="12">
        <v>-0.28599999999999998</v>
      </c>
      <c r="T7" s="12">
        <v>-0.33200000000000002</v>
      </c>
      <c r="U7" s="12">
        <v>-0.52</v>
      </c>
      <c r="V7" s="12">
        <v>0.61699999999999999</v>
      </c>
      <c r="W7" s="13">
        <v>-1</v>
      </c>
      <c r="AL7" s="18"/>
      <c r="BA7" s="17"/>
    </row>
    <row r="8" spans="1:53" x14ac:dyDescent="0.25">
      <c r="A8" t="s">
        <v>46</v>
      </c>
      <c r="B8" s="58"/>
      <c r="H8" s="19" t="s">
        <v>12</v>
      </c>
      <c r="I8" s="5" t="s">
        <v>7</v>
      </c>
      <c r="J8" s="6" t="s">
        <v>7</v>
      </c>
      <c r="K8" s="6" t="s">
        <v>7</v>
      </c>
      <c r="L8" s="20">
        <f>863/150</f>
        <v>5.753333333333333</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47</v>
      </c>
      <c r="B9" s="58"/>
      <c r="Y9" s="1" t="s">
        <v>13</v>
      </c>
      <c r="Z9" s="65">
        <f>AVERAGE(Table1539[])</f>
        <v>8.7200000000000014E-2</v>
      </c>
      <c r="AA9" s="8">
        <f>Z9</f>
        <v>8.7200000000000014E-2</v>
      </c>
      <c r="AB9" s="9">
        <f t="shared" ref="AB9:AJ10" si="5">AA9</f>
        <v>8.7200000000000014E-2</v>
      </c>
      <c r="AC9" s="9">
        <f t="shared" si="5"/>
        <v>8.7200000000000014E-2</v>
      </c>
      <c r="AD9" s="9">
        <f t="shared" si="5"/>
        <v>8.7200000000000014E-2</v>
      </c>
      <c r="AE9" s="9">
        <f t="shared" si="5"/>
        <v>8.7200000000000014E-2</v>
      </c>
      <c r="AF9" s="9">
        <f t="shared" si="5"/>
        <v>8.7200000000000014E-2</v>
      </c>
      <c r="AG9" s="9">
        <f t="shared" si="5"/>
        <v>8.7200000000000014E-2</v>
      </c>
      <c r="AH9" s="9">
        <f t="shared" si="5"/>
        <v>8.7200000000000014E-2</v>
      </c>
      <c r="AI9" s="9">
        <f t="shared" si="5"/>
        <v>8.7200000000000014E-2</v>
      </c>
      <c r="AJ9" s="25">
        <f t="shared" si="5"/>
        <v>8.7200000000000014E-2</v>
      </c>
      <c r="AL9" s="1" t="s">
        <v>42</v>
      </c>
      <c r="AM9" s="10"/>
      <c r="AN9" s="48">
        <f>$AM1</f>
        <v>112</v>
      </c>
      <c r="AO9" s="49">
        <f t="shared" ref="AO9:AW9" si="6">AN9+AN9*$AM2</f>
        <v>116.36799999999999</v>
      </c>
      <c r="AP9" s="49">
        <f t="shared" si="6"/>
        <v>120.906352</v>
      </c>
      <c r="AQ9" s="49">
        <f t="shared" si="6"/>
        <v>125.621699728</v>
      </c>
      <c r="AR9" s="49">
        <f t="shared" si="6"/>
        <v>130.52094601739199</v>
      </c>
      <c r="AS9" s="49">
        <f t="shared" si="6"/>
        <v>135.61126291207029</v>
      </c>
      <c r="AT9" s="49">
        <f t="shared" si="6"/>
        <v>140.90010216564102</v>
      </c>
      <c r="AU9" s="49">
        <f t="shared" si="6"/>
        <v>146.39520615010102</v>
      </c>
      <c r="AV9" s="49">
        <f t="shared" si="6"/>
        <v>152.10461918995495</v>
      </c>
      <c r="AW9" s="49">
        <f t="shared" si="6"/>
        <v>158.03669933836318</v>
      </c>
      <c r="AX9" s="50">
        <f>$AM4*AW9</f>
        <v>2370.5504900754477</v>
      </c>
      <c r="AY9" s="51"/>
      <c r="AZ9" s="49"/>
      <c r="BA9" s="10"/>
    </row>
    <row r="10" spans="1:53" x14ac:dyDescent="0.25">
      <c r="A10" t="s">
        <v>48</v>
      </c>
      <c r="B10" s="58"/>
      <c r="Y10" s="18" t="s">
        <v>14</v>
      </c>
      <c r="Z10">
        <f>Z3</f>
        <v>0.15</v>
      </c>
      <c r="AA10" s="26">
        <f t="shared" ref="AA10:AJ11" si="7">Z10</f>
        <v>0.15</v>
      </c>
      <c r="AB10" s="27">
        <f t="shared" si="5"/>
        <v>0.15</v>
      </c>
      <c r="AC10" s="27">
        <f t="shared" si="5"/>
        <v>0.15</v>
      </c>
      <c r="AD10" s="27">
        <f t="shared" si="5"/>
        <v>0.15</v>
      </c>
      <c r="AE10" s="27">
        <f t="shared" si="5"/>
        <v>0.15</v>
      </c>
      <c r="AF10" s="27">
        <f t="shared" si="5"/>
        <v>0.15</v>
      </c>
      <c r="AG10" s="27">
        <f t="shared" si="5"/>
        <v>0.15</v>
      </c>
      <c r="AH10" s="27">
        <f t="shared" si="5"/>
        <v>0.15</v>
      </c>
      <c r="AI10" s="27">
        <f t="shared" si="5"/>
        <v>0.15</v>
      </c>
      <c r="AJ10" s="28">
        <f t="shared" si="5"/>
        <v>0.15</v>
      </c>
      <c r="AL10" s="5" t="s">
        <v>43</v>
      </c>
      <c r="AM10" s="7"/>
      <c r="AN10" s="52">
        <f>AN9/(1+$AM3)</f>
        <v>97.391304347826093</v>
      </c>
      <c r="AO10" s="53">
        <f t="shared" ref="AO10:AW10" si="8">(1+$AM2)*AN10/(1+$AM3)</f>
        <v>87.99092627599245</v>
      </c>
      <c r="AP10" s="53">
        <f t="shared" si="8"/>
        <v>79.497889044135789</v>
      </c>
      <c r="AQ10" s="53">
        <f t="shared" si="8"/>
        <v>71.824614536397462</v>
      </c>
      <c r="AR10" s="53">
        <f t="shared" si="8"/>
        <v>64.891977828971278</v>
      </c>
      <c r="AS10" s="53">
        <f t="shared" si="8"/>
        <v>58.628491273305357</v>
      </c>
      <c r="AT10" s="53">
        <f t="shared" si="8"/>
        <v>52.969567333012407</v>
      </c>
      <c r="AU10" s="53">
        <f t="shared" si="8"/>
        <v>47.856852573043383</v>
      </c>
      <c r="AV10" s="53">
        <f t="shared" si="8"/>
        <v>43.237625933384415</v>
      </c>
      <c r="AW10" s="53">
        <f t="shared" si="8"/>
        <v>39.06425508242296</v>
      </c>
      <c r="AX10" s="54">
        <f>AX9/(1+AM3)^AX8</f>
        <v>585.96382623634463</v>
      </c>
      <c r="AY10" s="53">
        <f>SUM(AN10:AX10)</f>
        <v>1229.3173304648362</v>
      </c>
      <c r="AZ10" s="53">
        <f>AY10+AM5</f>
        <v>1271.9273304648361</v>
      </c>
      <c r="BA10" s="55">
        <f>AZ10/AM6</f>
        <v>13.249243025675376</v>
      </c>
    </row>
    <row r="11" spans="1:53" x14ac:dyDescent="0.25">
      <c r="A11" t="s">
        <v>65</v>
      </c>
      <c r="B11" s="59"/>
      <c r="Y11" s="5" t="s">
        <v>15</v>
      </c>
      <c r="Z11" s="7">
        <f>Z4</f>
        <v>43</v>
      </c>
      <c r="AA11" s="30">
        <f t="shared" si="7"/>
        <v>43</v>
      </c>
      <c r="AB11" s="31">
        <f t="shared" si="7"/>
        <v>43</v>
      </c>
      <c r="AC11" s="31">
        <f t="shared" si="7"/>
        <v>43</v>
      </c>
      <c r="AD11" s="31">
        <f t="shared" si="7"/>
        <v>43</v>
      </c>
      <c r="AE11" s="31">
        <f t="shared" si="7"/>
        <v>43</v>
      </c>
      <c r="AF11" s="31">
        <f t="shared" si="7"/>
        <v>43</v>
      </c>
      <c r="AG11" s="31">
        <f t="shared" si="7"/>
        <v>43</v>
      </c>
      <c r="AH11" s="31">
        <f t="shared" si="7"/>
        <v>43</v>
      </c>
      <c r="AI11" s="31">
        <f t="shared" si="7"/>
        <v>43</v>
      </c>
      <c r="AJ11" s="32">
        <f t="shared" si="7"/>
        <v>43</v>
      </c>
    </row>
    <row r="12" spans="1:53" x14ac:dyDescent="0.25">
      <c r="Y12" s="1" t="s">
        <v>16</v>
      </c>
      <c r="Z12">
        <f>Z5</f>
        <v>2.91</v>
      </c>
      <c r="AA12" s="34">
        <f>Z12</f>
        <v>2.91</v>
      </c>
      <c r="AB12" s="35">
        <f t="shared" ref="AB12:AJ12" si="9">AA12*(1+$Z9)</f>
        <v>3.1637520000000001</v>
      </c>
      <c r="AC12" s="35">
        <f t="shared" si="9"/>
        <v>3.4396311744000001</v>
      </c>
      <c r="AD12" s="35">
        <f t="shared" si="9"/>
        <v>3.7395670128076799</v>
      </c>
      <c r="AE12" s="35">
        <f t="shared" si="9"/>
        <v>4.065657256324509</v>
      </c>
      <c r="AF12" s="35">
        <f t="shared" si="9"/>
        <v>4.4201825690760064</v>
      </c>
      <c r="AG12" s="35">
        <f t="shared" si="9"/>
        <v>4.8056224890994335</v>
      </c>
      <c r="AH12" s="35">
        <f t="shared" si="9"/>
        <v>5.2246727701489037</v>
      </c>
      <c r="AI12" s="35">
        <f t="shared" si="9"/>
        <v>5.6802642357058879</v>
      </c>
      <c r="AJ12" s="36">
        <f t="shared" si="9"/>
        <v>6.1755832770594408</v>
      </c>
      <c r="AL12" s="1" t="s">
        <v>35</v>
      </c>
      <c r="AM12" s="72">
        <f>AM1</f>
        <v>112</v>
      </c>
      <c r="AN12" s="42"/>
      <c r="AO12" s="42"/>
      <c r="AP12" s="42"/>
      <c r="AQ12" s="42"/>
      <c r="AR12" s="42"/>
      <c r="AS12" s="42"/>
      <c r="AT12" s="42"/>
      <c r="AU12" s="42"/>
      <c r="AV12" s="42"/>
      <c r="AW12" s="42"/>
      <c r="AX12" s="42"/>
      <c r="AY12" s="42"/>
      <c r="AZ12" s="42"/>
      <c r="BA12" s="10"/>
    </row>
    <row r="13" spans="1:53" ht="18.75" x14ac:dyDescent="0.3">
      <c r="A13" s="56" t="s">
        <v>29</v>
      </c>
      <c r="Y13" s="5" t="s">
        <v>19</v>
      </c>
      <c r="Z13" s="37">
        <f>AA13</f>
        <v>75.485906517943278</v>
      </c>
      <c r="AA13" s="38">
        <f t="shared" ref="AA13:AI13" si="10">AB13/(1+$Z10)</f>
        <v>75.485906517943278</v>
      </c>
      <c r="AB13" s="38">
        <f t="shared" si="10"/>
        <v>86.808792495634762</v>
      </c>
      <c r="AC13" s="38">
        <f t="shared" si="10"/>
        <v>99.830111369979974</v>
      </c>
      <c r="AD13" s="38">
        <f t="shared" si="10"/>
        <v>114.80462807547696</v>
      </c>
      <c r="AE13" s="38">
        <f t="shared" si="10"/>
        <v>132.02532228679848</v>
      </c>
      <c r="AF13" s="38">
        <f t="shared" si="10"/>
        <v>151.82912062981825</v>
      </c>
      <c r="AG13" s="38">
        <f t="shared" si="10"/>
        <v>174.60348872429097</v>
      </c>
      <c r="AH13" s="38">
        <f t="shared" si="10"/>
        <v>200.7940120329346</v>
      </c>
      <c r="AI13" s="38">
        <f t="shared" si="10"/>
        <v>230.91311383787479</v>
      </c>
      <c r="AJ13" s="39">
        <f>AJ12*$Z11</f>
        <v>265.55008091355597</v>
      </c>
      <c r="AL13" s="18" t="s">
        <v>36</v>
      </c>
      <c r="AM13" s="68">
        <f>Z9</f>
        <v>8.7200000000000014E-2</v>
      </c>
      <c r="BA13" s="17"/>
    </row>
    <row r="14" spans="1:53" x14ac:dyDescent="0.25">
      <c r="A14" s="43" t="s">
        <v>32</v>
      </c>
      <c r="B14" s="18" t="s">
        <v>0</v>
      </c>
      <c r="C14" t="s">
        <v>1</v>
      </c>
      <c r="D14" t="s">
        <v>2</v>
      </c>
      <c r="E14" t="s">
        <v>3</v>
      </c>
      <c r="AL14" s="18" t="s">
        <v>37</v>
      </c>
      <c r="AM14" s="69">
        <f>AM3</f>
        <v>0.15</v>
      </c>
      <c r="BA14" s="17"/>
    </row>
    <row r="15" spans="1:53" x14ac:dyDescent="0.25">
      <c r="A15" t="s">
        <v>52</v>
      </c>
      <c r="B15" t="s">
        <v>4</v>
      </c>
      <c r="C15" t="s">
        <v>4</v>
      </c>
      <c r="D15" t="s">
        <v>4</v>
      </c>
      <c r="E15" t="s">
        <v>5</v>
      </c>
      <c r="Y15" s="21" t="s">
        <v>61</v>
      </c>
      <c r="Z15" s="22"/>
      <c r="AA15" s="21">
        <v>2021</v>
      </c>
      <c r="AB15" s="23">
        <v>2022</v>
      </c>
      <c r="AC15" s="23">
        <v>2023</v>
      </c>
      <c r="AD15" s="23">
        <v>2024</v>
      </c>
      <c r="AE15" s="23">
        <v>2025</v>
      </c>
      <c r="AF15" s="23">
        <v>2026</v>
      </c>
      <c r="AG15" s="23">
        <v>2027</v>
      </c>
      <c r="AH15" s="23">
        <v>2028</v>
      </c>
      <c r="AI15" s="23">
        <v>2029</v>
      </c>
      <c r="AJ15" s="24">
        <v>2030</v>
      </c>
      <c r="AL15" s="18" t="s">
        <v>38</v>
      </c>
      <c r="AM15" s="69">
        <f t="shared" ref="AM15:AM17" si="11">AM4</f>
        <v>15</v>
      </c>
      <c r="BA15" s="17"/>
    </row>
    <row r="16" spans="1:53" x14ac:dyDescent="0.25">
      <c r="A16" t="s">
        <v>23</v>
      </c>
      <c r="B16" s="16">
        <f t="shared" ref="B16:D20" si="12">I3</f>
        <v>0.22494545454545456</v>
      </c>
      <c r="C16" s="16">
        <f t="shared" si="12"/>
        <v>0.25006</v>
      </c>
      <c r="D16" s="16">
        <f t="shared" si="12"/>
        <v>0.21600000000000003</v>
      </c>
      <c r="Y16" s="1" t="s">
        <v>13</v>
      </c>
      <c r="Z16" s="60">
        <f>MAX(Table1539[])</f>
        <v>0.16550000000000004</v>
      </c>
      <c r="AA16" s="8">
        <f>Z16</f>
        <v>0.16550000000000004</v>
      </c>
      <c r="AB16" s="9">
        <f t="shared" ref="AB16:AJ17" si="13">AA16</f>
        <v>0.16550000000000004</v>
      </c>
      <c r="AC16" s="9">
        <f t="shared" si="13"/>
        <v>0.16550000000000004</v>
      </c>
      <c r="AD16" s="9">
        <f t="shared" si="13"/>
        <v>0.16550000000000004</v>
      </c>
      <c r="AE16" s="9">
        <f t="shared" si="13"/>
        <v>0.16550000000000004</v>
      </c>
      <c r="AF16" s="9">
        <f t="shared" si="13"/>
        <v>0.16550000000000004</v>
      </c>
      <c r="AG16" s="9">
        <f t="shared" si="13"/>
        <v>0.16550000000000004</v>
      </c>
      <c r="AH16" s="9">
        <f t="shared" si="13"/>
        <v>0.16550000000000004</v>
      </c>
      <c r="AI16" s="9">
        <f t="shared" si="13"/>
        <v>0.16550000000000004</v>
      </c>
      <c r="AJ16" s="25">
        <f t="shared" si="13"/>
        <v>0.16550000000000004</v>
      </c>
      <c r="AL16" s="18" t="s">
        <v>39</v>
      </c>
      <c r="AM16" s="69">
        <f t="shared" si="11"/>
        <v>42.61</v>
      </c>
      <c r="BA16" s="17"/>
    </row>
    <row r="17" spans="1:53" x14ac:dyDescent="0.25">
      <c r="A17" t="s">
        <v>24</v>
      </c>
      <c r="B17" s="16">
        <f t="shared" si="12"/>
        <v>0.16550000000000004</v>
      </c>
      <c r="C17" s="16">
        <f t="shared" si="12"/>
        <v>0.35560000000000003</v>
      </c>
      <c r="D17" s="16">
        <f t="shared" si="12"/>
        <v>0.55100000000000005</v>
      </c>
      <c r="Y17" s="18" t="s">
        <v>14</v>
      </c>
      <c r="Z17">
        <f>Z3</f>
        <v>0.15</v>
      </c>
      <c r="AA17" s="26">
        <f t="shared" ref="AA17:AJ18" si="14">Z17</f>
        <v>0.15</v>
      </c>
      <c r="AB17" s="27">
        <f t="shared" si="13"/>
        <v>0.15</v>
      </c>
      <c r="AC17" s="27">
        <f t="shared" si="13"/>
        <v>0.15</v>
      </c>
      <c r="AD17" s="27">
        <f t="shared" si="13"/>
        <v>0.15</v>
      </c>
      <c r="AE17" s="27">
        <f t="shared" si="13"/>
        <v>0.15</v>
      </c>
      <c r="AF17" s="27">
        <f t="shared" si="13"/>
        <v>0.15</v>
      </c>
      <c r="AG17" s="27">
        <f t="shared" si="13"/>
        <v>0.15</v>
      </c>
      <c r="AH17" s="27">
        <f t="shared" si="13"/>
        <v>0.15</v>
      </c>
      <c r="AI17" s="27">
        <f t="shared" si="13"/>
        <v>0.15</v>
      </c>
      <c r="AJ17" s="28">
        <f t="shared" si="13"/>
        <v>0.15</v>
      </c>
      <c r="AL17" s="5" t="s">
        <v>40</v>
      </c>
      <c r="AM17" s="70">
        <f t="shared" si="11"/>
        <v>96</v>
      </c>
      <c r="BA17" s="17"/>
    </row>
    <row r="18" spans="1:53" x14ac:dyDescent="0.25">
      <c r="A18" t="s">
        <v>25</v>
      </c>
      <c r="B18" s="16">
        <f t="shared" si="12"/>
        <v>0.57489999999999997</v>
      </c>
      <c r="C18" s="16">
        <f t="shared" si="12"/>
        <v>0.2172</v>
      </c>
      <c r="D18" s="16">
        <f t="shared" si="12"/>
        <v>0.14099999999999999</v>
      </c>
      <c r="Y18" s="5" t="s">
        <v>15</v>
      </c>
      <c r="Z18" s="7">
        <f>Z4</f>
        <v>43</v>
      </c>
      <c r="AA18" s="30">
        <f t="shared" si="14"/>
        <v>43</v>
      </c>
      <c r="AB18" s="31">
        <f t="shared" si="14"/>
        <v>43</v>
      </c>
      <c r="AC18" s="31">
        <f t="shared" si="14"/>
        <v>43</v>
      </c>
      <c r="AD18" s="31">
        <f t="shared" si="14"/>
        <v>43</v>
      </c>
      <c r="AE18" s="31">
        <f t="shared" si="14"/>
        <v>43</v>
      </c>
      <c r="AF18" s="31">
        <f t="shared" si="14"/>
        <v>43</v>
      </c>
      <c r="AG18" s="31">
        <f t="shared" si="14"/>
        <v>43</v>
      </c>
      <c r="AH18" s="31">
        <f t="shared" si="14"/>
        <v>43</v>
      </c>
      <c r="AI18" s="31">
        <f t="shared" si="14"/>
        <v>43</v>
      </c>
      <c r="AJ18" s="32">
        <f t="shared" si="14"/>
        <v>43</v>
      </c>
      <c r="AL18" s="18"/>
      <c r="BA18" s="17"/>
    </row>
    <row r="19" spans="1:53" x14ac:dyDescent="0.25">
      <c r="A19" t="s">
        <v>26</v>
      </c>
      <c r="B19" s="16">
        <f t="shared" si="12"/>
        <v>-2.3875000000000021E-2</v>
      </c>
      <c r="C19" s="16">
        <f t="shared" si="12"/>
        <v>8.4999999999999992E-2</v>
      </c>
      <c r="D19" s="16">
        <f t="shared" si="12"/>
        <v>0.121</v>
      </c>
      <c r="Y19" s="1" t="s">
        <v>16</v>
      </c>
      <c r="Z19">
        <f>Z5</f>
        <v>2.91</v>
      </c>
      <c r="AA19" s="34">
        <f>Z19</f>
        <v>2.91</v>
      </c>
      <c r="AB19" s="35">
        <f t="shared" ref="AB19:AJ19" si="15">AA19*(1+$Z16)</f>
        <v>3.3916050000000002</v>
      </c>
      <c r="AC19" s="35">
        <f t="shared" si="15"/>
        <v>3.9529156275000004</v>
      </c>
      <c r="AD19" s="35">
        <f t="shared" si="15"/>
        <v>4.6071231638512504</v>
      </c>
      <c r="AE19" s="35">
        <f t="shared" si="15"/>
        <v>5.3696020474686321</v>
      </c>
      <c r="AF19" s="35">
        <f t="shared" si="15"/>
        <v>6.2582711863246905</v>
      </c>
      <c r="AG19" s="35">
        <f t="shared" si="15"/>
        <v>7.2940150676614266</v>
      </c>
      <c r="AH19" s="35">
        <f t="shared" si="15"/>
        <v>8.5011745613593934</v>
      </c>
      <c r="AI19" s="35">
        <f t="shared" si="15"/>
        <v>9.9081189512643721</v>
      </c>
      <c r="AJ19" s="36">
        <f t="shared" si="15"/>
        <v>11.547912637698625</v>
      </c>
      <c r="AL19" s="21"/>
      <c r="AM19" s="24"/>
      <c r="AN19" s="21">
        <v>1</v>
      </c>
      <c r="AO19" s="23">
        <v>2</v>
      </c>
      <c r="AP19" s="23">
        <v>3</v>
      </c>
      <c r="AQ19" s="23">
        <v>4</v>
      </c>
      <c r="AR19" s="23">
        <v>5</v>
      </c>
      <c r="AS19" s="23">
        <v>6</v>
      </c>
      <c r="AT19" s="23">
        <v>7</v>
      </c>
      <c r="AU19" s="23">
        <v>8</v>
      </c>
      <c r="AV19" s="23">
        <v>9</v>
      </c>
      <c r="AW19" s="23">
        <v>10</v>
      </c>
      <c r="AX19" s="24">
        <v>10</v>
      </c>
      <c r="AY19" s="46" t="s">
        <v>41</v>
      </c>
      <c r="AZ19" s="46" t="s">
        <v>62</v>
      </c>
      <c r="BA19" s="47" t="s">
        <v>63</v>
      </c>
    </row>
    <row r="20" spans="1:53" x14ac:dyDescent="0.25">
      <c r="A20" t="s">
        <v>27</v>
      </c>
      <c r="B20" s="16">
        <f t="shared" si="12"/>
        <v>-0.20529999999999998</v>
      </c>
      <c r="C20" s="16">
        <f t="shared" si="12"/>
        <v>-0.30419999999999997</v>
      </c>
      <c r="D20" s="16">
        <f t="shared" si="12"/>
        <v>-1</v>
      </c>
      <c r="Y20" s="5" t="s">
        <v>19</v>
      </c>
      <c r="Z20" s="37">
        <f>AA20</f>
        <v>141.15341251810699</v>
      </c>
      <c r="AA20" s="38">
        <f t="shared" ref="AA20:AI20" si="16">AB20/(1+$Z17)</f>
        <v>141.15341251810699</v>
      </c>
      <c r="AB20" s="38">
        <f t="shared" si="16"/>
        <v>162.32642439582301</v>
      </c>
      <c r="AC20" s="38">
        <f t="shared" si="16"/>
        <v>186.67538805519644</v>
      </c>
      <c r="AD20" s="38">
        <f t="shared" si="16"/>
        <v>214.67669626347589</v>
      </c>
      <c r="AE20" s="38">
        <f t="shared" si="16"/>
        <v>246.87820070299725</v>
      </c>
      <c r="AF20" s="38">
        <f t="shared" si="16"/>
        <v>283.9099308084468</v>
      </c>
      <c r="AG20" s="38">
        <f t="shared" si="16"/>
        <v>326.49642042971379</v>
      </c>
      <c r="AH20" s="38">
        <f t="shared" si="16"/>
        <v>375.47088349417083</v>
      </c>
      <c r="AI20" s="38">
        <f t="shared" si="16"/>
        <v>431.79151601829642</v>
      </c>
      <c r="AJ20" s="39">
        <f>AJ19*$Z18</f>
        <v>496.56024342104087</v>
      </c>
      <c r="AL20" s="1" t="s">
        <v>42</v>
      </c>
      <c r="AM20" s="10"/>
      <c r="AN20" s="48">
        <f>$AM12</f>
        <v>112</v>
      </c>
      <c r="AO20" s="49">
        <f t="shared" ref="AO20:AW20" si="17">AN20+AN20*$AM13</f>
        <v>121.7664</v>
      </c>
      <c r="AP20" s="49">
        <f t="shared" si="17"/>
        <v>132.38443008000002</v>
      </c>
      <c r="AQ20" s="49">
        <f t="shared" si="17"/>
        <v>143.92835238297602</v>
      </c>
      <c r="AR20" s="49">
        <f t="shared" si="17"/>
        <v>156.47890471077153</v>
      </c>
      <c r="AS20" s="49">
        <f t="shared" si="17"/>
        <v>170.12386520155081</v>
      </c>
      <c r="AT20" s="49">
        <f t="shared" si="17"/>
        <v>184.95866624712605</v>
      </c>
      <c r="AU20" s="49">
        <f t="shared" si="17"/>
        <v>201.08706194387543</v>
      </c>
      <c r="AV20" s="49">
        <f t="shared" si="17"/>
        <v>218.62185374538137</v>
      </c>
      <c r="AW20" s="49">
        <f t="shared" si="17"/>
        <v>237.68567939197862</v>
      </c>
      <c r="AX20" s="50">
        <f>$AM15*AW20</f>
        <v>3565.2851908796792</v>
      </c>
      <c r="AY20" s="51"/>
      <c r="AZ20" s="49"/>
      <c r="BA20" s="10"/>
    </row>
    <row r="21" spans="1:53" x14ac:dyDescent="0.25">
      <c r="A21" t="s">
        <v>28</v>
      </c>
      <c r="E21" s="57">
        <f>L8</f>
        <v>5.753333333333333</v>
      </c>
      <c r="AL21" s="5" t="s">
        <v>43</v>
      </c>
      <c r="AM21" s="7"/>
      <c r="AN21" s="52">
        <f>AN20/(1+$AM14)</f>
        <v>97.391304347826093</v>
      </c>
      <c r="AO21" s="53">
        <f t="shared" ref="AO21:AW21" si="18">(1+$AM13)*AN21/(1+$AM14)</f>
        <v>92.072892249527413</v>
      </c>
      <c r="AP21" s="53">
        <f t="shared" si="18"/>
        <v>87.044911698857561</v>
      </c>
      <c r="AQ21" s="53">
        <f t="shared" si="18"/>
        <v>82.291502607824299</v>
      </c>
      <c r="AR21" s="53">
        <f t="shared" si="18"/>
        <v>77.797670987153538</v>
      </c>
      <c r="AS21" s="53">
        <f t="shared" si="18"/>
        <v>73.549241649768106</v>
      </c>
      <c r="AT21" s="53">
        <f t="shared" si="18"/>
        <v>69.532813497067721</v>
      </c>
      <c r="AU21" s="53">
        <f t="shared" si="18"/>
        <v>65.735717246966985</v>
      </c>
      <c r="AV21" s="53">
        <f t="shared" si="18"/>
        <v>62.14597547035001</v>
      </c>
      <c r="AW21" s="53">
        <f t="shared" si="18"/>
        <v>58.752264809882199</v>
      </c>
      <c r="AX21" s="54">
        <f>AX20/(1+AM14)^AX19</f>
        <v>881.28397214823394</v>
      </c>
      <c r="AY21" s="53">
        <f>SUM(AN21:AX21)</f>
        <v>1647.5982667134576</v>
      </c>
      <c r="AZ21" s="53">
        <f>AY21+AM16</f>
        <v>1690.2082667134575</v>
      </c>
      <c r="BA21" s="55">
        <f>AZ21/AM17</f>
        <v>17.606336111598516</v>
      </c>
    </row>
    <row r="22" spans="1:53" x14ac:dyDescent="0.25">
      <c r="AN22" s="75"/>
      <c r="AO22" s="75"/>
      <c r="AP22" s="75"/>
      <c r="AQ22" s="75"/>
      <c r="AR22" s="75"/>
      <c r="AS22" s="75"/>
      <c r="AT22" s="75"/>
      <c r="AU22" s="75"/>
      <c r="AV22" s="75"/>
      <c r="AW22" s="75"/>
      <c r="AX22" s="75"/>
      <c r="AY22" s="75"/>
      <c r="AZ22" s="75"/>
      <c r="BA22" s="76"/>
    </row>
    <row r="23" spans="1:53" ht="18.75" x14ac:dyDescent="0.3">
      <c r="A23" s="56" t="s">
        <v>30</v>
      </c>
      <c r="AL23" s="1" t="s">
        <v>35</v>
      </c>
      <c r="AM23" s="22">
        <f>AM1</f>
        <v>112</v>
      </c>
      <c r="AN23" s="42"/>
      <c r="AO23" s="42"/>
      <c r="AP23" s="42"/>
      <c r="AQ23" s="42"/>
      <c r="AR23" s="42"/>
      <c r="AS23" s="42"/>
      <c r="AT23" s="42"/>
      <c r="AU23" s="42"/>
      <c r="AV23" s="42"/>
      <c r="AW23" s="42"/>
      <c r="AX23" s="42"/>
      <c r="AY23" s="42"/>
      <c r="AZ23" s="42"/>
      <c r="BA23" s="10"/>
    </row>
    <row r="24" spans="1:53" x14ac:dyDescent="0.25">
      <c r="A24" t="s">
        <v>107</v>
      </c>
      <c r="B24" t="s">
        <v>137</v>
      </c>
      <c r="C24" t="s">
        <v>138</v>
      </c>
      <c r="AL24" s="18" t="s">
        <v>36</v>
      </c>
      <c r="AM24" s="71">
        <f>Z16</f>
        <v>0.16550000000000004</v>
      </c>
      <c r="BA24" s="17"/>
    </row>
    <row r="25" spans="1:53" x14ac:dyDescent="0.25">
      <c r="A25" s="16">
        <f>B17</f>
        <v>0.16550000000000004</v>
      </c>
      <c r="B25" s="86">
        <v>3.9E-2</v>
      </c>
      <c r="C25" s="85">
        <v>5.7099999999999998E-2</v>
      </c>
      <c r="AL25" s="18" t="s">
        <v>37</v>
      </c>
      <c r="AM25" s="69">
        <f>AM3</f>
        <v>0.15</v>
      </c>
      <c r="BA25" s="17"/>
    </row>
    <row r="26" spans="1:53" x14ac:dyDescent="0.25">
      <c r="AL26" s="18" t="s">
        <v>38</v>
      </c>
      <c r="AM26" s="69">
        <f>AM4</f>
        <v>15</v>
      </c>
      <c r="BA26" s="17"/>
    </row>
    <row r="27" spans="1:53" ht="30" x14ac:dyDescent="0.25">
      <c r="A27" t="s">
        <v>18</v>
      </c>
      <c r="B27" s="41" t="s">
        <v>20</v>
      </c>
      <c r="C27" s="41" t="s">
        <v>31</v>
      </c>
      <c r="D27" s="41" t="s">
        <v>21</v>
      </c>
      <c r="E27" s="41" t="s">
        <v>22</v>
      </c>
      <c r="F27" t="s">
        <v>126</v>
      </c>
      <c r="AL27" s="18" t="s">
        <v>39</v>
      </c>
      <c r="AM27" s="69">
        <f>AM5</f>
        <v>42.61</v>
      </c>
      <c r="BA27" s="17"/>
    </row>
    <row r="28" spans="1:53" x14ac:dyDescent="0.25">
      <c r="A28" s="16">
        <f>MIN(Table1539[])</f>
        <v>3.9E-2</v>
      </c>
      <c r="B28" s="73">
        <f>Z6</f>
        <v>50.190417627081459</v>
      </c>
      <c r="C28" s="63">
        <f>1-$B$6/Table136[[#This Row],[Fair Value
Method 1]]</f>
        <v>0.11855684627479102</v>
      </c>
      <c r="D28" s="66">
        <f>BA10</f>
        <v>13.249243025675376</v>
      </c>
      <c r="E28" s="63">
        <f>1-$B$6/Table136[[#This Row],[Fair Value 
Method 2]]</f>
        <v>-2.3390586854108126</v>
      </c>
      <c r="F28" s="63">
        <f>AVERAGE(Table136[[#This Row],[MOS
Method 1]],Table136[[#This Row],[MOS 
Method 2]])</f>
        <v>-1.1102509195680108</v>
      </c>
      <c r="AL28" s="5" t="s">
        <v>40</v>
      </c>
      <c r="AM28" s="70">
        <f>AM6</f>
        <v>96</v>
      </c>
      <c r="BA28" s="17"/>
    </row>
    <row r="29" spans="1:53" x14ac:dyDescent="0.25">
      <c r="A29" s="61">
        <f>AVERAGE(Table1539[])</f>
        <v>8.7200000000000014E-2</v>
      </c>
      <c r="B29" s="73">
        <f>Z13</f>
        <v>75.485906517943278</v>
      </c>
      <c r="C29" s="63">
        <f>1-$B$6/Table136[[#This Row],[Fair Value
Method 1]]</f>
        <v>0.41393033427393511</v>
      </c>
      <c r="D29" s="66">
        <f>BA21</f>
        <v>17.606336111598516</v>
      </c>
      <c r="E29" s="63">
        <f>1-$B$6/Table136[[#This Row],[Fair Value 
Method 2]]</f>
        <v>-1.5127317642684353</v>
      </c>
      <c r="F29" s="63">
        <f>AVERAGE(Table136[[#This Row],[MOS
Method 1]],Table136[[#This Row],[MOS 
Method 2]])</f>
        <v>-0.54940071499725007</v>
      </c>
      <c r="AL29" s="18"/>
      <c r="BA29" s="17"/>
    </row>
    <row r="30" spans="1:53" x14ac:dyDescent="0.25">
      <c r="A30" s="61">
        <f>MAX(Table1539[])</f>
        <v>0.16550000000000004</v>
      </c>
      <c r="B30" s="73">
        <f>Z20</f>
        <v>141.15341251810699</v>
      </c>
      <c r="C30" s="63">
        <f>1-$B$6/Table136[[#This Row],[Fair Value
Method 1]]</f>
        <v>0.68658214342267532</v>
      </c>
      <c r="D30" s="66">
        <f>BA32</f>
        <v>28.392780356991651</v>
      </c>
      <c r="E30" s="63">
        <f>1-$B$6/Table136[[#This Row],[Fair Value 
Method 2]]</f>
        <v>-0.55814257863288175</v>
      </c>
      <c r="F30" s="63">
        <f>AVERAGE(Table136[[#This Row],[MOS
Method 1]],Table136[[#This Row],[MOS 
Method 2]])</f>
        <v>6.4219782394896785E-2</v>
      </c>
      <c r="AL30" s="21"/>
      <c r="AM30" s="24"/>
      <c r="AN30" s="21">
        <v>1</v>
      </c>
      <c r="AO30" s="23">
        <v>2</v>
      </c>
      <c r="AP30" s="23">
        <v>3</v>
      </c>
      <c r="AQ30" s="23">
        <v>4</v>
      </c>
      <c r="AR30" s="23">
        <v>5</v>
      </c>
      <c r="AS30" s="23">
        <v>6</v>
      </c>
      <c r="AT30" s="23">
        <v>7</v>
      </c>
      <c r="AU30" s="23">
        <v>8</v>
      </c>
      <c r="AV30" s="23">
        <v>9</v>
      </c>
      <c r="AW30" s="23">
        <v>10</v>
      </c>
      <c r="AX30" s="24">
        <v>10</v>
      </c>
      <c r="AY30" s="46" t="s">
        <v>41</v>
      </c>
      <c r="AZ30" s="46" t="s">
        <v>62</v>
      </c>
      <c r="BA30" s="47" t="s">
        <v>63</v>
      </c>
    </row>
    <row r="31" spans="1:53" x14ac:dyDescent="0.25">
      <c r="AL31" s="1" t="s">
        <v>42</v>
      </c>
      <c r="AM31" s="10"/>
      <c r="AN31" s="48">
        <f>$AM23</f>
        <v>112</v>
      </c>
      <c r="AO31" s="49">
        <f t="shared" ref="AO31:AW31" si="19">AN31+AN31*$AM24</f>
        <v>130.536</v>
      </c>
      <c r="AP31" s="49">
        <f t="shared" si="19"/>
        <v>152.13970800000001</v>
      </c>
      <c r="AQ31" s="49">
        <f t="shared" si="19"/>
        <v>177.31882967400003</v>
      </c>
      <c r="AR31" s="49">
        <f t="shared" si="19"/>
        <v>206.66509598504703</v>
      </c>
      <c r="AS31" s="49">
        <f t="shared" si="19"/>
        <v>240.86816937057233</v>
      </c>
      <c r="AT31" s="49">
        <f t="shared" si="19"/>
        <v>280.73185140140208</v>
      </c>
      <c r="AU31" s="49">
        <f t="shared" si="19"/>
        <v>327.19297280833416</v>
      </c>
      <c r="AV31" s="49">
        <f t="shared" si="19"/>
        <v>381.34340980811351</v>
      </c>
      <c r="AW31" s="49">
        <f t="shared" si="19"/>
        <v>444.45574413135631</v>
      </c>
      <c r="AX31" s="50">
        <f>$AM26*AW31</f>
        <v>6666.8361619703446</v>
      </c>
      <c r="AY31" s="51"/>
      <c r="AZ31" s="49"/>
      <c r="BA31" s="10"/>
    </row>
    <row r="32" spans="1:53" ht="18.75" x14ac:dyDescent="0.3">
      <c r="A32" s="56" t="s">
        <v>64</v>
      </c>
      <c r="AL32" s="5" t="s">
        <v>43</v>
      </c>
      <c r="AM32" s="7"/>
      <c r="AN32" s="52">
        <f>AN31/(1+$AM25)</f>
        <v>97.391304347826093</v>
      </c>
      <c r="AO32" s="53">
        <f t="shared" ref="AO32:AW32" si="20">(1+$AM24)*AN32/(1+$AM25)</f>
        <v>98.703969754253322</v>
      </c>
      <c r="AP32" s="53">
        <f t="shared" si="20"/>
        <v>100.03432760746283</v>
      </c>
      <c r="AQ32" s="53">
        <f t="shared" si="20"/>
        <v>101.38261637086777</v>
      </c>
      <c r="AR32" s="53">
        <f t="shared" si="20"/>
        <v>102.74907772195338</v>
      </c>
      <c r="AS32" s="53">
        <f t="shared" si="20"/>
        <v>104.13395659559711</v>
      </c>
      <c r="AT32" s="53">
        <f t="shared" si="20"/>
        <v>105.53750122797256</v>
      </c>
      <c r="AU32" s="53">
        <f t="shared" si="20"/>
        <v>106.95996320104524</v>
      </c>
      <c r="AV32" s="53">
        <f t="shared" si="20"/>
        <v>108.40159748766803</v>
      </c>
      <c r="AW32" s="53">
        <f t="shared" si="20"/>
        <v>109.86266249728442</v>
      </c>
      <c r="AX32" s="54">
        <f>AX31/(1+AM25)^AX30</f>
        <v>1647.9399374592679</v>
      </c>
      <c r="AY32" s="53">
        <f>SUM(AN32:AX32)</f>
        <v>2683.0969142711983</v>
      </c>
      <c r="AZ32" s="53">
        <f>AY32+AM27</f>
        <v>2725.7069142711985</v>
      </c>
      <c r="BA32" s="55">
        <f>AZ32/AM28</f>
        <v>28.392780356991651</v>
      </c>
    </row>
    <row r="33" spans="1:7" x14ac:dyDescent="0.25">
      <c r="A33" s="77" t="s">
        <v>66</v>
      </c>
    </row>
    <row r="36" spans="1:7" x14ac:dyDescent="0.25">
      <c r="D36" s="78"/>
      <c r="E36" s="78"/>
      <c r="G36" s="79"/>
    </row>
    <row r="39" spans="1:7" x14ac:dyDescent="0.25">
      <c r="D39" s="41"/>
    </row>
  </sheetData>
  <mergeCells count="11">
    <mergeCell ref="S1:S2"/>
    <mergeCell ref="T1:T2"/>
    <mergeCell ref="U1:U2"/>
    <mergeCell ref="V1:V2"/>
    <mergeCell ref="W1:W2"/>
    <mergeCell ref="R1:R2"/>
    <mergeCell ref="M1:M2"/>
    <mergeCell ref="N1:N2"/>
    <mergeCell ref="O1:O2"/>
    <mergeCell ref="P1:P2"/>
    <mergeCell ref="Q1:Q2"/>
  </mergeCells>
  <conditionalFormatting sqref="L8">
    <cfRule type="cellIs" dxfId="605" priority="23" operator="greaterThan">
      <formula>3</formula>
    </cfRule>
    <cfRule type="cellIs" dxfId="604" priority="24" operator="lessThan">
      <formula>3</formula>
    </cfRule>
  </conditionalFormatting>
  <conditionalFormatting sqref="I3:K7">
    <cfRule type="cellIs" dxfId="603" priority="20" operator="between">
      <formula>0.05</formula>
      <formula>0.1</formula>
    </cfRule>
    <cfRule type="cellIs" dxfId="602" priority="21" operator="lessThan">
      <formula>0.05</formula>
    </cfRule>
    <cfRule type="cellIs" dxfId="601"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{315AA205-A253-4347-9CEB-1B5043B7859F}</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{D5A5F3C0-A30D-4767-8999-62954CD1BB10}</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{0843D3EB-4BAE-4ECD-9E7B-B94E5816F719}</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{580A1D16-4B6B-4069-8F7B-B176A9CB3D58}</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{9DCD4779-EFF8-412A-82FE-58BD53D80E34}</x14:id>
        </ext>
      </extLst>
    </cfRule>
  </conditionalFormatting>
  <conditionalFormatting sqref="E21">
    <cfRule type="cellIs" dxfId="600" priority="13" operator="greaterThan">
      <formula>3</formula>
    </cfRule>
    <cfRule type="cellIs" dxfId="599" priority="14" operator="lessThan">
      <formula>3</formula>
    </cfRule>
  </conditionalFormatting>
  <conditionalFormatting sqref="B16:D20">
    <cfRule type="cellIs" dxfId="598" priority="10" operator="between">
      <formula>0.05</formula>
      <formula>0.1</formula>
    </cfRule>
    <cfRule type="cellIs" dxfId="597" priority="11" operator="lessThan">
      <formula>0.05</formula>
    </cfRule>
    <cfRule type="cellIs" dxfId="596" priority="12" operator="greaterThan">
      <formula>0.1</formula>
    </cfRule>
  </conditionalFormatting>
  <conditionalFormatting sqref="C28:C30">
    <cfRule type="cellIs" dxfId="595" priority="7" operator="lessThan">
      <formula>0</formula>
    </cfRule>
    <cfRule type="cellIs" dxfId="594" priority="8" operator="between">
      <formula>0</formula>
      <formula>0.3</formula>
    </cfRule>
    <cfRule type="cellIs" dxfId="593" priority="9" operator="greaterThan">
      <formula>0.3</formula>
    </cfRule>
  </conditionalFormatting>
  <conditionalFormatting sqref="E28:E30">
    <cfRule type="cellIs" dxfId="592" priority="4" operator="lessThan">
      <formula>0</formula>
    </cfRule>
    <cfRule type="cellIs" dxfId="591" priority="5" operator="between">
      <formula>0</formula>
      <formula>0.3</formula>
    </cfRule>
    <cfRule type="cellIs" dxfId="590" priority="6" operator="greaterThan">
      <formula>0.3</formula>
    </cfRule>
  </conditionalFormatting>
  <conditionalFormatting sqref="F28:F30">
    <cfRule type="cellIs" dxfId="589" priority="1" operator="lessThan">
      <formula>0</formula>
    </cfRule>
    <cfRule type="cellIs" dxfId="588" priority="2" operator="between">
      <formula>0</formula>
      <formula>0.3</formula>
    </cfRule>
    <cfRule type="cellIs" dxfId="587" priority="3" operator="greaterThan">
      <formula>0.3</formula>
    </cfRule>
  </conditionalFormatting>
  <hyperlinks>
    <hyperlink ref="B4" r:id="rId1" display="THO" xr:uid="{DC109434-1917-4DE2-BC27-66BDF4363854}"/>
    <hyperlink ref="A33" r:id="rId2" xr:uid="{5F624924-E6D3-4274-9B53-4717393C2FFE}"/>
  </hyperlinks>
  <pageMargins left="0.7" right="0.7" top="0.75" bottom="0.75" header="0.3" footer="0.3"/>
  <pageSetup paperSize="9" orientation="portrait" r:id="rId3"/>
  <drawing r:id="rId4"/>
  <legacyDrawing r:id="rId5"/>
  <tableParts count="4">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dataBar" id="{315AA205-A253-4347-9CEB-1B5043B7859F}">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D5A5F3C0-A30D-4767-8999-62954CD1BB10}">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0843D3EB-4BAE-4ECD-9E7B-B94E5816F719}">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580A1D16-4B6B-4069-8F7B-B176A9CB3D58}">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9DCD4779-EFF8-412A-82FE-58BD53D80E34}">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09D83-179D-4FCE-9331-BC191CBDBAB6}">
  <dimension ref="A1:BA40"/>
  <sheetViews>
    <sheetView zoomScale="70" zoomScaleNormal="70" workbookViewId="0">
      <selection activeCell="G45" sqref="G45"/>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39" max="39" width="10.710937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17089</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MIN(Table1571[])</f>
        <v>8.4699999999999998E-2</v>
      </c>
      <c r="AA2" s="8">
        <f>Z2</f>
        <v>8.4699999999999998E-2</v>
      </c>
      <c r="AB2" s="9">
        <f t="shared" ref="AB2:AJ3" si="1">AA2</f>
        <v>8.4699999999999998E-2</v>
      </c>
      <c r="AC2" s="9">
        <f t="shared" si="1"/>
        <v>8.4699999999999998E-2</v>
      </c>
      <c r="AD2" s="9">
        <f t="shared" si="1"/>
        <v>8.4699999999999998E-2</v>
      </c>
      <c r="AE2" s="9">
        <f t="shared" si="1"/>
        <v>8.4699999999999998E-2</v>
      </c>
      <c r="AF2" s="9">
        <f t="shared" si="1"/>
        <v>8.4699999999999998E-2</v>
      </c>
      <c r="AG2" s="9">
        <f t="shared" si="1"/>
        <v>8.4699999999999998E-2</v>
      </c>
      <c r="AH2" s="9">
        <f t="shared" si="1"/>
        <v>8.4699999999999998E-2</v>
      </c>
      <c r="AI2" s="9">
        <f t="shared" si="1"/>
        <v>8.4699999999999998E-2</v>
      </c>
      <c r="AJ2" s="25">
        <f t="shared" si="1"/>
        <v>8.4699999999999998E-2</v>
      </c>
      <c r="AL2" s="18" t="s">
        <v>36</v>
      </c>
      <c r="AM2" s="67">
        <f>Z2</f>
        <v>8.4699999999999998E-2</v>
      </c>
      <c r="BA2" s="17"/>
    </row>
    <row r="3" spans="1:53" x14ac:dyDescent="0.25">
      <c r="A3" t="s">
        <v>49</v>
      </c>
      <c r="B3" s="58" t="s">
        <v>152</v>
      </c>
      <c r="H3" s="2" t="s">
        <v>6</v>
      </c>
      <c r="I3" s="8">
        <f>AVERAGE(M3:W3)</f>
        <v>9.9018181818181811E-2</v>
      </c>
      <c r="J3" s="9">
        <f>AVERAGE(S3:W3)</f>
        <v>0.10904</v>
      </c>
      <c r="K3" s="9">
        <f>W3</f>
        <v>8.9700000000000002E-2</v>
      </c>
      <c r="L3" s="10" t="s">
        <v>7</v>
      </c>
      <c r="M3" s="11">
        <v>7.0599999999999996E-2</v>
      </c>
      <c r="N3" s="12">
        <v>8.9700000000000002E-2</v>
      </c>
      <c r="O3" s="12">
        <v>8.9900000000000008E-2</v>
      </c>
      <c r="P3" s="12">
        <v>0.10210000000000001</v>
      </c>
      <c r="Q3" s="12">
        <v>9.5799999999999996E-2</v>
      </c>
      <c r="R3" s="12">
        <v>9.5899999999999999E-2</v>
      </c>
      <c r="S3" s="12">
        <v>0.19969999999999999</v>
      </c>
      <c r="T3" s="12">
        <v>9.1499999999999998E-2</v>
      </c>
      <c r="U3" s="12">
        <v>9.0299999999999991E-2</v>
      </c>
      <c r="V3" s="12">
        <v>7.400000000000001E-2</v>
      </c>
      <c r="W3" s="13">
        <v>8.9700000000000002E-2</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153</v>
      </c>
      <c r="H4" s="14" t="s">
        <v>8</v>
      </c>
      <c r="I4" s="15">
        <f>AVERAGE(M4:W4)</f>
        <v>8.4699999999999998E-2</v>
      </c>
      <c r="J4" s="16">
        <f>AVERAGE(S4:W4)</f>
        <v>0.13739999999999999</v>
      </c>
      <c r="K4" s="16">
        <f>W4</f>
        <v>0.123</v>
      </c>
      <c r="L4" s="17" t="s">
        <v>7</v>
      </c>
      <c r="M4" s="18" t="s">
        <v>7</v>
      </c>
      <c r="N4" s="12">
        <v>6.7000000000000004E-2</v>
      </c>
      <c r="O4" s="12">
        <v>1.0999999999999999E-2</v>
      </c>
      <c r="P4" s="12">
        <v>8.8999999999999996E-2</v>
      </c>
      <c r="Q4" s="12">
        <v>-7.0000000000000007E-2</v>
      </c>
      <c r="R4" s="12">
        <v>6.3E-2</v>
      </c>
      <c r="S4" s="12">
        <v>5.8000000000000003E-2</v>
      </c>
      <c r="T4" s="12">
        <v>0.32400000000000001</v>
      </c>
      <c r="U4" s="12">
        <v>8.5999999999999993E-2</v>
      </c>
      <c r="V4" s="12">
        <v>9.6000000000000002E-2</v>
      </c>
      <c r="W4" s="13">
        <v>0.123</v>
      </c>
      <c r="Y4" s="5" t="s">
        <v>15</v>
      </c>
      <c r="Z4" s="29">
        <v>16.625</v>
      </c>
      <c r="AA4" s="30">
        <f t="shared" si="2"/>
        <v>16.625</v>
      </c>
      <c r="AB4" s="31">
        <f t="shared" si="2"/>
        <v>16.625</v>
      </c>
      <c r="AC4" s="31">
        <f t="shared" si="2"/>
        <v>16.625</v>
      </c>
      <c r="AD4" s="31">
        <f t="shared" si="2"/>
        <v>16.625</v>
      </c>
      <c r="AE4" s="31">
        <f t="shared" si="2"/>
        <v>16.625</v>
      </c>
      <c r="AF4" s="31">
        <f t="shared" si="2"/>
        <v>16.625</v>
      </c>
      <c r="AG4" s="31">
        <f t="shared" si="2"/>
        <v>16.625</v>
      </c>
      <c r="AH4" s="31">
        <f t="shared" si="2"/>
        <v>16.625</v>
      </c>
      <c r="AI4" s="31">
        <f t="shared" si="2"/>
        <v>16.625</v>
      </c>
      <c r="AJ4" s="32">
        <f t="shared" si="2"/>
        <v>16.625</v>
      </c>
      <c r="AL4" s="18" t="s">
        <v>38</v>
      </c>
      <c r="AM4" s="64">
        <v>15</v>
      </c>
      <c r="BA4" s="17"/>
    </row>
    <row r="5" spans="1:53" x14ac:dyDescent="0.25">
      <c r="A5" t="s">
        <v>34</v>
      </c>
      <c r="B5" s="92">
        <v>44716</v>
      </c>
      <c r="H5" s="14" t="s">
        <v>9</v>
      </c>
      <c r="I5" s="15">
        <f>AVERAGE(M5:W5)</f>
        <v>0.24650000000000008</v>
      </c>
      <c r="J5" s="16">
        <f>AVERAGE(S5:W5)</f>
        <v>0.29199999999999998</v>
      </c>
      <c r="K5" s="16">
        <f>W5</f>
        <v>0.33300000000000002</v>
      </c>
      <c r="L5" s="17" t="s">
        <v>7</v>
      </c>
      <c r="M5" s="18" t="s">
        <v>7</v>
      </c>
      <c r="N5" s="12">
        <v>0.52</v>
      </c>
      <c r="O5" s="12">
        <v>0.123</v>
      </c>
      <c r="P5" s="12">
        <v>0.25</v>
      </c>
      <c r="Q5" s="12">
        <v>1.2999999999999999E-2</v>
      </c>
      <c r="R5" s="12">
        <v>9.9000000000000005E-2</v>
      </c>
      <c r="S5" s="12">
        <v>1.669</v>
      </c>
      <c r="T5" s="12">
        <v>-0.46700000000000003</v>
      </c>
      <c r="U5" s="12">
        <v>0.11899999999999999</v>
      </c>
      <c r="V5" s="12">
        <v>-0.19400000000000001</v>
      </c>
      <c r="W5" s="13">
        <v>0.33300000000000002</v>
      </c>
      <c r="Y5" s="1" t="s">
        <v>16</v>
      </c>
      <c r="Z5" s="33">
        <v>3.04</v>
      </c>
      <c r="AA5" s="34">
        <f>Z5</f>
        <v>3.04</v>
      </c>
      <c r="AB5" s="35">
        <f t="shared" ref="AB5:AJ5" si="3">AA5*(1+$Z2)</f>
        <v>3.297488</v>
      </c>
      <c r="AC5" s="35">
        <f t="shared" si="3"/>
        <v>3.5767852335999999</v>
      </c>
      <c r="AD5" s="35">
        <f t="shared" si="3"/>
        <v>3.8797389428859197</v>
      </c>
      <c r="AE5" s="35">
        <f t="shared" si="3"/>
        <v>4.2083528313483569</v>
      </c>
      <c r="AF5" s="35">
        <f t="shared" si="3"/>
        <v>4.5648003161635629</v>
      </c>
      <c r="AG5" s="35">
        <f t="shared" si="3"/>
        <v>4.9514389029426162</v>
      </c>
      <c r="AH5" s="35">
        <f t="shared" si="3"/>
        <v>5.3708257780218558</v>
      </c>
      <c r="AI5" s="35">
        <f t="shared" si="3"/>
        <v>5.8257347214203072</v>
      </c>
      <c r="AJ5" s="36">
        <f t="shared" si="3"/>
        <v>6.3191744523246074</v>
      </c>
      <c r="AL5" s="18" t="s">
        <v>39</v>
      </c>
      <c r="AM5" s="40">
        <v>8711</v>
      </c>
      <c r="BA5" s="17"/>
    </row>
    <row r="6" spans="1:53" x14ac:dyDescent="0.25">
      <c r="A6" t="s">
        <v>44</v>
      </c>
      <c r="B6" s="62">
        <v>42.93</v>
      </c>
      <c r="H6" s="14" t="s">
        <v>10</v>
      </c>
      <c r="I6" s="15">
        <f>AVERAGE(M6:W6)</f>
        <v>7.2999999999999995E-2</v>
      </c>
      <c r="J6" s="16">
        <f>AVERAGE(S6:W6)</f>
        <v>7.8600000000000003E-2</v>
      </c>
      <c r="K6" s="16">
        <f>W6</f>
        <v>0.124</v>
      </c>
      <c r="L6" s="17" t="s">
        <v>7</v>
      </c>
      <c r="M6" s="18" t="s">
        <v>7</v>
      </c>
      <c r="N6" s="12"/>
      <c r="O6" s="12">
        <v>3.3000000000000002E-2</v>
      </c>
      <c r="P6" s="12">
        <v>6.4000000000000001E-2</v>
      </c>
      <c r="Q6" s="12">
        <v>8.3000000000000004E-2</v>
      </c>
      <c r="R6" s="12">
        <v>8.4000000000000005E-2</v>
      </c>
      <c r="S6" s="12">
        <v>5.2999999999999999E-2</v>
      </c>
      <c r="T6" s="12">
        <v>0.112</v>
      </c>
      <c r="U6" s="12">
        <v>0.153</v>
      </c>
      <c r="V6" s="12">
        <v>-4.9000000000000002E-2</v>
      </c>
      <c r="W6" s="13">
        <v>0.124</v>
      </c>
      <c r="Y6" s="5" t="s">
        <v>19</v>
      </c>
      <c r="Z6" s="37">
        <f>AA6</f>
        <v>29.86355020817432</v>
      </c>
      <c r="AA6" s="38">
        <f t="shared" ref="AA6:AI6" si="4">AB6/(1+$Z3)</f>
        <v>29.86355020817432</v>
      </c>
      <c r="AB6" s="38">
        <f t="shared" si="4"/>
        <v>34.343082739400465</v>
      </c>
      <c r="AC6" s="38">
        <f t="shared" si="4"/>
        <v>39.494545150310529</v>
      </c>
      <c r="AD6" s="38">
        <f t="shared" si="4"/>
        <v>45.418726922857104</v>
      </c>
      <c r="AE6" s="38">
        <f t="shared" si="4"/>
        <v>52.231535961285665</v>
      </c>
      <c r="AF6" s="38">
        <f t="shared" si="4"/>
        <v>60.066266355478511</v>
      </c>
      <c r="AG6" s="38">
        <f t="shared" si="4"/>
        <v>69.07620630880028</v>
      </c>
      <c r="AH6" s="38">
        <f t="shared" si="4"/>
        <v>79.437637255120322</v>
      </c>
      <c r="AI6" s="38">
        <f t="shared" si="4"/>
        <v>91.353282843388357</v>
      </c>
      <c r="AJ6" s="39">
        <f>AJ5*$Z4</f>
        <v>105.0562752698966</v>
      </c>
      <c r="AL6" s="5" t="s">
        <v>40</v>
      </c>
      <c r="AM6" s="45">
        <v>4654</v>
      </c>
      <c r="BA6" s="17"/>
    </row>
    <row r="7" spans="1:53" x14ac:dyDescent="0.25">
      <c r="A7" t="s">
        <v>45</v>
      </c>
      <c r="B7" s="58"/>
      <c r="H7" s="14" t="s">
        <v>11</v>
      </c>
      <c r="I7" s="15">
        <f>AVERAGE(M7:W7)</f>
        <v>8.9300000000000004E-2</v>
      </c>
      <c r="J7" s="16">
        <f>AVERAGE(S7:W7)</f>
        <v>0.15819999999999998</v>
      </c>
      <c r="K7" s="16">
        <f>W7</f>
        <v>0.30399999999999999</v>
      </c>
      <c r="L7" s="17" t="s">
        <v>7</v>
      </c>
      <c r="M7" s="18" t="s">
        <v>7</v>
      </c>
      <c r="N7" s="12">
        <v>1.7000000000000001E-2</v>
      </c>
      <c r="O7" s="12">
        <v>-0.20200000000000001</v>
      </c>
      <c r="P7" s="12">
        <v>0.28199999999999997</v>
      </c>
      <c r="Q7" s="12">
        <v>0.06</v>
      </c>
      <c r="R7" s="12">
        <v>-5.5E-2</v>
      </c>
      <c r="S7" s="12">
        <v>0.2</v>
      </c>
      <c r="T7" s="12">
        <v>0.246</v>
      </c>
      <c r="U7" s="12">
        <v>5.3999999999999999E-2</v>
      </c>
      <c r="V7" s="12">
        <v>-1.2999999999999999E-2</v>
      </c>
      <c r="W7" s="13">
        <v>0.30399999999999999</v>
      </c>
      <c r="AL7" s="18"/>
      <c r="BA7" s="17"/>
    </row>
    <row r="8" spans="1:53" x14ac:dyDescent="0.25">
      <c r="A8" t="s">
        <v>46</v>
      </c>
      <c r="B8" s="58"/>
      <c r="H8" s="19" t="s">
        <v>12</v>
      </c>
      <c r="I8" s="5" t="s">
        <v>7</v>
      </c>
      <c r="J8" s="6" t="s">
        <v>7</v>
      </c>
      <c r="K8" s="6" t="s">
        <v>7</v>
      </c>
      <c r="L8" s="20">
        <v>5.95</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82</v>
      </c>
      <c r="B9" s="58"/>
      <c r="H9" s="43"/>
      <c r="L9" s="20"/>
      <c r="Y9" s="1"/>
      <c r="AA9" s="1"/>
      <c r="AB9" s="42"/>
      <c r="AC9" s="42"/>
      <c r="AD9" s="42"/>
      <c r="AE9" s="42"/>
      <c r="AF9" s="42"/>
      <c r="AG9" s="42"/>
      <c r="AH9" s="42"/>
      <c r="AI9" s="42"/>
      <c r="AJ9" s="10"/>
      <c r="AL9" s="1"/>
      <c r="AM9" s="10"/>
      <c r="AN9" s="1"/>
      <c r="AO9" s="42"/>
      <c r="AP9" s="42"/>
      <c r="AQ9" s="42"/>
      <c r="AR9" s="42"/>
      <c r="AS9" s="42"/>
      <c r="AT9" s="42"/>
      <c r="AU9" s="42"/>
      <c r="AV9" s="42"/>
      <c r="AW9" s="42"/>
      <c r="AX9" s="10"/>
      <c r="AY9" s="93"/>
      <c r="AZ9" s="93"/>
      <c r="BA9" s="94"/>
    </row>
    <row r="10" spans="1:53" x14ac:dyDescent="0.25">
      <c r="A10" t="s">
        <v>47</v>
      </c>
      <c r="B10" s="58"/>
      <c r="Y10" s="1" t="s">
        <v>13</v>
      </c>
      <c r="Z10" s="65">
        <f>AVERAGE(Table1571[])</f>
        <v>0.11746666666666666</v>
      </c>
      <c r="AA10" s="8">
        <f>Z10</f>
        <v>0.11746666666666666</v>
      </c>
      <c r="AB10" s="9">
        <f t="shared" ref="AB10:AJ11" si="5">AA10</f>
        <v>0.11746666666666666</v>
      </c>
      <c r="AC10" s="9">
        <f t="shared" si="5"/>
        <v>0.11746666666666666</v>
      </c>
      <c r="AD10" s="9">
        <f t="shared" si="5"/>
        <v>0.11746666666666666</v>
      </c>
      <c r="AE10" s="9">
        <f t="shared" si="5"/>
        <v>0.11746666666666666</v>
      </c>
      <c r="AF10" s="9">
        <f t="shared" si="5"/>
        <v>0.11746666666666666</v>
      </c>
      <c r="AG10" s="9">
        <f t="shared" si="5"/>
        <v>0.11746666666666666</v>
      </c>
      <c r="AH10" s="9">
        <f t="shared" si="5"/>
        <v>0.11746666666666666</v>
      </c>
      <c r="AI10" s="9">
        <f t="shared" si="5"/>
        <v>0.11746666666666666</v>
      </c>
      <c r="AJ10" s="25">
        <f t="shared" si="5"/>
        <v>0.11746666666666666</v>
      </c>
      <c r="AL10" s="1" t="s">
        <v>42</v>
      </c>
      <c r="AM10" s="10"/>
      <c r="AN10" s="48">
        <f>$AM1</f>
        <v>17089</v>
      </c>
      <c r="AO10" s="49">
        <f t="shared" ref="AO10:AW10" si="6">AN10+AN10*$AM2</f>
        <v>18536.438300000002</v>
      </c>
      <c r="AP10" s="49">
        <f t="shared" si="6"/>
        <v>20106.474624010003</v>
      </c>
      <c r="AQ10" s="49">
        <f t="shared" si="6"/>
        <v>21809.49302466365</v>
      </c>
      <c r="AR10" s="49">
        <f t="shared" si="6"/>
        <v>23656.757083852663</v>
      </c>
      <c r="AS10" s="49">
        <f t="shared" si="6"/>
        <v>25660.484408854983</v>
      </c>
      <c r="AT10" s="49">
        <f t="shared" si="6"/>
        <v>27833.927438285002</v>
      </c>
      <c r="AU10" s="49">
        <f t="shared" si="6"/>
        <v>30191.461092307742</v>
      </c>
      <c r="AV10" s="49">
        <f t="shared" si="6"/>
        <v>32748.677846826205</v>
      </c>
      <c r="AW10" s="49">
        <f t="shared" si="6"/>
        <v>35522.490860452388</v>
      </c>
      <c r="AX10" s="50">
        <f>$AM4*AW10</f>
        <v>532837.3629067858</v>
      </c>
      <c r="AY10" s="51"/>
      <c r="AZ10" s="49"/>
      <c r="BA10" s="10"/>
    </row>
    <row r="11" spans="1:53" x14ac:dyDescent="0.25">
      <c r="A11" t="s">
        <v>48</v>
      </c>
      <c r="B11" s="58"/>
      <c r="Y11" s="18" t="s">
        <v>14</v>
      </c>
      <c r="Z11">
        <f>Z3</f>
        <v>0.15</v>
      </c>
      <c r="AA11" s="26">
        <f t="shared" ref="AA11:AJ12" si="7">Z11</f>
        <v>0.15</v>
      </c>
      <c r="AB11" s="27">
        <f t="shared" si="5"/>
        <v>0.15</v>
      </c>
      <c r="AC11" s="27">
        <f t="shared" si="5"/>
        <v>0.15</v>
      </c>
      <c r="AD11" s="27">
        <f t="shared" si="5"/>
        <v>0.15</v>
      </c>
      <c r="AE11" s="27">
        <f t="shared" si="5"/>
        <v>0.15</v>
      </c>
      <c r="AF11" s="27">
        <f t="shared" si="5"/>
        <v>0.15</v>
      </c>
      <c r="AG11" s="27">
        <f t="shared" si="5"/>
        <v>0.15</v>
      </c>
      <c r="AH11" s="27">
        <f t="shared" si="5"/>
        <v>0.15</v>
      </c>
      <c r="AI11" s="27">
        <f t="shared" si="5"/>
        <v>0.15</v>
      </c>
      <c r="AJ11" s="28">
        <f t="shared" si="5"/>
        <v>0.15</v>
      </c>
      <c r="AL11" s="5" t="s">
        <v>43</v>
      </c>
      <c r="AM11" s="7"/>
      <c r="AN11" s="52">
        <f>AN10/(1+$AM3)</f>
        <v>14860.000000000002</v>
      </c>
      <c r="AO11" s="53">
        <f t="shared" ref="AO11:AW11" si="8">(1+$AM2)*AN11/(1+$AM3)</f>
        <v>14016.210434782612</v>
      </c>
      <c r="AP11" s="53">
        <f t="shared" si="8"/>
        <v>13220.333442268435</v>
      </c>
      <c r="AQ11" s="53">
        <f t="shared" si="8"/>
        <v>12469.648421590064</v>
      </c>
      <c r="AR11" s="53">
        <f t="shared" si="8"/>
        <v>11761.58925469456</v>
      </c>
      <c r="AS11" s="53">
        <f t="shared" si="8"/>
        <v>11093.735534406253</v>
      </c>
      <c r="AT11" s="53">
        <f t="shared" si="8"/>
        <v>10463.804290583012</v>
      </c>
      <c r="AU11" s="53">
        <f t="shared" si="8"/>
        <v>9869.6421860829523</v>
      </c>
      <c r="AV11" s="53">
        <f t="shared" si="8"/>
        <v>9309.2181558645043</v>
      </c>
      <c r="AW11" s="53">
        <f t="shared" si="8"/>
        <v>8780.6164640575898</v>
      </c>
      <c r="AX11" s="54">
        <f>AX10/(1+AM3)^AX8</f>
        <v>131709.24696086385</v>
      </c>
      <c r="AY11" s="53">
        <f>SUM(AN11:AX11)</f>
        <v>247554.04514519384</v>
      </c>
      <c r="AZ11" s="53">
        <f>AY11+AM5</f>
        <v>256265.04514519384</v>
      </c>
      <c r="BA11" s="55">
        <f>AZ11/AM6</f>
        <v>55.063396034635545</v>
      </c>
    </row>
    <row r="12" spans="1:53" x14ac:dyDescent="0.25">
      <c r="A12" t="s">
        <v>65</v>
      </c>
      <c r="B12" s="92"/>
      <c r="Y12" s="5" t="s">
        <v>15</v>
      </c>
      <c r="Z12" s="7">
        <f>Z4</f>
        <v>16.625</v>
      </c>
      <c r="AA12" s="30">
        <f t="shared" si="7"/>
        <v>16.625</v>
      </c>
      <c r="AB12" s="31">
        <f t="shared" si="7"/>
        <v>16.625</v>
      </c>
      <c r="AC12" s="31">
        <f t="shared" si="7"/>
        <v>16.625</v>
      </c>
      <c r="AD12" s="31">
        <f t="shared" si="7"/>
        <v>16.625</v>
      </c>
      <c r="AE12" s="31">
        <f t="shared" si="7"/>
        <v>16.625</v>
      </c>
      <c r="AF12" s="31">
        <f t="shared" si="7"/>
        <v>16.625</v>
      </c>
      <c r="AG12" s="31">
        <f t="shared" si="7"/>
        <v>16.625</v>
      </c>
      <c r="AH12" s="31">
        <f t="shared" si="7"/>
        <v>16.625</v>
      </c>
      <c r="AI12" s="31">
        <f t="shared" si="7"/>
        <v>16.625</v>
      </c>
      <c r="AJ12" s="32">
        <f t="shared" si="7"/>
        <v>16.625</v>
      </c>
    </row>
    <row r="13" spans="1:53" x14ac:dyDescent="0.25">
      <c r="Y13" s="1" t="s">
        <v>16</v>
      </c>
      <c r="Z13">
        <f>Z5</f>
        <v>3.04</v>
      </c>
      <c r="AA13" s="34">
        <f>Z13</f>
        <v>3.04</v>
      </c>
      <c r="AB13" s="35">
        <f t="shared" ref="AB13:AJ13" si="9">AA13*(1+$Z10)</f>
        <v>3.3970986666666665</v>
      </c>
      <c r="AC13" s="35">
        <f t="shared" si="9"/>
        <v>3.7961445233777775</v>
      </c>
      <c r="AD13" s="35">
        <f t="shared" si="9"/>
        <v>4.2420649667238868</v>
      </c>
      <c r="AE13" s="35">
        <f t="shared" si="9"/>
        <v>4.7403661981483856</v>
      </c>
      <c r="AF13" s="35">
        <f t="shared" si="9"/>
        <v>5.2972012142242155</v>
      </c>
      <c r="AG13" s="35">
        <f t="shared" si="9"/>
        <v>5.9194457835217529</v>
      </c>
      <c r="AH13" s="35">
        <f t="shared" si="9"/>
        <v>6.6147833482261076</v>
      </c>
      <c r="AI13" s="35">
        <f t="shared" si="9"/>
        <v>7.3917998988644005</v>
      </c>
      <c r="AJ13" s="36">
        <f t="shared" si="9"/>
        <v>8.2600899936510057</v>
      </c>
      <c r="AL13" s="1" t="s">
        <v>35</v>
      </c>
      <c r="AM13" s="72">
        <f>AM1</f>
        <v>17089</v>
      </c>
      <c r="AN13" s="42"/>
      <c r="AO13" s="42"/>
      <c r="AP13" s="42"/>
      <c r="AQ13" s="42"/>
      <c r="AR13" s="42"/>
      <c r="AS13" s="42"/>
      <c r="AT13" s="42"/>
      <c r="AU13" s="42"/>
      <c r="AV13" s="42"/>
      <c r="AW13" s="42"/>
      <c r="AX13" s="42"/>
      <c r="AY13" s="42"/>
      <c r="AZ13" s="42"/>
      <c r="BA13" s="10"/>
    </row>
    <row r="14" spans="1:53" ht="18.75" x14ac:dyDescent="0.3">
      <c r="A14" s="56" t="s">
        <v>29</v>
      </c>
      <c r="Y14" s="5" t="s">
        <v>19</v>
      </c>
      <c r="Z14" s="37">
        <f>AA14</f>
        <v>39.036050375012444</v>
      </c>
      <c r="AA14" s="38">
        <f t="shared" ref="AA14:AI14" si="10">AB14/(1+$Z11)</f>
        <v>39.036050375012444</v>
      </c>
      <c r="AB14" s="38">
        <f t="shared" si="10"/>
        <v>44.891457931264306</v>
      </c>
      <c r="AC14" s="38">
        <f t="shared" si="10"/>
        <v>51.625176620953951</v>
      </c>
      <c r="AD14" s="38">
        <f t="shared" si="10"/>
        <v>59.368953114097039</v>
      </c>
      <c r="AE14" s="38">
        <f t="shared" si="10"/>
        <v>68.274296081211588</v>
      </c>
      <c r="AF14" s="38">
        <f t="shared" si="10"/>
        <v>78.515440493393328</v>
      </c>
      <c r="AG14" s="38">
        <f t="shared" si="10"/>
        <v>90.292756567402321</v>
      </c>
      <c r="AH14" s="38">
        <f t="shared" si="10"/>
        <v>103.83667005251266</v>
      </c>
      <c r="AI14" s="38">
        <f t="shared" si="10"/>
        <v>119.41217056038954</v>
      </c>
      <c r="AJ14" s="39">
        <f>AJ13*$Z12</f>
        <v>137.32399614444796</v>
      </c>
      <c r="AL14" s="18" t="s">
        <v>36</v>
      </c>
      <c r="AM14" s="68">
        <f>Z10</f>
        <v>0.11746666666666666</v>
      </c>
      <c r="BA14" s="17"/>
    </row>
    <row r="15" spans="1:53" x14ac:dyDescent="0.25">
      <c r="A15" s="43" t="s">
        <v>32</v>
      </c>
      <c r="B15" s="18" t="s">
        <v>0</v>
      </c>
      <c r="C15" t="s">
        <v>1</v>
      </c>
      <c r="D15" t="s">
        <v>2</v>
      </c>
      <c r="E15" t="s">
        <v>3</v>
      </c>
      <c r="AL15" s="18" t="s">
        <v>37</v>
      </c>
      <c r="AM15" s="69">
        <f>AM3</f>
        <v>0.15</v>
      </c>
      <c r="BA15" s="17"/>
    </row>
    <row r="16" spans="1:53" x14ac:dyDescent="0.25">
      <c r="A16" t="s">
        <v>52</v>
      </c>
      <c r="B16" t="s">
        <v>4</v>
      </c>
      <c r="C16" t="s">
        <v>4</v>
      </c>
      <c r="D16" t="s">
        <v>4</v>
      </c>
      <c r="E16" t="s">
        <v>5</v>
      </c>
      <c r="Y16" s="21" t="s">
        <v>61</v>
      </c>
      <c r="Z16" s="22"/>
      <c r="AA16" s="21">
        <v>2021</v>
      </c>
      <c r="AB16" s="23">
        <v>2022</v>
      </c>
      <c r="AC16" s="23">
        <v>2023</v>
      </c>
      <c r="AD16" s="23">
        <v>2024</v>
      </c>
      <c r="AE16" s="23">
        <v>2025</v>
      </c>
      <c r="AF16" s="23">
        <v>2026</v>
      </c>
      <c r="AG16" s="23">
        <v>2027</v>
      </c>
      <c r="AH16" s="23">
        <v>2028</v>
      </c>
      <c r="AI16" s="23">
        <v>2029</v>
      </c>
      <c r="AJ16" s="24">
        <v>2030</v>
      </c>
      <c r="AL16" s="18" t="s">
        <v>38</v>
      </c>
      <c r="AM16" s="69">
        <f>AM4</f>
        <v>15</v>
      </c>
      <c r="BA16" s="17"/>
    </row>
    <row r="17" spans="1:53" x14ac:dyDescent="0.25">
      <c r="A17" t="s">
        <v>23</v>
      </c>
      <c r="B17" s="16">
        <f t="shared" ref="B17:D21" si="11">I3</f>
        <v>9.9018181818181811E-2</v>
      </c>
      <c r="C17" s="16">
        <f t="shared" si="11"/>
        <v>0.10904</v>
      </c>
      <c r="D17" s="16">
        <f t="shared" si="11"/>
        <v>8.9700000000000002E-2</v>
      </c>
      <c r="Y17" s="1" t="s">
        <v>13</v>
      </c>
      <c r="Z17" s="60">
        <f>MAX(Table1571[])</f>
        <v>0.1348</v>
      </c>
      <c r="AA17" s="8">
        <f>Z17</f>
        <v>0.1348</v>
      </c>
      <c r="AB17" s="9">
        <f t="shared" ref="AB17:AJ18" si="12">AA17</f>
        <v>0.1348</v>
      </c>
      <c r="AC17" s="9">
        <f t="shared" si="12"/>
        <v>0.1348</v>
      </c>
      <c r="AD17" s="9">
        <f t="shared" si="12"/>
        <v>0.1348</v>
      </c>
      <c r="AE17" s="9">
        <f t="shared" si="12"/>
        <v>0.1348</v>
      </c>
      <c r="AF17" s="9">
        <f t="shared" si="12"/>
        <v>0.1348</v>
      </c>
      <c r="AG17" s="9">
        <f t="shared" si="12"/>
        <v>0.1348</v>
      </c>
      <c r="AH17" s="9">
        <f t="shared" si="12"/>
        <v>0.1348</v>
      </c>
      <c r="AI17" s="9">
        <f t="shared" si="12"/>
        <v>0.1348</v>
      </c>
      <c r="AJ17" s="25">
        <f t="shared" si="12"/>
        <v>0.1348</v>
      </c>
      <c r="AL17" s="18" t="s">
        <v>39</v>
      </c>
      <c r="AM17" s="69">
        <f>AM5</f>
        <v>8711</v>
      </c>
      <c r="BA17" s="17"/>
    </row>
    <row r="18" spans="1:53" x14ac:dyDescent="0.25">
      <c r="A18" t="s">
        <v>24</v>
      </c>
      <c r="B18" s="16">
        <f t="shared" si="11"/>
        <v>8.4699999999999998E-2</v>
      </c>
      <c r="C18" s="16">
        <f t="shared" si="11"/>
        <v>0.13739999999999999</v>
      </c>
      <c r="D18" s="16">
        <f t="shared" si="11"/>
        <v>0.123</v>
      </c>
      <c r="Y18" s="18" t="s">
        <v>14</v>
      </c>
      <c r="Z18">
        <f>Z3</f>
        <v>0.15</v>
      </c>
      <c r="AA18" s="26">
        <f t="shared" ref="AA18:AJ19" si="13">Z18</f>
        <v>0.15</v>
      </c>
      <c r="AB18" s="27">
        <f t="shared" si="12"/>
        <v>0.15</v>
      </c>
      <c r="AC18" s="27">
        <f t="shared" si="12"/>
        <v>0.15</v>
      </c>
      <c r="AD18" s="27">
        <f t="shared" si="12"/>
        <v>0.15</v>
      </c>
      <c r="AE18" s="27">
        <f t="shared" si="12"/>
        <v>0.15</v>
      </c>
      <c r="AF18" s="27">
        <f t="shared" si="12"/>
        <v>0.15</v>
      </c>
      <c r="AG18" s="27">
        <f t="shared" si="12"/>
        <v>0.15</v>
      </c>
      <c r="AH18" s="27">
        <f t="shared" si="12"/>
        <v>0.15</v>
      </c>
      <c r="AI18" s="27">
        <f t="shared" si="12"/>
        <v>0.15</v>
      </c>
      <c r="AJ18" s="28">
        <f t="shared" si="12"/>
        <v>0.15</v>
      </c>
      <c r="AL18" s="5" t="s">
        <v>40</v>
      </c>
      <c r="AM18" s="70">
        <f>AM6</f>
        <v>4654</v>
      </c>
      <c r="BA18" s="17"/>
    </row>
    <row r="19" spans="1:53" x14ac:dyDescent="0.25">
      <c r="A19" t="s">
        <v>25</v>
      </c>
      <c r="B19" s="16">
        <f t="shared" si="11"/>
        <v>0.24650000000000008</v>
      </c>
      <c r="C19" s="16">
        <f t="shared" si="11"/>
        <v>0.29199999999999998</v>
      </c>
      <c r="D19" s="16">
        <f t="shared" si="11"/>
        <v>0.33300000000000002</v>
      </c>
      <c r="Y19" s="5" t="s">
        <v>15</v>
      </c>
      <c r="Z19" s="7">
        <f>Z4</f>
        <v>16.625</v>
      </c>
      <c r="AA19" s="30">
        <f t="shared" si="13"/>
        <v>16.625</v>
      </c>
      <c r="AB19" s="31">
        <f t="shared" si="13"/>
        <v>16.625</v>
      </c>
      <c r="AC19" s="31">
        <f t="shared" si="13"/>
        <v>16.625</v>
      </c>
      <c r="AD19" s="31">
        <f t="shared" si="13"/>
        <v>16.625</v>
      </c>
      <c r="AE19" s="31">
        <f t="shared" si="13"/>
        <v>16.625</v>
      </c>
      <c r="AF19" s="31">
        <f t="shared" si="13"/>
        <v>16.625</v>
      </c>
      <c r="AG19" s="31">
        <f t="shared" si="13"/>
        <v>16.625</v>
      </c>
      <c r="AH19" s="31">
        <f t="shared" si="13"/>
        <v>16.625</v>
      </c>
      <c r="AI19" s="31">
        <f t="shared" si="13"/>
        <v>16.625</v>
      </c>
      <c r="AJ19" s="32">
        <f t="shared" si="13"/>
        <v>16.625</v>
      </c>
      <c r="AL19" s="18"/>
      <c r="BA19" s="17"/>
    </row>
    <row r="20" spans="1:53" x14ac:dyDescent="0.25">
      <c r="A20" t="s">
        <v>26</v>
      </c>
      <c r="B20" s="16">
        <f t="shared" si="11"/>
        <v>7.2999999999999995E-2</v>
      </c>
      <c r="C20" s="16">
        <f t="shared" si="11"/>
        <v>7.8600000000000003E-2</v>
      </c>
      <c r="D20" s="16">
        <f t="shared" si="11"/>
        <v>0.124</v>
      </c>
      <c r="Y20" s="1" t="s">
        <v>16</v>
      </c>
      <c r="Z20">
        <f>Z5</f>
        <v>3.04</v>
      </c>
      <c r="AA20" s="34">
        <f>Z20</f>
        <v>3.04</v>
      </c>
      <c r="AB20" s="35">
        <f t="shared" ref="AB20:AJ20" si="14">AA20*(1+$Z17)</f>
        <v>3.449792</v>
      </c>
      <c r="AC20" s="35">
        <f t="shared" si="14"/>
        <v>3.9148239616000002</v>
      </c>
      <c r="AD20" s="35">
        <f t="shared" si="14"/>
        <v>4.4425422316236807</v>
      </c>
      <c r="AE20" s="35">
        <f t="shared" si="14"/>
        <v>5.0413969244465529</v>
      </c>
      <c r="AF20" s="35">
        <f t="shared" si="14"/>
        <v>5.7209772298619486</v>
      </c>
      <c r="AG20" s="35">
        <f t="shared" si="14"/>
        <v>6.4921649604473393</v>
      </c>
      <c r="AH20" s="35">
        <f t="shared" si="14"/>
        <v>7.3673087971156406</v>
      </c>
      <c r="AI20" s="35">
        <f t="shared" si="14"/>
        <v>8.36042202296683</v>
      </c>
      <c r="AJ20" s="36">
        <f t="shared" si="14"/>
        <v>9.4874069116627595</v>
      </c>
      <c r="AL20" s="21"/>
      <c r="AM20" s="24"/>
      <c r="AN20" s="21">
        <v>1</v>
      </c>
      <c r="AO20" s="23">
        <v>2</v>
      </c>
      <c r="AP20" s="23">
        <v>3</v>
      </c>
      <c r="AQ20" s="23">
        <v>4</v>
      </c>
      <c r="AR20" s="23">
        <v>5</v>
      </c>
      <c r="AS20" s="23">
        <v>6</v>
      </c>
      <c r="AT20" s="23">
        <v>7</v>
      </c>
      <c r="AU20" s="23">
        <v>8</v>
      </c>
      <c r="AV20" s="23">
        <v>9</v>
      </c>
      <c r="AW20" s="23">
        <v>10</v>
      </c>
      <c r="AX20" s="24">
        <v>10</v>
      </c>
      <c r="AY20" s="46" t="s">
        <v>41</v>
      </c>
      <c r="AZ20" s="46" t="s">
        <v>62</v>
      </c>
      <c r="BA20" s="47" t="s">
        <v>63</v>
      </c>
    </row>
    <row r="21" spans="1:53" x14ac:dyDescent="0.25">
      <c r="A21" t="s">
        <v>27</v>
      </c>
      <c r="B21" s="16">
        <f t="shared" si="11"/>
        <v>8.9300000000000004E-2</v>
      </c>
      <c r="C21" s="16">
        <f t="shared" si="11"/>
        <v>0.15819999999999998</v>
      </c>
      <c r="D21" s="16">
        <f t="shared" si="11"/>
        <v>0.30399999999999999</v>
      </c>
      <c r="Y21" s="5" t="s">
        <v>19</v>
      </c>
      <c r="Z21" s="37">
        <f>AA21</f>
        <v>44.836181496396946</v>
      </c>
      <c r="AA21" s="38">
        <f t="shared" ref="AA21:AI21" si="15">AB21/(1+$Z18)</f>
        <v>44.836181496396946</v>
      </c>
      <c r="AB21" s="38">
        <f t="shared" si="15"/>
        <v>51.561608720856484</v>
      </c>
      <c r="AC21" s="38">
        <f t="shared" si="15"/>
        <v>59.295850028984951</v>
      </c>
      <c r="AD21" s="38">
        <f t="shared" si="15"/>
        <v>68.190227533332688</v>
      </c>
      <c r="AE21" s="38">
        <f t="shared" si="15"/>
        <v>78.418761663332589</v>
      </c>
      <c r="AF21" s="38">
        <f t="shared" si="15"/>
        <v>90.181575912832471</v>
      </c>
      <c r="AG21" s="38">
        <f t="shared" si="15"/>
        <v>103.70881229975733</v>
      </c>
      <c r="AH21" s="38">
        <f t="shared" si="15"/>
        <v>119.26513414472092</v>
      </c>
      <c r="AI21" s="38">
        <f t="shared" si="15"/>
        <v>137.15490426642904</v>
      </c>
      <c r="AJ21" s="39">
        <f>AJ20*$Z19</f>
        <v>157.72813990639338</v>
      </c>
      <c r="AL21" s="1" t="s">
        <v>42</v>
      </c>
      <c r="AM21" s="10"/>
      <c r="AN21" s="48">
        <f>$AM13</f>
        <v>17089</v>
      </c>
      <c r="AO21" s="49">
        <f t="shared" ref="AO21:AW21" si="16">AN21+AN21*$AM14</f>
        <v>19096.387866666668</v>
      </c>
      <c r="AP21" s="49">
        <f t="shared" si="16"/>
        <v>21339.57689473778</v>
      </c>
      <c r="AQ21" s="49">
        <f t="shared" si="16"/>
        <v>23846.265860639644</v>
      </c>
      <c r="AR21" s="49">
        <f t="shared" si="16"/>
        <v>26647.407223736114</v>
      </c>
      <c r="AS21" s="49">
        <f t="shared" si="16"/>
        <v>29777.58932561765</v>
      </c>
      <c r="AT21" s="49">
        <f t="shared" si="16"/>
        <v>33275.463485066866</v>
      </c>
      <c r="AU21" s="49">
        <f t="shared" si="16"/>
        <v>37184.221262446052</v>
      </c>
      <c r="AV21" s="49">
        <f t="shared" si="16"/>
        <v>41552.127786741381</v>
      </c>
      <c r="AW21" s="49">
        <f t="shared" si="16"/>
        <v>46433.117730757265</v>
      </c>
      <c r="AX21" s="50">
        <f>$AM16*AW21</f>
        <v>696496.76596135902</v>
      </c>
      <c r="AY21" s="51"/>
      <c r="AZ21" s="49"/>
      <c r="BA21" s="10"/>
    </row>
    <row r="22" spans="1:53" x14ac:dyDescent="0.25">
      <c r="A22" t="s">
        <v>28</v>
      </c>
      <c r="E22" s="57">
        <f>L8</f>
        <v>5.95</v>
      </c>
      <c r="AL22" s="5" t="s">
        <v>43</v>
      </c>
      <c r="AM22" s="7"/>
      <c r="AN22" s="52">
        <f>AN21/(1+$AM15)</f>
        <v>14860.000000000002</v>
      </c>
      <c r="AO22" s="53">
        <f t="shared" ref="AO22:AW22" si="17">(1+$AM14)*AN22/(1+$AM15)</f>
        <v>14439.612753623189</v>
      </c>
      <c r="AP22" s="53">
        <f t="shared" si="17"/>
        <v>14031.11820152069</v>
      </c>
      <c r="AQ22" s="53">
        <f t="shared" si="17"/>
        <v>13634.179901095064</v>
      </c>
      <c r="AR22" s="53">
        <f t="shared" si="17"/>
        <v>13248.470927661185</v>
      </c>
      <c r="AS22" s="53">
        <f t="shared" si="17"/>
        <v>12873.673605185901</v>
      </c>
      <c r="AT22" s="53">
        <f t="shared" si="17"/>
        <v>12509.47924464499</v>
      </c>
      <c r="AU22" s="53">
        <f t="shared" si="17"/>
        <v>12155.587889781989</v>
      </c>
      <c r="AV22" s="53">
        <f t="shared" si="17"/>
        <v>11811.708070059462</v>
      </c>
      <c r="AW22" s="53">
        <f t="shared" si="17"/>
        <v>11477.556560599229</v>
      </c>
      <c r="AX22" s="54">
        <f>AX21/(1+AM15)^AX20</f>
        <v>172163.34840898853</v>
      </c>
      <c r="AY22" s="53">
        <f>SUM(AN22:AX22)</f>
        <v>303204.73556316027</v>
      </c>
      <c r="AZ22" s="53">
        <f>AY22+AM17</f>
        <v>311915.73556316027</v>
      </c>
      <c r="BA22" s="55">
        <f>AZ22/AM18</f>
        <v>67.021000335874575</v>
      </c>
    </row>
    <row r="23" spans="1:53" x14ac:dyDescent="0.25">
      <c r="AN23" s="75"/>
      <c r="AO23" s="75"/>
      <c r="AP23" s="75"/>
      <c r="AQ23" s="75"/>
      <c r="AR23" s="75"/>
      <c r="AS23" s="75"/>
      <c r="AT23" s="75"/>
      <c r="AU23" s="75"/>
      <c r="AV23" s="75"/>
      <c r="AW23" s="75"/>
      <c r="AX23" s="75"/>
      <c r="AY23" s="75"/>
      <c r="AZ23" s="75"/>
      <c r="BA23" s="76"/>
    </row>
    <row r="24" spans="1:53" ht="18.75" x14ac:dyDescent="0.3">
      <c r="A24" s="56" t="s">
        <v>30</v>
      </c>
      <c r="AL24" s="1" t="s">
        <v>35</v>
      </c>
      <c r="AM24" s="22">
        <f>AM1</f>
        <v>17089</v>
      </c>
      <c r="AN24" s="42"/>
      <c r="AO24" s="42"/>
      <c r="AP24" s="42"/>
      <c r="AQ24" s="42"/>
      <c r="AR24" s="42"/>
      <c r="AS24" s="42"/>
      <c r="AT24" s="42"/>
      <c r="AU24" s="42"/>
      <c r="AV24" s="42"/>
      <c r="AW24" s="42"/>
      <c r="AX24" s="42"/>
      <c r="AY24" s="42"/>
      <c r="AZ24" s="42"/>
      <c r="BA24" s="10"/>
    </row>
    <row r="25" spans="1:53" x14ac:dyDescent="0.25">
      <c r="A25" t="s">
        <v>107</v>
      </c>
      <c r="B25" t="s">
        <v>137</v>
      </c>
      <c r="C25" t="s">
        <v>138</v>
      </c>
      <c r="AL25" s="18" t="s">
        <v>36</v>
      </c>
      <c r="AM25" s="71">
        <f>Z17</f>
        <v>0.1348</v>
      </c>
      <c r="BA25" s="17"/>
    </row>
    <row r="26" spans="1:53" x14ac:dyDescent="0.25">
      <c r="A26" s="16">
        <f>B18</f>
        <v>8.4699999999999998E-2</v>
      </c>
      <c r="B26" s="86">
        <v>0.1348</v>
      </c>
      <c r="C26" s="85">
        <v>0.13289999999999999</v>
      </c>
      <c r="AL26" s="18" t="s">
        <v>37</v>
      </c>
      <c r="AM26" s="69">
        <f>AM3</f>
        <v>0.15</v>
      </c>
      <c r="BA26" s="17"/>
    </row>
    <row r="27" spans="1:53" x14ac:dyDescent="0.25">
      <c r="AL27" s="18" t="s">
        <v>38</v>
      </c>
      <c r="AM27" s="69">
        <f>AM4</f>
        <v>15</v>
      </c>
      <c r="BA27" s="17"/>
    </row>
    <row r="28" spans="1:53" ht="30" x14ac:dyDescent="0.25">
      <c r="A28" t="s">
        <v>18</v>
      </c>
      <c r="B28" s="41" t="s">
        <v>20</v>
      </c>
      <c r="C28" s="41" t="s">
        <v>31</v>
      </c>
      <c r="D28" s="41" t="s">
        <v>21</v>
      </c>
      <c r="E28" s="41" t="s">
        <v>22</v>
      </c>
      <c r="F28" t="s">
        <v>126</v>
      </c>
      <c r="AL28" s="18" t="s">
        <v>39</v>
      </c>
      <c r="AM28" s="69">
        <f>AM5</f>
        <v>8711</v>
      </c>
      <c r="BA28" s="17"/>
    </row>
    <row r="29" spans="1:53" x14ac:dyDescent="0.25">
      <c r="A29" s="16">
        <f>MIN(Table1571[])</f>
        <v>8.4699999999999998E-2</v>
      </c>
      <c r="B29" s="73">
        <f>Z6</f>
        <v>29.86355020817432</v>
      </c>
      <c r="C29" s="63">
        <f>1-$B$6/Table168[[#This Row],[Fair Value
Method 1]]</f>
        <v>-0.43753839381926873</v>
      </c>
      <c r="D29" s="66">
        <f>BA11</f>
        <v>55.063396034635545</v>
      </c>
      <c r="E29" s="63">
        <f>1-$B$6/Table168[[#This Row],[Fair Value 
Method 2]]</f>
        <v>0.22035320936259528</v>
      </c>
      <c r="F29" s="63">
        <f>AVERAGE(Table168[[#This Row],[MOS
Method 1]],Table168[[#This Row],[MOS 
Method 2]])</f>
        <v>-0.10859259222833673</v>
      </c>
      <c r="AL29" s="5" t="s">
        <v>40</v>
      </c>
      <c r="AM29" s="70">
        <f>AM6</f>
        <v>4654</v>
      </c>
      <c r="BA29" s="17"/>
    </row>
    <row r="30" spans="1:53" x14ac:dyDescent="0.25">
      <c r="A30" s="61">
        <f>AVERAGE(Table1571[])</f>
        <v>0.11746666666666666</v>
      </c>
      <c r="B30" s="73">
        <f>Z14</f>
        <v>39.036050375012444</v>
      </c>
      <c r="C30" s="63">
        <f>1-$B$6/Table168[[#This Row],[Fair Value
Method 1]]</f>
        <v>-9.9752653959072957E-2</v>
      </c>
      <c r="D30" s="66">
        <f>BA22</f>
        <v>67.021000335874575</v>
      </c>
      <c r="E30" s="63">
        <f>1-$B$6/Table168[[#This Row],[Fair Value 
Method 2]]</f>
        <v>0.35945450254611166</v>
      </c>
      <c r="F30" s="63">
        <f>AVERAGE(Table168[[#This Row],[MOS
Method 1]],Table168[[#This Row],[MOS 
Method 2]])</f>
        <v>0.12985092429351935</v>
      </c>
      <c r="AL30" s="18"/>
      <c r="BA30" s="17"/>
    </row>
    <row r="31" spans="1:53" x14ac:dyDescent="0.25">
      <c r="A31" s="61">
        <f>MAX(Table1571[])</f>
        <v>0.1348</v>
      </c>
      <c r="B31" s="73">
        <f>Z21</f>
        <v>44.836181496396946</v>
      </c>
      <c r="C31" s="63">
        <f>1-$B$6/Table168[[#This Row],[Fair Value
Method 1]]</f>
        <v>4.2514358555492238E-2</v>
      </c>
      <c r="D31" s="66">
        <f>BA33</f>
        <v>74.456601432275605</v>
      </c>
      <c r="E31" s="63">
        <f>1-$B$6/Table168[[#This Row],[Fair Value 
Method 2]]</f>
        <v>0.42342251493914396</v>
      </c>
      <c r="F31" s="63">
        <f>AVERAGE(Table168[[#This Row],[MOS
Method 1]],Table168[[#This Row],[MOS 
Method 2]])</f>
        <v>0.2329684367473181</v>
      </c>
      <c r="AL31" s="21"/>
      <c r="AM31" s="24"/>
      <c r="AN31" s="21">
        <v>1</v>
      </c>
      <c r="AO31" s="23">
        <v>2</v>
      </c>
      <c r="AP31" s="23">
        <v>3</v>
      </c>
      <c r="AQ31" s="23">
        <v>4</v>
      </c>
      <c r="AR31" s="23">
        <v>5</v>
      </c>
      <c r="AS31" s="23">
        <v>6</v>
      </c>
      <c r="AT31" s="23">
        <v>7</v>
      </c>
      <c r="AU31" s="23">
        <v>8</v>
      </c>
      <c r="AV31" s="23">
        <v>9</v>
      </c>
      <c r="AW31" s="23">
        <v>10</v>
      </c>
      <c r="AX31" s="24">
        <v>10</v>
      </c>
      <c r="AY31" s="46" t="s">
        <v>41</v>
      </c>
      <c r="AZ31" s="46" t="s">
        <v>62</v>
      </c>
      <c r="BA31" s="47" t="s">
        <v>63</v>
      </c>
    </row>
    <row r="32" spans="1:53" x14ac:dyDescent="0.25">
      <c r="AL32" s="1" t="s">
        <v>42</v>
      </c>
      <c r="AM32" s="10"/>
      <c r="AN32" s="48">
        <f>$AM24</f>
        <v>17089</v>
      </c>
      <c r="AO32" s="49">
        <f t="shared" ref="AO32:AW32" si="18">AN32+AN32*$AM25</f>
        <v>19392.5972</v>
      </c>
      <c r="AP32" s="49">
        <f t="shared" si="18"/>
        <v>22006.719302559999</v>
      </c>
      <c r="AQ32" s="49">
        <f t="shared" si="18"/>
        <v>24973.225064545088</v>
      </c>
      <c r="AR32" s="49">
        <f t="shared" si="18"/>
        <v>28339.615803245764</v>
      </c>
      <c r="AS32" s="49">
        <f t="shared" si="18"/>
        <v>32159.796013523293</v>
      </c>
      <c r="AT32" s="49">
        <f t="shared" si="18"/>
        <v>36494.936516146234</v>
      </c>
      <c r="AU32" s="49">
        <f t="shared" si="18"/>
        <v>41414.453958522747</v>
      </c>
      <c r="AV32" s="49">
        <f t="shared" si="18"/>
        <v>46997.122352131613</v>
      </c>
      <c r="AW32" s="49">
        <f t="shared" si="18"/>
        <v>53332.334445198954</v>
      </c>
      <c r="AX32" s="50">
        <f>$AM27*AW32</f>
        <v>799985.01667798427</v>
      </c>
      <c r="AY32" s="51"/>
      <c r="AZ32" s="49"/>
      <c r="BA32" s="10"/>
    </row>
    <row r="33" spans="1:53" ht="18.75" x14ac:dyDescent="0.3">
      <c r="A33" s="56" t="s">
        <v>64</v>
      </c>
      <c r="AL33" s="5" t="s">
        <v>43</v>
      </c>
      <c r="AM33" s="7"/>
      <c r="AN33" s="52">
        <f>AN32/(1+$AM26)</f>
        <v>14860.000000000002</v>
      </c>
      <c r="AO33" s="53">
        <f t="shared" ref="AO33:AW33" si="19">(1+$AM25)*AN33/(1+$AM26)</f>
        <v>14663.589565217397</v>
      </c>
      <c r="AP33" s="53">
        <f t="shared" si="19"/>
        <v>14469.775164007569</v>
      </c>
      <c r="AQ33" s="53">
        <f t="shared" si="19"/>
        <v>14278.52248357895</v>
      </c>
      <c r="AR33" s="53">
        <f t="shared" si="19"/>
        <v>14089.797664665561</v>
      </c>
      <c r="AS33" s="53">
        <f t="shared" si="19"/>
        <v>13903.567295532592</v>
      </c>
      <c r="AT33" s="53">
        <f t="shared" si="19"/>
        <v>13719.798406061205</v>
      </c>
      <c r="AU33" s="53">
        <f t="shared" si="19"/>
        <v>13538.458461911529</v>
      </c>
      <c r="AV33" s="53">
        <f t="shared" si="19"/>
        <v>13359.515358762786</v>
      </c>
      <c r="AW33" s="53">
        <f t="shared" si="19"/>
        <v>13182.937416629577</v>
      </c>
      <c r="AX33" s="54">
        <f>AX32/(1+AM26)^AX31</f>
        <v>197744.0612494435</v>
      </c>
      <c r="AY33" s="53">
        <f>SUM(AN33:AX33)</f>
        <v>337810.02306581067</v>
      </c>
      <c r="AZ33" s="53">
        <f>AY33+AM28</f>
        <v>346521.02306581067</v>
      </c>
      <c r="BA33" s="55">
        <f>AZ33/AM29</f>
        <v>74.456601432275605</v>
      </c>
    </row>
    <row r="34" spans="1:53" x14ac:dyDescent="0.25">
      <c r="A34" s="77" t="s">
        <v>66</v>
      </c>
    </row>
    <row r="37" spans="1:53" x14ac:dyDescent="0.25">
      <c r="D37" s="78"/>
      <c r="E37" s="78"/>
      <c r="G37" s="79"/>
    </row>
    <row r="40" spans="1:53" x14ac:dyDescent="0.25">
      <c r="D40" s="41"/>
    </row>
  </sheetData>
  <mergeCells count="11">
    <mergeCell ref="R1:R2"/>
    <mergeCell ref="M1:M2"/>
    <mergeCell ref="N1:N2"/>
    <mergeCell ref="O1:O2"/>
    <mergeCell ref="P1:P2"/>
    <mergeCell ref="Q1:Q2"/>
    <mergeCell ref="S1:S2"/>
    <mergeCell ref="T1:T2"/>
    <mergeCell ref="U1:U2"/>
    <mergeCell ref="V1:V2"/>
    <mergeCell ref="W1:W2"/>
  </mergeCells>
  <conditionalFormatting sqref="L8:L9">
    <cfRule type="cellIs" dxfId="568" priority="23" operator="greaterThan">
      <formula>3</formula>
    </cfRule>
    <cfRule type="cellIs" dxfId="567" priority="24" operator="lessThan">
      <formula>3</formula>
    </cfRule>
  </conditionalFormatting>
  <conditionalFormatting sqref="I3:K7">
    <cfRule type="cellIs" dxfId="566" priority="20" operator="between">
      <formula>0.05</formula>
      <formula>0.1</formula>
    </cfRule>
    <cfRule type="cellIs" dxfId="565" priority="21" operator="lessThan">
      <formula>0.05</formula>
    </cfRule>
    <cfRule type="cellIs" dxfId="564"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{267DD129-F766-4885-AA87-DE6EBD155836}</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{37FDFD7F-2026-4089-88B7-FB5020B24E4D}</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{584C1932-228A-4815-A3F5-BA65DFCE2105}</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{5016882F-589C-4D2C-99B3-C66343E83F4E}</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{F0737FB3-6A93-4A52-96D7-464180C37030}</x14:id>
        </ext>
      </extLst>
    </cfRule>
  </conditionalFormatting>
  <conditionalFormatting sqref="E22">
    <cfRule type="cellIs" dxfId="563" priority="13" operator="greaterThan">
      <formula>3</formula>
    </cfRule>
    <cfRule type="cellIs" dxfId="562" priority="14" operator="lessThan">
      <formula>3</formula>
    </cfRule>
  </conditionalFormatting>
  <conditionalFormatting sqref="B17:D21">
    <cfRule type="cellIs" dxfId="561" priority="10" operator="between">
      <formula>0.05</formula>
      <formula>0.1</formula>
    </cfRule>
    <cfRule type="cellIs" dxfId="560" priority="11" operator="lessThan">
      <formula>0.05</formula>
    </cfRule>
    <cfRule type="cellIs" dxfId="559" priority="12" operator="greaterThan">
      <formula>0.1</formula>
    </cfRule>
  </conditionalFormatting>
  <conditionalFormatting sqref="C29:C31">
    <cfRule type="cellIs" dxfId="558" priority="7" operator="lessThan">
      <formula>0</formula>
    </cfRule>
    <cfRule type="cellIs" dxfId="557" priority="8" operator="between">
      <formula>0</formula>
      <formula>0.3</formula>
    </cfRule>
    <cfRule type="cellIs" dxfId="556" priority="9" operator="greaterThan">
      <formula>0.3</formula>
    </cfRule>
  </conditionalFormatting>
  <conditionalFormatting sqref="E29:E31">
    <cfRule type="cellIs" dxfId="555" priority="4" operator="lessThan">
      <formula>0</formula>
    </cfRule>
    <cfRule type="cellIs" dxfId="554" priority="5" operator="between">
      <formula>0</formula>
      <formula>0.3</formula>
    </cfRule>
    <cfRule type="cellIs" dxfId="553" priority="6" operator="greaterThan">
      <formula>0.3</formula>
    </cfRule>
  </conditionalFormatting>
  <conditionalFormatting sqref="F29:F31">
    <cfRule type="cellIs" dxfId="552" priority="1" operator="lessThan">
      <formula>0</formula>
    </cfRule>
    <cfRule type="cellIs" dxfId="551" priority="2" operator="between">
      <formula>0</formula>
      <formula>0.3</formula>
    </cfRule>
    <cfRule type="cellIs" dxfId="550" priority="3" operator="greaterThan">
      <formula>0.3</formula>
    </cfRule>
  </conditionalFormatting>
  <hyperlinks>
    <hyperlink ref="A34" r:id="rId1" xr:uid="{E9F0897D-13D4-41F8-A8CE-91C8F77DD9D0}"/>
  </hyperlinks>
  <pageMargins left="0.7" right="0.7" top="0.75" bottom="0.75" header="0.3" footer="0.3"/>
  <pageSetup paperSize="9" orientation="portrait" r:id="rId2"/>
  <drawing r:id="rId3"/>
  <legacyDrawing r:id="rId4"/>
  <tableParts count="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dataBar" id="{267DD129-F766-4885-AA87-DE6EBD155836}">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37FDFD7F-2026-4089-88B7-FB5020B24E4D}">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584C1932-228A-4815-A3F5-BA65DFCE2105}">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5016882F-589C-4D2C-99B3-C66343E83F4E}">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F0737FB3-6A93-4A52-96D7-464180C37030}">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F2B1F-FC6E-4182-BC7D-241567C473ED}">
  <dimension ref="A1:BA39"/>
  <sheetViews>
    <sheetView zoomScaleNormal="100" workbookViewId="0">
      <selection activeCell="H30" sqref="H30"/>
    </sheetView>
  </sheetViews>
  <sheetFormatPr defaultRowHeight="15" x14ac:dyDescent="0.25"/>
  <cols>
    <col min="1" max="1" width="19.85546875" bestFit="1" customWidth="1"/>
    <col min="2" max="2" width="18.5703125" customWidth="1"/>
    <col min="3" max="4" width="14.42578125" customWidth="1"/>
    <col min="5" max="5" width="11.85546875" customWidth="1"/>
    <col min="7" max="7" width="7.57031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4091</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MIN(Table14[Growth rate])</f>
        <v>0.10199999999999999</v>
      </c>
      <c r="AA2" s="8">
        <f>Z2</f>
        <v>0.10199999999999999</v>
      </c>
      <c r="AB2" s="9">
        <f t="shared" ref="AB2:AJ3" si="1">AA2</f>
        <v>0.10199999999999999</v>
      </c>
      <c r="AC2" s="9">
        <f t="shared" si="1"/>
        <v>0.10199999999999999</v>
      </c>
      <c r="AD2" s="9">
        <f t="shared" si="1"/>
        <v>0.10199999999999999</v>
      </c>
      <c r="AE2" s="9">
        <f t="shared" si="1"/>
        <v>0.10199999999999999</v>
      </c>
      <c r="AF2" s="9">
        <f t="shared" si="1"/>
        <v>0.10199999999999999</v>
      </c>
      <c r="AG2" s="9">
        <f t="shared" si="1"/>
        <v>0.10199999999999999</v>
      </c>
      <c r="AH2" s="9">
        <f t="shared" si="1"/>
        <v>0.10199999999999999</v>
      </c>
      <c r="AI2" s="9">
        <f t="shared" si="1"/>
        <v>0.10199999999999999</v>
      </c>
      <c r="AJ2" s="25">
        <f t="shared" si="1"/>
        <v>0.10199999999999999</v>
      </c>
      <c r="AL2" s="18" t="s">
        <v>36</v>
      </c>
      <c r="AM2" s="67">
        <f>Z2</f>
        <v>0.10199999999999999</v>
      </c>
      <c r="BA2" s="17"/>
    </row>
    <row r="3" spans="1:53" x14ac:dyDescent="0.25">
      <c r="A3" t="s">
        <v>49</v>
      </c>
      <c r="B3" s="58" t="s">
        <v>67</v>
      </c>
      <c r="H3" s="2" t="s">
        <v>6</v>
      </c>
      <c r="I3" s="8">
        <f>AVERAGE(M3:W3)</f>
        <v>5.58181818181818E-3</v>
      </c>
      <c r="J3" s="9">
        <f>AVERAGE(S3:W3)</f>
        <v>4.2800000000000005E-2</v>
      </c>
      <c r="K3" s="9">
        <f>W3</f>
        <v>9.3000000000000013E-2</v>
      </c>
      <c r="L3" s="10" t="s">
        <v>7</v>
      </c>
      <c r="M3" s="11">
        <v>3.7900000000000003E-2</v>
      </c>
      <c r="N3" s="12">
        <v>-6.3E-3</v>
      </c>
      <c r="O3" s="12">
        <v>-0.1002</v>
      </c>
      <c r="P3" s="12">
        <v>-4.3799999999999999E-2</v>
      </c>
      <c r="Q3" s="12">
        <v>-3.8300000000000001E-2</v>
      </c>
      <c r="R3" s="12">
        <v>-1.9E-3</v>
      </c>
      <c r="S3" s="12">
        <v>2.5499999999999998E-2</v>
      </c>
      <c r="T3" s="12">
        <v>1.44E-2</v>
      </c>
      <c r="U3" s="12">
        <v>7.6799999999999993E-2</v>
      </c>
      <c r="V3" s="12">
        <v>4.3E-3</v>
      </c>
      <c r="W3" s="13">
        <v>9.3000000000000013E-2</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68</v>
      </c>
      <c r="H4" s="14" t="s">
        <v>8</v>
      </c>
      <c r="I4" s="15">
        <f>AVERAGE(M4:W4)</f>
        <v>0.35399999999999998</v>
      </c>
      <c r="J4" s="16">
        <f>AVERAGE(S4:W4)</f>
        <v>0.46479999999999999</v>
      </c>
      <c r="K4" s="16">
        <f>W4</f>
        <v>0.17699999999999999</v>
      </c>
      <c r="L4" s="17" t="s">
        <v>7</v>
      </c>
      <c r="M4" s="18" t="s">
        <v>7</v>
      </c>
      <c r="N4" s="12">
        <v>0.26700000000000002</v>
      </c>
      <c r="O4" s="12">
        <v>0.17100000000000001</v>
      </c>
      <c r="P4" s="12">
        <v>0.35699999999999998</v>
      </c>
      <c r="Q4" s="12">
        <v>0.20699999999999999</v>
      </c>
      <c r="R4" s="12">
        <v>0.214</v>
      </c>
      <c r="S4" s="12">
        <v>0.35899999999999999</v>
      </c>
      <c r="T4" s="12">
        <v>0.25900000000000001</v>
      </c>
      <c r="U4" s="12">
        <v>0.57599999999999996</v>
      </c>
      <c r="V4" s="12">
        <v>0.95299999999999996</v>
      </c>
      <c r="W4" s="13">
        <v>0.17699999999999999</v>
      </c>
      <c r="Y4" s="5" t="s">
        <v>15</v>
      </c>
      <c r="Z4" s="29">
        <v>49.3</v>
      </c>
      <c r="AA4" s="30">
        <f t="shared" si="2"/>
        <v>49.3</v>
      </c>
      <c r="AB4" s="31">
        <f t="shared" si="2"/>
        <v>49.3</v>
      </c>
      <c r="AC4" s="31">
        <f t="shared" si="2"/>
        <v>49.3</v>
      </c>
      <c r="AD4" s="31">
        <f t="shared" si="2"/>
        <v>49.3</v>
      </c>
      <c r="AE4" s="31">
        <f t="shared" si="2"/>
        <v>49.3</v>
      </c>
      <c r="AF4" s="31">
        <f t="shared" si="2"/>
        <v>49.3</v>
      </c>
      <c r="AG4" s="31">
        <f t="shared" si="2"/>
        <v>49.3</v>
      </c>
      <c r="AH4" s="31">
        <f t="shared" si="2"/>
        <v>49.3</v>
      </c>
      <c r="AI4" s="31">
        <f t="shared" si="2"/>
        <v>49.3</v>
      </c>
      <c r="AJ4" s="32">
        <f t="shared" si="2"/>
        <v>49.3</v>
      </c>
      <c r="AL4" s="18" t="s">
        <v>38</v>
      </c>
      <c r="AM4" s="64">
        <v>15</v>
      </c>
      <c r="BA4" s="17"/>
    </row>
    <row r="5" spans="1:53" x14ac:dyDescent="0.25">
      <c r="A5" t="s">
        <v>34</v>
      </c>
      <c r="B5" s="59">
        <v>44568</v>
      </c>
      <c r="H5" s="14" t="s">
        <v>9</v>
      </c>
      <c r="I5" s="15">
        <f>AVERAGE(M5:W5)</f>
        <v>2.9287999999999998</v>
      </c>
      <c r="J5" s="16">
        <f>AVERAGE(S5:W5)</f>
        <v>6.0575999999999999</v>
      </c>
      <c r="K5" s="16">
        <f>W5</f>
        <v>28.2</v>
      </c>
      <c r="L5" s="17" t="s">
        <v>7</v>
      </c>
      <c r="M5" s="18" t="s">
        <v>7</v>
      </c>
      <c r="N5" s="12">
        <v>-1</v>
      </c>
      <c r="O5" s="12">
        <v>0</v>
      </c>
      <c r="P5" s="12">
        <v>0</v>
      </c>
      <c r="Q5" s="12">
        <v>0</v>
      </c>
      <c r="R5" s="12">
        <v>0</v>
      </c>
      <c r="S5" s="12">
        <v>1</v>
      </c>
      <c r="T5" s="12">
        <v>6.5000000000000002E-2</v>
      </c>
      <c r="U5" s="12">
        <v>1.9179999999999999</v>
      </c>
      <c r="V5" s="12">
        <v>-0.89500000000000002</v>
      </c>
      <c r="W5" s="13">
        <v>28.2</v>
      </c>
      <c r="Y5" s="1" t="s">
        <v>16</v>
      </c>
      <c r="Z5" s="33">
        <v>4.38</v>
      </c>
      <c r="AA5" s="34">
        <f>Z5</f>
        <v>4.38</v>
      </c>
      <c r="AB5" s="35">
        <f t="shared" ref="AB5:AJ5" si="3">AA5*(1+$Z2)</f>
        <v>4.8267600000000002</v>
      </c>
      <c r="AC5" s="35">
        <f t="shared" si="3"/>
        <v>5.3190895200000003</v>
      </c>
      <c r="AD5" s="35">
        <f t="shared" si="3"/>
        <v>5.8616366510400004</v>
      </c>
      <c r="AE5" s="35">
        <f t="shared" si="3"/>
        <v>6.4595235894460812</v>
      </c>
      <c r="AF5" s="35">
        <f t="shared" si="3"/>
        <v>7.1183949955695818</v>
      </c>
      <c r="AG5" s="35">
        <f t="shared" si="3"/>
        <v>7.8444712851176801</v>
      </c>
      <c r="AH5" s="35">
        <f t="shared" si="3"/>
        <v>8.6446073561996837</v>
      </c>
      <c r="AI5" s="35">
        <f t="shared" si="3"/>
        <v>9.5263573065320521</v>
      </c>
      <c r="AJ5" s="36">
        <f t="shared" si="3"/>
        <v>10.498045751798323</v>
      </c>
      <c r="AL5" s="18" t="s">
        <v>39</v>
      </c>
      <c r="AM5" s="40">
        <v>695</v>
      </c>
      <c r="BA5" s="17"/>
    </row>
    <row r="6" spans="1:53" x14ac:dyDescent="0.25">
      <c r="A6" t="s">
        <v>44</v>
      </c>
      <c r="B6" s="62">
        <v>291.83</v>
      </c>
      <c r="H6" s="14" t="s">
        <v>10</v>
      </c>
      <c r="I6" s="15">
        <f>AVERAGE(M6:W6)</f>
        <v>0.29599999999999999</v>
      </c>
      <c r="J6" s="16">
        <f>AVERAGE(S6:W6)</f>
        <v>0.27</v>
      </c>
      <c r="K6" s="16">
        <f>W6</f>
        <v>0.27200000000000002</v>
      </c>
      <c r="L6" s="17" t="s">
        <v>7</v>
      </c>
      <c r="M6" s="18" t="s">
        <v>7</v>
      </c>
      <c r="N6" s="12">
        <v>0.36799999999999999</v>
      </c>
      <c r="O6" s="12">
        <v>0.34599999999999997</v>
      </c>
      <c r="P6" s="12">
        <v>0.33500000000000002</v>
      </c>
      <c r="Q6" s="12">
        <v>0.32</v>
      </c>
      <c r="R6" s="12">
        <v>0.24099999999999999</v>
      </c>
      <c r="S6" s="12">
        <v>0.26500000000000001</v>
      </c>
      <c r="T6" s="12">
        <v>0.249</v>
      </c>
      <c r="U6" s="12">
        <v>0.28999999999999998</v>
      </c>
      <c r="V6" s="12">
        <v>0.27400000000000002</v>
      </c>
      <c r="W6" s="13">
        <v>0.27200000000000002</v>
      </c>
      <c r="Y6" s="5" t="s">
        <v>19</v>
      </c>
      <c r="Z6" s="37">
        <f>AA6</f>
        <v>147.12105049071997</v>
      </c>
      <c r="AA6" s="38">
        <f t="shared" ref="AA6:AI6" si="4">AB6/(1+$Z3)</f>
        <v>147.12105049071997</v>
      </c>
      <c r="AB6" s="38">
        <f t="shared" si="4"/>
        <v>169.18920806432794</v>
      </c>
      <c r="AC6" s="38">
        <f t="shared" si="4"/>
        <v>194.56758927397712</v>
      </c>
      <c r="AD6" s="38">
        <f t="shared" si="4"/>
        <v>223.75272766507368</v>
      </c>
      <c r="AE6" s="38">
        <f t="shared" si="4"/>
        <v>257.3156368148347</v>
      </c>
      <c r="AF6" s="38">
        <f t="shared" si="4"/>
        <v>295.91298233705987</v>
      </c>
      <c r="AG6" s="38">
        <f t="shared" si="4"/>
        <v>340.29992968761883</v>
      </c>
      <c r="AH6" s="38">
        <f t="shared" si="4"/>
        <v>391.34491914076165</v>
      </c>
      <c r="AI6" s="38">
        <f t="shared" si="4"/>
        <v>450.04665701187588</v>
      </c>
      <c r="AJ6" s="39">
        <f>AJ5*$Z4</f>
        <v>517.55365556365723</v>
      </c>
      <c r="AL6" s="5" t="s">
        <v>40</v>
      </c>
      <c r="AM6" s="45">
        <v>930</v>
      </c>
      <c r="BA6" s="17"/>
    </row>
    <row r="7" spans="1:53" x14ac:dyDescent="0.25">
      <c r="A7" t="s">
        <v>45</v>
      </c>
      <c r="B7" s="58" t="s">
        <v>55</v>
      </c>
      <c r="H7" s="14" t="s">
        <v>11</v>
      </c>
      <c r="I7" s="15">
        <f>AVERAGE(M7:W7)</f>
        <v>0.64090000000000003</v>
      </c>
      <c r="J7" s="16">
        <f>AVERAGE(S7:W7)</f>
        <v>0.375</v>
      </c>
      <c r="K7" s="16">
        <f>W7</f>
        <v>0.109</v>
      </c>
      <c r="L7" s="17" t="s">
        <v>7</v>
      </c>
      <c r="M7" s="18" t="s">
        <v>7</v>
      </c>
      <c r="N7" s="12">
        <v>3.6669999999999998</v>
      </c>
      <c r="O7" s="12">
        <v>0.32600000000000001</v>
      </c>
      <c r="P7" s="12">
        <v>3.4000000000000002E-2</v>
      </c>
      <c r="Q7" s="12">
        <v>0.314</v>
      </c>
      <c r="R7" s="12">
        <v>0.193</v>
      </c>
      <c r="S7" s="12">
        <v>0.88</v>
      </c>
      <c r="T7" s="12">
        <v>0.29799999999999999</v>
      </c>
      <c r="U7" s="12">
        <v>0.27200000000000002</v>
      </c>
      <c r="V7" s="12">
        <v>0.316</v>
      </c>
      <c r="W7" s="13">
        <v>0.109</v>
      </c>
      <c r="AL7" s="18"/>
      <c r="BA7" s="17"/>
    </row>
    <row r="8" spans="1:53" x14ac:dyDescent="0.25">
      <c r="A8" t="s">
        <v>46</v>
      </c>
      <c r="B8" s="58" t="s">
        <v>70</v>
      </c>
      <c r="H8" s="19" t="s">
        <v>12</v>
      </c>
      <c r="I8" s="5" t="s">
        <v>7</v>
      </c>
      <c r="J8" s="6" t="s">
        <v>7</v>
      </c>
      <c r="K8" s="6" t="s">
        <v>7</v>
      </c>
      <c r="L8" s="20">
        <f>2673/4091</f>
        <v>0.65338548032265953</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47</v>
      </c>
      <c r="B9" s="58" t="s">
        <v>72</v>
      </c>
      <c r="Y9" s="1" t="s">
        <v>13</v>
      </c>
      <c r="Z9" s="65">
        <f>AVERAGE(Table14[Growth rate])</f>
        <v>0.20783333333333331</v>
      </c>
      <c r="AA9" s="8">
        <f>Z9</f>
        <v>0.20783333333333331</v>
      </c>
      <c r="AB9" s="9">
        <f t="shared" ref="AB9:AJ10" si="5">AA9</f>
        <v>0.20783333333333331</v>
      </c>
      <c r="AC9" s="9">
        <f t="shared" si="5"/>
        <v>0.20783333333333331</v>
      </c>
      <c r="AD9" s="9">
        <f t="shared" si="5"/>
        <v>0.20783333333333331</v>
      </c>
      <c r="AE9" s="9">
        <f t="shared" si="5"/>
        <v>0.20783333333333331</v>
      </c>
      <c r="AF9" s="9">
        <f t="shared" si="5"/>
        <v>0.20783333333333331</v>
      </c>
      <c r="AG9" s="9">
        <f t="shared" si="5"/>
        <v>0.20783333333333331</v>
      </c>
      <c r="AH9" s="9">
        <f t="shared" si="5"/>
        <v>0.20783333333333331</v>
      </c>
      <c r="AI9" s="9">
        <f t="shared" si="5"/>
        <v>0.20783333333333331</v>
      </c>
      <c r="AJ9" s="25">
        <f t="shared" si="5"/>
        <v>0.20783333333333331</v>
      </c>
      <c r="AL9" s="1" t="s">
        <v>42</v>
      </c>
      <c r="AM9" s="10"/>
      <c r="AN9" s="48">
        <f>$AM1</f>
        <v>4091</v>
      </c>
      <c r="AO9" s="49">
        <f t="shared" ref="AO9:AW9" si="6">AN9+AN9*$AM2</f>
        <v>4508.2820000000002</v>
      </c>
      <c r="AP9" s="49">
        <f t="shared" si="6"/>
        <v>4968.1267640000005</v>
      </c>
      <c r="AQ9" s="49">
        <f t="shared" si="6"/>
        <v>5474.8756939280001</v>
      </c>
      <c r="AR9" s="49">
        <f t="shared" si="6"/>
        <v>6033.3130147086558</v>
      </c>
      <c r="AS9" s="49">
        <f t="shared" si="6"/>
        <v>6648.7109422089388</v>
      </c>
      <c r="AT9" s="49">
        <f t="shared" si="6"/>
        <v>7326.8794583142508</v>
      </c>
      <c r="AU9" s="49">
        <f t="shared" si="6"/>
        <v>8074.2211630623042</v>
      </c>
      <c r="AV9" s="49">
        <f t="shared" si="6"/>
        <v>8897.7917216946589</v>
      </c>
      <c r="AW9" s="49">
        <f t="shared" si="6"/>
        <v>9805.3664773075143</v>
      </c>
      <c r="AX9" s="50">
        <f>$AM4*AW9</f>
        <v>147080.49715961271</v>
      </c>
      <c r="AY9" s="51"/>
      <c r="AZ9" s="49"/>
      <c r="BA9" s="10"/>
    </row>
    <row r="10" spans="1:53" x14ac:dyDescent="0.25">
      <c r="A10" t="s">
        <v>48</v>
      </c>
      <c r="B10" s="58" t="s">
        <v>69</v>
      </c>
      <c r="Y10" s="18" t="s">
        <v>14</v>
      </c>
      <c r="Z10">
        <f>Z3</f>
        <v>0.15</v>
      </c>
      <c r="AA10" s="26">
        <f t="shared" ref="AA10:AJ11" si="7">Z10</f>
        <v>0.15</v>
      </c>
      <c r="AB10" s="27">
        <f t="shared" si="5"/>
        <v>0.15</v>
      </c>
      <c r="AC10" s="27">
        <f t="shared" si="5"/>
        <v>0.15</v>
      </c>
      <c r="AD10" s="27">
        <f t="shared" si="5"/>
        <v>0.15</v>
      </c>
      <c r="AE10" s="27">
        <f t="shared" si="5"/>
        <v>0.15</v>
      </c>
      <c r="AF10" s="27">
        <f t="shared" si="5"/>
        <v>0.15</v>
      </c>
      <c r="AG10" s="27">
        <f t="shared" si="5"/>
        <v>0.15</v>
      </c>
      <c r="AH10" s="27">
        <f t="shared" si="5"/>
        <v>0.15</v>
      </c>
      <c r="AI10" s="27">
        <f t="shared" si="5"/>
        <v>0.15</v>
      </c>
      <c r="AJ10" s="28">
        <f t="shared" si="5"/>
        <v>0.15</v>
      </c>
      <c r="AL10" s="5" t="s">
        <v>43</v>
      </c>
      <c r="AM10" s="7"/>
      <c r="AN10" s="52">
        <f>AN9/(1+$AM3)</f>
        <v>3557.3913043478265</v>
      </c>
      <c r="AO10" s="53">
        <f t="shared" ref="AO10:AW10" si="8">(1+$AM2)*AN10/(1+$AM3)</f>
        <v>3408.9088846880918</v>
      </c>
      <c r="AP10" s="53">
        <f t="shared" si="8"/>
        <v>3266.6239921098067</v>
      </c>
      <c r="AQ10" s="53">
        <f t="shared" si="8"/>
        <v>3130.2779472217458</v>
      </c>
      <c r="AR10" s="53">
        <f t="shared" si="8"/>
        <v>2999.6228676855344</v>
      </c>
      <c r="AS10" s="53">
        <f t="shared" si="8"/>
        <v>2874.4212175560519</v>
      </c>
      <c r="AT10" s="53">
        <f t="shared" si="8"/>
        <v>2754.4453754319738</v>
      </c>
      <c r="AU10" s="53">
        <f t="shared" si="8"/>
        <v>2639.4772206313355</v>
      </c>
      <c r="AV10" s="53">
        <f t="shared" si="8"/>
        <v>2529.307736639767</v>
      </c>
      <c r="AW10" s="53">
        <f t="shared" si="8"/>
        <v>2423.7366311104552</v>
      </c>
      <c r="AX10" s="54">
        <f>AX9/(1+AM3)^AX8</f>
        <v>36356.049466656797</v>
      </c>
      <c r="AY10" s="53">
        <f>SUM(AN10:AX10)</f>
        <v>65940.262644079383</v>
      </c>
      <c r="AZ10" s="53">
        <f>AY10+AM5</f>
        <v>66635.262644079383</v>
      </c>
      <c r="BA10" s="55">
        <f>AZ10/AM6</f>
        <v>71.65082004739719</v>
      </c>
    </row>
    <row r="11" spans="1:53" x14ac:dyDescent="0.25">
      <c r="A11" t="s">
        <v>65</v>
      </c>
      <c r="B11" s="59" t="s">
        <v>71</v>
      </c>
      <c r="Y11" s="5" t="s">
        <v>15</v>
      </c>
      <c r="Z11" s="7">
        <f>Z4</f>
        <v>49.3</v>
      </c>
      <c r="AA11" s="30">
        <f t="shared" si="7"/>
        <v>49.3</v>
      </c>
      <c r="AB11" s="31">
        <f t="shared" si="7"/>
        <v>49.3</v>
      </c>
      <c r="AC11" s="31">
        <f t="shared" si="7"/>
        <v>49.3</v>
      </c>
      <c r="AD11" s="31">
        <f t="shared" si="7"/>
        <v>49.3</v>
      </c>
      <c r="AE11" s="31">
        <f t="shared" si="7"/>
        <v>49.3</v>
      </c>
      <c r="AF11" s="31">
        <f t="shared" si="7"/>
        <v>49.3</v>
      </c>
      <c r="AG11" s="31">
        <f t="shared" si="7"/>
        <v>49.3</v>
      </c>
      <c r="AH11" s="31">
        <f t="shared" si="7"/>
        <v>49.3</v>
      </c>
      <c r="AI11" s="31">
        <f t="shared" si="7"/>
        <v>49.3</v>
      </c>
      <c r="AJ11" s="32">
        <f t="shared" si="7"/>
        <v>49.3</v>
      </c>
    </row>
    <row r="12" spans="1:53" x14ac:dyDescent="0.25">
      <c r="Y12" s="1" t="s">
        <v>16</v>
      </c>
      <c r="Z12">
        <f>Z5</f>
        <v>4.38</v>
      </c>
      <c r="AA12" s="34">
        <f>Z12</f>
        <v>4.38</v>
      </c>
      <c r="AB12" s="35">
        <f t="shared" ref="AB12:AJ12" si="9">AA12*(1+$Z9)</f>
        <v>5.2903099999999998</v>
      </c>
      <c r="AC12" s="35">
        <f t="shared" si="9"/>
        <v>6.3898127616666667</v>
      </c>
      <c r="AD12" s="35">
        <f t="shared" si="9"/>
        <v>7.7178288472997219</v>
      </c>
      <c r="AE12" s="35">
        <f t="shared" si="9"/>
        <v>9.3218509427301814</v>
      </c>
      <c r="AF12" s="35">
        <f t="shared" si="9"/>
        <v>11.259242296994271</v>
      </c>
      <c r="AG12" s="35">
        <f t="shared" si="9"/>
        <v>13.599288154386247</v>
      </c>
      <c r="AH12" s="35">
        <f t="shared" si="9"/>
        <v>16.425673542472854</v>
      </c>
      <c r="AI12" s="35">
        <f t="shared" si="9"/>
        <v>19.839476027050129</v>
      </c>
      <c r="AJ12" s="36">
        <f t="shared" si="9"/>
        <v>23.962780461338713</v>
      </c>
      <c r="AL12" s="1" t="s">
        <v>35</v>
      </c>
      <c r="AM12" s="72">
        <f>AM1</f>
        <v>4091</v>
      </c>
      <c r="AN12" s="42"/>
      <c r="AO12" s="42"/>
      <c r="AP12" s="42"/>
      <c r="AQ12" s="42"/>
      <c r="AR12" s="42"/>
      <c r="AS12" s="42"/>
      <c r="AT12" s="42"/>
      <c r="AU12" s="42"/>
      <c r="AV12" s="42"/>
      <c r="AW12" s="42"/>
      <c r="AX12" s="42"/>
      <c r="AY12" s="42"/>
      <c r="AZ12" s="42"/>
      <c r="BA12" s="10"/>
    </row>
    <row r="13" spans="1:53" ht="18.75" x14ac:dyDescent="0.3">
      <c r="A13" s="56" t="s">
        <v>29</v>
      </c>
      <c r="Y13" s="5" t="s">
        <v>19</v>
      </c>
      <c r="Z13" s="37">
        <f>AA13</f>
        <v>335.81768621524094</v>
      </c>
      <c r="AA13" s="38">
        <f t="shared" ref="AA13:AI13" si="10">AB13/(1+$Z10)</f>
        <v>335.81768621524094</v>
      </c>
      <c r="AB13" s="38">
        <f t="shared" si="10"/>
        <v>386.19033914752703</v>
      </c>
      <c r="AC13" s="38">
        <f t="shared" si="10"/>
        <v>444.11889001965602</v>
      </c>
      <c r="AD13" s="38">
        <f t="shared" si="10"/>
        <v>510.73672352260439</v>
      </c>
      <c r="AE13" s="38">
        <f t="shared" si="10"/>
        <v>587.34723205099499</v>
      </c>
      <c r="AF13" s="38">
        <f t="shared" si="10"/>
        <v>675.44931685864412</v>
      </c>
      <c r="AG13" s="38">
        <f t="shared" si="10"/>
        <v>776.76671438744063</v>
      </c>
      <c r="AH13" s="38">
        <f t="shared" si="10"/>
        <v>893.28172154555671</v>
      </c>
      <c r="AI13" s="38">
        <f t="shared" si="10"/>
        <v>1027.2739797773902</v>
      </c>
      <c r="AJ13" s="39">
        <f>AJ12*$Z11</f>
        <v>1181.3650767439985</v>
      </c>
      <c r="AL13" s="18" t="s">
        <v>36</v>
      </c>
      <c r="AM13" s="68">
        <f>Z9</f>
        <v>0.20783333333333331</v>
      </c>
      <c r="BA13" s="17"/>
    </row>
    <row r="14" spans="1:53" x14ac:dyDescent="0.25">
      <c r="A14" s="43" t="s">
        <v>32</v>
      </c>
      <c r="B14" s="18" t="s">
        <v>0</v>
      </c>
      <c r="C14" t="s">
        <v>1</v>
      </c>
      <c r="D14" t="s">
        <v>2</v>
      </c>
      <c r="E14" t="s">
        <v>3</v>
      </c>
      <c r="AL14" s="18" t="s">
        <v>37</v>
      </c>
      <c r="AM14" s="69">
        <f>AM3</f>
        <v>0.15</v>
      </c>
      <c r="BA14" s="17"/>
    </row>
    <row r="15" spans="1:53" x14ac:dyDescent="0.25">
      <c r="A15" t="s">
        <v>52</v>
      </c>
      <c r="B15" t="s">
        <v>4</v>
      </c>
      <c r="C15" t="s">
        <v>4</v>
      </c>
      <c r="D15" t="s">
        <v>4</v>
      </c>
      <c r="E15" t="s">
        <v>5</v>
      </c>
      <c r="Y15" s="21" t="s">
        <v>61</v>
      </c>
      <c r="Z15" s="22"/>
      <c r="AA15" s="21">
        <v>2021</v>
      </c>
      <c r="AB15" s="23">
        <v>2022</v>
      </c>
      <c r="AC15" s="23">
        <v>2023</v>
      </c>
      <c r="AD15" s="23">
        <v>2024</v>
      </c>
      <c r="AE15" s="23">
        <v>2025</v>
      </c>
      <c r="AF15" s="23">
        <v>2026</v>
      </c>
      <c r="AG15" s="23">
        <v>2027</v>
      </c>
      <c r="AH15" s="23">
        <v>2028</v>
      </c>
      <c r="AI15" s="23">
        <v>2029</v>
      </c>
      <c r="AJ15" s="24">
        <v>2030</v>
      </c>
      <c r="AL15" s="18" t="s">
        <v>38</v>
      </c>
      <c r="AM15" s="69">
        <f t="shared" ref="AM15:AM17" si="11">AM4</f>
        <v>15</v>
      </c>
      <c r="BA15" s="17"/>
    </row>
    <row r="16" spans="1:53" x14ac:dyDescent="0.25">
      <c r="A16" t="s">
        <v>23</v>
      </c>
      <c r="B16" s="16">
        <f t="shared" ref="B16:D20" si="12">I3</f>
        <v>5.58181818181818E-3</v>
      </c>
      <c r="C16" s="16">
        <f t="shared" si="12"/>
        <v>4.2800000000000005E-2</v>
      </c>
      <c r="D16" s="16">
        <f t="shared" si="12"/>
        <v>9.3000000000000013E-2</v>
      </c>
      <c r="Y16" s="1" t="s">
        <v>13</v>
      </c>
      <c r="Z16" s="60">
        <f>MAX(Table14[Growth rate])</f>
        <v>0.35399999999999998</v>
      </c>
      <c r="AA16" s="8">
        <f>Z16</f>
        <v>0.35399999999999998</v>
      </c>
      <c r="AB16" s="9">
        <f t="shared" ref="AB16:AJ17" si="13">AA16</f>
        <v>0.35399999999999998</v>
      </c>
      <c r="AC16" s="9">
        <f t="shared" si="13"/>
        <v>0.35399999999999998</v>
      </c>
      <c r="AD16" s="9">
        <f t="shared" si="13"/>
        <v>0.35399999999999998</v>
      </c>
      <c r="AE16" s="9">
        <f t="shared" si="13"/>
        <v>0.35399999999999998</v>
      </c>
      <c r="AF16" s="9">
        <f t="shared" si="13"/>
        <v>0.35399999999999998</v>
      </c>
      <c r="AG16" s="9">
        <f t="shared" si="13"/>
        <v>0.35399999999999998</v>
      </c>
      <c r="AH16" s="9">
        <f t="shared" si="13"/>
        <v>0.35399999999999998</v>
      </c>
      <c r="AI16" s="9">
        <f t="shared" si="13"/>
        <v>0.35399999999999998</v>
      </c>
      <c r="AJ16" s="25">
        <f t="shared" si="13"/>
        <v>0.35399999999999998</v>
      </c>
      <c r="AL16" s="18" t="s">
        <v>39</v>
      </c>
      <c r="AM16" s="69">
        <f t="shared" si="11"/>
        <v>695</v>
      </c>
      <c r="BA16" s="17"/>
    </row>
    <row r="17" spans="1:53" x14ac:dyDescent="0.25">
      <c r="A17" t="s">
        <v>24</v>
      </c>
      <c r="B17" s="16">
        <f t="shared" si="12"/>
        <v>0.35399999999999998</v>
      </c>
      <c r="C17" s="16">
        <f t="shared" si="12"/>
        <v>0.46479999999999999</v>
      </c>
      <c r="D17" s="16">
        <f t="shared" si="12"/>
        <v>0.17699999999999999</v>
      </c>
      <c r="Y17" s="18" t="s">
        <v>14</v>
      </c>
      <c r="Z17">
        <f>Z3</f>
        <v>0.15</v>
      </c>
      <c r="AA17" s="26">
        <f t="shared" ref="AA17:AJ18" si="14">Z17</f>
        <v>0.15</v>
      </c>
      <c r="AB17" s="27">
        <f t="shared" si="13"/>
        <v>0.15</v>
      </c>
      <c r="AC17" s="27">
        <f t="shared" si="13"/>
        <v>0.15</v>
      </c>
      <c r="AD17" s="27">
        <f t="shared" si="13"/>
        <v>0.15</v>
      </c>
      <c r="AE17" s="27">
        <f t="shared" si="13"/>
        <v>0.15</v>
      </c>
      <c r="AF17" s="27">
        <f t="shared" si="13"/>
        <v>0.15</v>
      </c>
      <c r="AG17" s="27">
        <f t="shared" si="13"/>
        <v>0.15</v>
      </c>
      <c r="AH17" s="27">
        <f t="shared" si="13"/>
        <v>0.15</v>
      </c>
      <c r="AI17" s="27">
        <f t="shared" si="13"/>
        <v>0.15</v>
      </c>
      <c r="AJ17" s="28">
        <f t="shared" si="13"/>
        <v>0.15</v>
      </c>
      <c r="AL17" s="5" t="s">
        <v>40</v>
      </c>
      <c r="AM17" s="70">
        <f t="shared" si="11"/>
        <v>930</v>
      </c>
      <c r="BA17" s="17"/>
    </row>
    <row r="18" spans="1:53" x14ac:dyDescent="0.25">
      <c r="A18" t="s">
        <v>25</v>
      </c>
      <c r="B18" s="16">
        <f t="shared" si="12"/>
        <v>2.9287999999999998</v>
      </c>
      <c r="C18" s="16">
        <f t="shared" si="12"/>
        <v>6.0575999999999999</v>
      </c>
      <c r="D18" s="16">
        <f t="shared" si="12"/>
        <v>28.2</v>
      </c>
      <c r="Y18" s="5" t="s">
        <v>15</v>
      </c>
      <c r="Z18" s="7">
        <f>Z4</f>
        <v>49.3</v>
      </c>
      <c r="AA18" s="30">
        <f t="shared" si="14"/>
        <v>49.3</v>
      </c>
      <c r="AB18" s="31">
        <f t="shared" si="14"/>
        <v>49.3</v>
      </c>
      <c r="AC18" s="31">
        <f t="shared" si="14"/>
        <v>49.3</v>
      </c>
      <c r="AD18" s="31">
        <f t="shared" si="14"/>
        <v>49.3</v>
      </c>
      <c r="AE18" s="31">
        <f t="shared" si="14"/>
        <v>49.3</v>
      </c>
      <c r="AF18" s="31">
        <f t="shared" si="14"/>
        <v>49.3</v>
      </c>
      <c r="AG18" s="31">
        <f t="shared" si="14"/>
        <v>49.3</v>
      </c>
      <c r="AH18" s="31">
        <f t="shared" si="14"/>
        <v>49.3</v>
      </c>
      <c r="AI18" s="31">
        <f t="shared" si="14"/>
        <v>49.3</v>
      </c>
      <c r="AJ18" s="32">
        <f t="shared" si="14"/>
        <v>49.3</v>
      </c>
      <c r="AL18" s="18"/>
      <c r="BA18" s="17"/>
    </row>
    <row r="19" spans="1:53" x14ac:dyDescent="0.25">
      <c r="A19" t="s">
        <v>26</v>
      </c>
      <c r="B19" s="16">
        <f t="shared" si="12"/>
        <v>0.29599999999999999</v>
      </c>
      <c r="C19" s="16">
        <f t="shared" si="12"/>
        <v>0.27</v>
      </c>
      <c r="D19" s="16">
        <f t="shared" si="12"/>
        <v>0.27200000000000002</v>
      </c>
      <c r="Y19" s="1" t="s">
        <v>16</v>
      </c>
      <c r="Z19">
        <f>Z5</f>
        <v>4.38</v>
      </c>
      <c r="AA19" s="34">
        <f>Z19</f>
        <v>4.38</v>
      </c>
      <c r="AB19" s="35">
        <f t="shared" ref="AB19:AJ19" si="15">AA19*(1+$Z16)</f>
        <v>5.9305200000000005</v>
      </c>
      <c r="AC19" s="35">
        <f t="shared" si="15"/>
        <v>8.0299240800000007</v>
      </c>
      <c r="AD19" s="35">
        <f t="shared" si="15"/>
        <v>10.872517204320001</v>
      </c>
      <c r="AE19" s="35">
        <f t="shared" si="15"/>
        <v>14.721388294649282</v>
      </c>
      <c r="AF19" s="35">
        <f t="shared" si="15"/>
        <v>19.932759750955128</v>
      </c>
      <c r="AG19" s="35">
        <f t="shared" si="15"/>
        <v>26.988956702793246</v>
      </c>
      <c r="AH19" s="35">
        <f t="shared" si="15"/>
        <v>36.543047375582056</v>
      </c>
      <c r="AI19" s="35">
        <f t="shared" si="15"/>
        <v>49.479286146538108</v>
      </c>
      <c r="AJ19" s="36">
        <f t="shared" si="15"/>
        <v>66.994953442412609</v>
      </c>
      <c r="AL19" s="21"/>
      <c r="AM19" s="24"/>
      <c r="AN19" s="21">
        <v>1</v>
      </c>
      <c r="AO19" s="23">
        <v>2</v>
      </c>
      <c r="AP19" s="23">
        <v>3</v>
      </c>
      <c r="AQ19" s="23">
        <v>4</v>
      </c>
      <c r="AR19" s="23">
        <v>5</v>
      </c>
      <c r="AS19" s="23">
        <v>6</v>
      </c>
      <c r="AT19" s="23">
        <v>7</v>
      </c>
      <c r="AU19" s="23">
        <v>8</v>
      </c>
      <c r="AV19" s="23">
        <v>9</v>
      </c>
      <c r="AW19" s="23">
        <v>10</v>
      </c>
      <c r="AX19" s="24">
        <v>10</v>
      </c>
      <c r="AY19" s="46" t="s">
        <v>41</v>
      </c>
      <c r="AZ19" s="46" t="s">
        <v>62</v>
      </c>
      <c r="BA19" s="47" t="s">
        <v>63</v>
      </c>
    </row>
    <row r="20" spans="1:53" x14ac:dyDescent="0.25">
      <c r="A20" t="s">
        <v>27</v>
      </c>
      <c r="B20" s="16">
        <f t="shared" si="12"/>
        <v>0.64090000000000003</v>
      </c>
      <c r="C20" s="16">
        <f t="shared" si="12"/>
        <v>0.375</v>
      </c>
      <c r="D20" s="16">
        <f t="shared" si="12"/>
        <v>0.109</v>
      </c>
      <c r="Y20" s="5" t="s">
        <v>19</v>
      </c>
      <c r="Z20" s="37">
        <f>AA20</f>
        <v>938.87645006083335</v>
      </c>
      <c r="AA20" s="38">
        <f t="shared" ref="AA20:AI20" si="16">AB20/(1+$Z17)</f>
        <v>938.87645006083335</v>
      </c>
      <c r="AB20" s="38">
        <f t="shared" si="16"/>
        <v>1079.7079175699582</v>
      </c>
      <c r="AC20" s="38">
        <f t="shared" si="16"/>
        <v>1241.664105205452</v>
      </c>
      <c r="AD20" s="38">
        <f t="shared" si="16"/>
        <v>1427.9137209862697</v>
      </c>
      <c r="AE20" s="38">
        <f t="shared" si="16"/>
        <v>1642.1007791342099</v>
      </c>
      <c r="AF20" s="38">
        <f t="shared" si="16"/>
        <v>1888.4158960043412</v>
      </c>
      <c r="AG20" s="38">
        <f t="shared" si="16"/>
        <v>2171.6782804049922</v>
      </c>
      <c r="AH20" s="38">
        <f t="shared" si="16"/>
        <v>2497.4300224657409</v>
      </c>
      <c r="AI20" s="38">
        <f t="shared" si="16"/>
        <v>2872.0445258356017</v>
      </c>
      <c r="AJ20" s="39">
        <f>AJ19*$Z18</f>
        <v>3302.8512047109416</v>
      </c>
      <c r="AL20" s="1" t="s">
        <v>42</v>
      </c>
      <c r="AM20" s="10"/>
      <c r="AN20" s="48">
        <f>$AM12</f>
        <v>4091</v>
      </c>
      <c r="AO20" s="49">
        <f t="shared" ref="AO20:AW20" si="17">AN20+AN20*$AM13</f>
        <v>4941.2461666666668</v>
      </c>
      <c r="AP20" s="49">
        <f t="shared" si="17"/>
        <v>5968.2018283055559</v>
      </c>
      <c r="AQ20" s="49">
        <f t="shared" si="17"/>
        <v>7208.5931082883935</v>
      </c>
      <c r="AR20" s="49">
        <f t="shared" si="17"/>
        <v>8706.7790426276642</v>
      </c>
      <c r="AS20" s="49">
        <f t="shared" si="17"/>
        <v>10516.33795365378</v>
      </c>
      <c r="AT20" s="49">
        <f t="shared" si="17"/>
        <v>12701.983525021489</v>
      </c>
      <c r="AU20" s="49">
        <f t="shared" si="17"/>
        <v>15341.879100971788</v>
      </c>
      <c r="AV20" s="49">
        <f t="shared" si="17"/>
        <v>18530.432974123756</v>
      </c>
      <c r="AW20" s="49">
        <f t="shared" si="17"/>
        <v>22381.674627245811</v>
      </c>
      <c r="AX20" s="50">
        <f>$AM15*AW20</f>
        <v>335725.11940868717</v>
      </c>
      <c r="AY20" s="51"/>
      <c r="AZ20" s="49"/>
      <c r="BA20" s="10"/>
    </row>
    <row r="21" spans="1:53" x14ac:dyDescent="0.25">
      <c r="A21" t="s">
        <v>28</v>
      </c>
      <c r="E21" s="57">
        <f>L8</f>
        <v>0.65338548032265953</v>
      </c>
      <c r="AL21" s="5" t="s">
        <v>43</v>
      </c>
      <c r="AM21" s="7"/>
      <c r="AN21" s="52">
        <f>AN20/(1+$AM14)</f>
        <v>3557.3913043478265</v>
      </c>
      <c r="AO21" s="53">
        <f t="shared" ref="AO21:AW21" si="18">(1+$AM13)*AN21/(1+$AM14)</f>
        <v>3736.2919974795218</v>
      </c>
      <c r="AP21" s="53">
        <f t="shared" si="18"/>
        <v>3924.1895805411732</v>
      </c>
      <c r="AQ21" s="53">
        <f t="shared" si="18"/>
        <v>4121.5365058234611</v>
      </c>
      <c r="AR21" s="53">
        <f t="shared" si="18"/>
        <v>4328.8079793771913</v>
      </c>
      <c r="AS21" s="53">
        <f t="shared" si="18"/>
        <v>4546.5031052965951</v>
      </c>
      <c r="AT21" s="53">
        <f t="shared" si="18"/>
        <v>4775.1460875484672</v>
      </c>
      <c r="AU21" s="53">
        <f t="shared" si="18"/>
        <v>5015.287492241122</v>
      </c>
      <c r="AV21" s="53">
        <f t="shared" si="18"/>
        <v>5267.5055733726686</v>
      </c>
      <c r="AW21" s="53">
        <f t="shared" si="18"/>
        <v>5532.4076652509757</v>
      </c>
      <c r="AX21" s="54">
        <f>AX20/(1+AM14)^AX19</f>
        <v>82986.114978764657</v>
      </c>
      <c r="AY21" s="53">
        <f>SUM(AN21:AX21)</f>
        <v>127791.18227004366</v>
      </c>
      <c r="AZ21" s="53">
        <f>AY21+AM16</f>
        <v>128486.18227004366</v>
      </c>
      <c r="BA21" s="55">
        <f>AZ21/AM17</f>
        <v>138.1571852366061</v>
      </c>
    </row>
    <row r="22" spans="1:53" x14ac:dyDescent="0.25">
      <c r="AN22" s="75"/>
      <c r="AO22" s="75"/>
      <c r="AP22" s="75"/>
      <c r="AQ22" s="75"/>
      <c r="AR22" s="75"/>
      <c r="AS22" s="75"/>
      <c r="AT22" s="75"/>
      <c r="AU22" s="75"/>
      <c r="AV22" s="75"/>
      <c r="AW22" s="75"/>
      <c r="AX22" s="75"/>
      <c r="AY22" s="75"/>
      <c r="AZ22" s="75"/>
      <c r="BA22" s="76"/>
    </row>
    <row r="23" spans="1:53" ht="18.75" x14ac:dyDescent="0.3">
      <c r="A23" s="56" t="s">
        <v>30</v>
      </c>
      <c r="AL23" s="1" t="s">
        <v>35</v>
      </c>
      <c r="AM23" s="22">
        <f>AM1</f>
        <v>4091</v>
      </c>
      <c r="AN23" s="42"/>
      <c r="AO23" s="42"/>
      <c r="AP23" s="42"/>
      <c r="AQ23" s="42"/>
      <c r="AR23" s="42"/>
      <c r="AS23" s="42"/>
      <c r="AT23" s="42"/>
      <c r="AU23" s="42"/>
      <c r="AV23" s="42"/>
      <c r="AW23" s="42"/>
      <c r="AX23" s="42"/>
      <c r="AY23" s="42"/>
      <c r="AZ23" s="42"/>
      <c r="BA23" s="10"/>
    </row>
    <row r="24" spans="1:53" ht="30" x14ac:dyDescent="0.25">
      <c r="A24" t="s">
        <v>18</v>
      </c>
      <c r="B24" s="41" t="s">
        <v>20</v>
      </c>
      <c r="C24" s="41" t="s">
        <v>31</v>
      </c>
      <c r="D24" s="41" t="s">
        <v>21</v>
      </c>
      <c r="E24" s="41" t="s">
        <v>22</v>
      </c>
      <c r="AL24" s="18" t="s">
        <v>36</v>
      </c>
      <c r="AM24" s="71">
        <f>Z16</f>
        <v>0.35399999999999998</v>
      </c>
      <c r="BA24" s="17"/>
    </row>
    <row r="25" spans="1:53" x14ac:dyDescent="0.25">
      <c r="A25" s="16">
        <f>MIN(B17,0.102)</f>
        <v>0.10199999999999999</v>
      </c>
      <c r="B25" s="73">
        <f>Z6</f>
        <v>147.12105049071997</v>
      </c>
      <c r="C25" s="63">
        <f>1-$B$6/Table14[[#This Row],[Fair Value
Method 1]]</f>
        <v>-0.98360465090893223</v>
      </c>
      <c r="D25" s="66">
        <f>BA10</f>
        <v>71.65082004739719</v>
      </c>
      <c r="E25" s="63">
        <f>1-$B$6/Table14[[#This Row],[Fair Value 
Method 2]]</f>
        <v>-3.0729471038426883</v>
      </c>
      <c r="AL25" s="18" t="s">
        <v>37</v>
      </c>
      <c r="AM25" s="69">
        <f>AM3</f>
        <v>0.15</v>
      </c>
      <c r="BA25" s="17"/>
    </row>
    <row r="26" spans="1:53" x14ac:dyDescent="0.25">
      <c r="A26" s="61">
        <v>0.16750000000000001</v>
      </c>
      <c r="B26" s="73">
        <f>Z13</f>
        <v>335.81768621524094</v>
      </c>
      <c r="C26" s="63">
        <f>1-$B$6/Table14[[#This Row],[Fair Value
Method 1]]</f>
        <v>0.13098680629657855</v>
      </c>
      <c r="D26" s="66">
        <f>BA21</f>
        <v>138.1571852366061</v>
      </c>
      <c r="E26" s="63">
        <f>1-$B$6/Table14[[#This Row],[Fair Value 
Method 2]]</f>
        <v>-1.112304180924184</v>
      </c>
      <c r="AL26" s="18" t="s">
        <v>38</v>
      </c>
      <c r="AM26" s="69">
        <f>AM4</f>
        <v>15</v>
      </c>
      <c r="BA26" s="17"/>
    </row>
    <row r="27" spans="1:53" x14ac:dyDescent="0.25">
      <c r="A27" s="61">
        <v>0.35399999999999998</v>
      </c>
      <c r="B27" s="73">
        <f>Z20</f>
        <v>938.87645006083335</v>
      </c>
      <c r="C27" s="63">
        <f>1-$B$6/Table14[[#This Row],[Fair Value
Method 1]]</f>
        <v>0.68917102992508628</v>
      </c>
      <c r="D27" s="41">
        <v>776</v>
      </c>
      <c r="E27" s="63">
        <f>1-$B$6/Table14[[#This Row],[Fair Value 
Method 2]]</f>
        <v>0.623930412371134</v>
      </c>
      <c r="AL27" s="18" t="s">
        <v>39</v>
      </c>
      <c r="AM27" s="69">
        <f>AM5</f>
        <v>695</v>
      </c>
      <c r="BA27" s="17"/>
    </row>
    <row r="28" spans="1:53" x14ac:dyDescent="0.25">
      <c r="AL28" s="5" t="s">
        <v>40</v>
      </c>
      <c r="AM28" s="70">
        <f>AM6</f>
        <v>930</v>
      </c>
      <c r="BA28" s="17"/>
    </row>
    <row r="29" spans="1:53" ht="18.75" x14ac:dyDescent="0.3">
      <c r="A29" s="56" t="s">
        <v>64</v>
      </c>
      <c r="AL29" s="18"/>
      <c r="BA29" s="17"/>
    </row>
    <row r="30" spans="1:53" x14ac:dyDescent="0.25">
      <c r="A30" s="77" t="s">
        <v>66</v>
      </c>
      <c r="AL30" s="21"/>
      <c r="AM30" s="24"/>
      <c r="AN30" s="21">
        <v>1</v>
      </c>
      <c r="AO30" s="23">
        <v>2</v>
      </c>
      <c r="AP30" s="23">
        <v>3</v>
      </c>
      <c r="AQ30" s="23">
        <v>4</v>
      </c>
      <c r="AR30" s="23">
        <v>5</v>
      </c>
      <c r="AS30" s="23">
        <v>6</v>
      </c>
      <c r="AT30" s="23">
        <v>7</v>
      </c>
      <c r="AU30" s="23">
        <v>8</v>
      </c>
      <c r="AV30" s="23">
        <v>9</v>
      </c>
      <c r="AW30" s="23">
        <v>10</v>
      </c>
      <c r="AX30" s="24">
        <v>10</v>
      </c>
      <c r="AY30" s="46" t="s">
        <v>41</v>
      </c>
      <c r="AZ30" s="46" t="s">
        <v>62</v>
      </c>
      <c r="BA30" s="47" t="s">
        <v>63</v>
      </c>
    </row>
    <row r="31" spans="1:53" x14ac:dyDescent="0.25">
      <c r="AL31" s="1" t="s">
        <v>42</v>
      </c>
      <c r="AM31" s="10"/>
      <c r="AN31" s="48">
        <f>$AM23</f>
        <v>4091</v>
      </c>
      <c r="AO31" s="49">
        <f t="shared" ref="AO31:AW31" si="19">AN31+AN31*$AM24</f>
        <v>5539.2139999999999</v>
      </c>
      <c r="AP31" s="49">
        <f t="shared" si="19"/>
        <v>7500.0957559999997</v>
      </c>
      <c r="AQ31" s="49">
        <f t="shared" si="19"/>
        <v>10155.129653623999</v>
      </c>
      <c r="AR31" s="49">
        <f t="shared" si="19"/>
        <v>13750.045551006893</v>
      </c>
      <c r="AS31" s="49">
        <f t="shared" si="19"/>
        <v>18617.561676063335</v>
      </c>
      <c r="AT31" s="49">
        <f t="shared" si="19"/>
        <v>25208.178509389756</v>
      </c>
      <c r="AU31" s="49">
        <f t="shared" si="19"/>
        <v>34131.873701713732</v>
      </c>
      <c r="AV31" s="49">
        <f t="shared" si="19"/>
        <v>46214.556992120393</v>
      </c>
      <c r="AW31" s="49">
        <f t="shared" si="19"/>
        <v>62574.510167331013</v>
      </c>
      <c r="AX31" s="50">
        <f>$AM26*AW31</f>
        <v>938617.65250996524</v>
      </c>
      <c r="AY31" s="51"/>
      <c r="AZ31" s="49"/>
      <c r="BA31" s="10"/>
    </row>
    <row r="32" spans="1:53" x14ac:dyDescent="0.25">
      <c r="AL32" s="5" t="s">
        <v>43</v>
      </c>
      <c r="AM32" s="7"/>
      <c r="AN32" s="52">
        <f>AN31/(1+$AM25)</f>
        <v>3557.3913043478265</v>
      </c>
      <c r="AO32" s="53">
        <f t="shared" ref="AO32:AW32" si="20">(1+$AM24)*AN32/(1+$AM25)</f>
        <v>4188.4415879017024</v>
      </c>
      <c r="AP32" s="53">
        <f t="shared" si="20"/>
        <v>4931.4347043642665</v>
      </c>
      <c r="AQ32" s="53">
        <f t="shared" si="20"/>
        <v>5806.2283388775804</v>
      </c>
      <c r="AR32" s="53">
        <f t="shared" si="20"/>
        <v>6836.2027572523866</v>
      </c>
      <c r="AS32" s="53">
        <f t="shared" si="20"/>
        <v>8048.8856811475935</v>
      </c>
      <c r="AT32" s="53">
        <f t="shared" si="20"/>
        <v>9476.6880106729077</v>
      </c>
      <c r="AU32" s="53">
        <f t="shared" si="20"/>
        <v>11157.770057783582</v>
      </c>
      <c r="AV32" s="53">
        <f t="shared" si="20"/>
        <v>13137.061441946933</v>
      </c>
      <c r="AW32" s="53">
        <f t="shared" si="20"/>
        <v>15467.461906431434</v>
      </c>
      <c r="AX32" s="54">
        <f>AX31/(1+AM25)^AX30</f>
        <v>232011.92859647138</v>
      </c>
      <c r="AY32" s="53">
        <f>SUM(AN32:AX32)</f>
        <v>314619.4943871976</v>
      </c>
      <c r="AZ32" s="53">
        <f>AY32+AM27</f>
        <v>315314.4943871976</v>
      </c>
      <c r="BA32" s="55">
        <f>AZ32/AM28</f>
        <v>339.04784342709416</v>
      </c>
    </row>
    <row r="36" spans="4:7" x14ac:dyDescent="0.25">
      <c r="D36" s="78"/>
      <c r="E36" s="78"/>
      <c r="G36" s="79"/>
    </row>
    <row r="39" spans="4:7" x14ac:dyDescent="0.25">
      <c r="D39" s="41"/>
    </row>
  </sheetData>
  <mergeCells count="11">
    <mergeCell ref="S1:S2"/>
    <mergeCell ref="T1:T2"/>
    <mergeCell ref="U1:U2"/>
    <mergeCell ref="V1:V2"/>
    <mergeCell ref="W1:W2"/>
    <mergeCell ref="R1:R2"/>
    <mergeCell ref="M1:M2"/>
    <mergeCell ref="N1:N2"/>
    <mergeCell ref="O1:O2"/>
    <mergeCell ref="P1:P2"/>
    <mergeCell ref="Q1:Q2"/>
  </mergeCells>
  <conditionalFormatting sqref="L8">
    <cfRule type="cellIs" dxfId="531" priority="20" operator="greaterThan">
      <formula>3</formula>
    </cfRule>
    <cfRule type="cellIs" dxfId="530" priority="21" operator="lessThan">
      <formula>3</formula>
    </cfRule>
  </conditionalFormatting>
  <conditionalFormatting sqref="I3:K7">
    <cfRule type="cellIs" dxfId="529" priority="17" operator="between">
      <formula>0.05</formula>
      <formula>0.1</formula>
    </cfRule>
    <cfRule type="cellIs" dxfId="528" priority="18" operator="lessThan">
      <formula>0.05</formula>
    </cfRule>
    <cfRule type="cellIs" dxfId="527" priority="19" operator="greaterThan">
      <formula>0.1</formula>
    </cfRule>
  </conditionalFormatting>
  <conditionalFormatting sqref="M3:W3">
    <cfRule type="dataBar" priority="16">
      <dataBar>
        <cfvo type="min"/>
        <cfvo type="max"/>
        <color rgb="FF63C384"/>
      </dataBar>
      <extLst>
        <ext xmlns:x14="http://schemas.microsoft.com/office/spreadsheetml/2009/9/main" uri="{B025F937-C7B1-47D3-B67F-A62EFF666E3E}">
          <x14:id>{4C65CD85-C094-472A-B6B5-9DE66DFCBDAC}</x14:id>
        </ext>
      </extLst>
    </cfRule>
  </conditionalFormatting>
  <conditionalFormatting sqref="N4:W4">
    <cfRule type="dataBar" priority="15">
      <dataBar>
        <cfvo type="min"/>
        <cfvo type="max"/>
        <color rgb="FF63C384"/>
      </dataBar>
      <extLst>
        <ext xmlns:x14="http://schemas.microsoft.com/office/spreadsheetml/2009/9/main" uri="{B025F937-C7B1-47D3-B67F-A62EFF666E3E}">
          <x14:id>{8ADA8CDD-2A96-4BAF-AA1B-A98F0B38FA81}</x14:id>
        </ext>
      </extLst>
    </cfRule>
  </conditionalFormatting>
  <conditionalFormatting sqref="N5:W5">
    <cfRule type="dataBar" priority="14">
      <dataBar>
        <cfvo type="min"/>
        <cfvo type="max"/>
        <color rgb="FF63C384"/>
      </dataBar>
      <extLst>
        <ext xmlns:x14="http://schemas.microsoft.com/office/spreadsheetml/2009/9/main" uri="{B025F937-C7B1-47D3-B67F-A62EFF666E3E}">
          <x14:id>{4B4D8EB0-DC68-492C-96E5-94B011BC94D2}</x14:id>
        </ext>
      </extLst>
    </cfRule>
  </conditionalFormatting>
  <conditionalFormatting sqref="N6:W6">
    <cfRule type="dataBar" priority="13">
      <dataBar>
        <cfvo type="min"/>
        <cfvo type="max"/>
        <color rgb="FF63C384"/>
      </dataBar>
      <extLst>
        <ext xmlns:x14="http://schemas.microsoft.com/office/spreadsheetml/2009/9/main" uri="{B025F937-C7B1-47D3-B67F-A62EFF666E3E}">
          <x14:id>{73378745-F22E-4270-8C2D-86728FE99F82}</x14:id>
        </ext>
      </extLst>
    </cfRule>
  </conditionalFormatting>
  <conditionalFormatting sqref="N7:W7">
    <cfRule type="dataBar" priority="12">
      <dataBar>
        <cfvo type="min"/>
        <cfvo type="max"/>
        <color rgb="FF63C384"/>
      </dataBar>
      <extLst>
        <ext xmlns:x14="http://schemas.microsoft.com/office/spreadsheetml/2009/9/main" uri="{B025F937-C7B1-47D3-B67F-A62EFF666E3E}">
          <x14:id>{2BBAFF47-130A-4AAD-BD29-A5540E7AE401}</x14:id>
        </ext>
      </extLst>
    </cfRule>
  </conditionalFormatting>
  <conditionalFormatting sqref="E21">
    <cfRule type="cellIs" dxfId="526" priority="10" operator="greaterThan">
      <formula>3</formula>
    </cfRule>
    <cfRule type="cellIs" dxfId="525" priority="11" operator="lessThan">
      <formula>3</formula>
    </cfRule>
  </conditionalFormatting>
  <conditionalFormatting sqref="B16:D20">
    <cfRule type="cellIs" dxfId="524" priority="7" operator="between">
      <formula>0.05</formula>
      <formula>0.1</formula>
    </cfRule>
    <cfRule type="cellIs" dxfId="523" priority="8" operator="lessThan">
      <formula>0.05</formula>
    </cfRule>
    <cfRule type="cellIs" dxfId="522" priority="9" operator="greaterThan">
      <formula>0.1</formula>
    </cfRule>
  </conditionalFormatting>
  <conditionalFormatting sqref="C25:C27">
    <cfRule type="cellIs" dxfId="521" priority="4" operator="lessThan">
      <formula>0</formula>
    </cfRule>
    <cfRule type="cellIs" dxfId="520" priority="5" operator="between">
      <formula>0</formula>
      <formula>0.3</formula>
    </cfRule>
    <cfRule type="cellIs" dxfId="519" priority="6" operator="greaterThan">
      <formula>0.3</formula>
    </cfRule>
  </conditionalFormatting>
  <conditionalFormatting sqref="E25:E27">
    <cfRule type="cellIs" dxfId="518" priority="1" operator="lessThan">
      <formula>0</formula>
    </cfRule>
    <cfRule type="cellIs" dxfId="517" priority="2" operator="between">
      <formula>0</formula>
      <formula>0.3</formula>
    </cfRule>
    <cfRule type="cellIs" dxfId="516" priority="3" operator="greaterThan">
      <formula>0.3</formula>
    </cfRule>
  </conditionalFormatting>
  <hyperlinks>
    <hyperlink ref="B4" r:id="rId1" xr:uid="{E4D96EB8-194C-4BC4-AA72-E433B2338333}"/>
    <hyperlink ref="A30" r:id="rId2" xr:uid="{5C861D6C-25A6-4955-9695-5BFDDA3E7AA0}"/>
  </hyperlinks>
  <pageMargins left="0.7" right="0.7" top="0.75" bottom="0.75" header="0.3" footer="0.3"/>
  <pageSetup paperSize="9" orientation="portrait" r:id="rId3"/>
  <legacyDrawing r:id="rId4"/>
  <tableParts count="3">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dataBar" id="{4C65CD85-C094-472A-B6B5-9DE66DFCBDAC}">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8ADA8CDD-2A96-4BAF-AA1B-A98F0B38FA81}">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4B4D8EB0-DC68-492C-96E5-94B011BC94D2}">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73378745-F22E-4270-8C2D-86728FE99F82}">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2BBAFF47-130A-4AAD-BD29-A5540E7AE401}">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5C40D-1E80-45A4-9D6A-727B1A780764}">
  <dimension ref="A1:BA45"/>
  <sheetViews>
    <sheetView showGridLines="0" zoomScale="85" zoomScaleNormal="85" workbookViewId="0">
      <selection activeCell="G37" sqref="G37"/>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550</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MIN(Table1579[])</f>
        <v>-3.3666666666666664E-2</v>
      </c>
      <c r="AA2" s="8">
        <f>Z2</f>
        <v>-3.3666666666666664E-2</v>
      </c>
      <c r="AB2" s="9">
        <f t="shared" ref="AB2:AJ3" si="1">AA2</f>
        <v>-3.3666666666666664E-2</v>
      </c>
      <c r="AC2" s="9">
        <f t="shared" si="1"/>
        <v>-3.3666666666666664E-2</v>
      </c>
      <c r="AD2" s="9">
        <f t="shared" si="1"/>
        <v>-3.3666666666666664E-2</v>
      </c>
      <c r="AE2" s="9">
        <f t="shared" si="1"/>
        <v>-3.3666666666666664E-2</v>
      </c>
      <c r="AF2" s="9">
        <f t="shared" si="1"/>
        <v>-3.3666666666666664E-2</v>
      </c>
      <c r="AG2" s="9">
        <f t="shared" si="1"/>
        <v>-3.3666666666666664E-2</v>
      </c>
      <c r="AH2" s="9">
        <f t="shared" si="1"/>
        <v>-3.3666666666666664E-2</v>
      </c>
      <c r="AI2" s="9">
        <f t="shared" si="1"/>
        <v>-3.3666666666666664E-2</v>
      </c>
      <c r="AJ2" s="25">
        <f t="shared" si="1"/>
        <v>-3.3666666666666664E-2</v>
      </c>
      <c r="AL2" s="18" t="s">
        <v>36</v>
      </c>
      <c r="AM2" s="67">
        <f>Z2</f>
        <v>-3.3666666666666664E-2</v>
      </c>
      <c r="BA2" s="17"/>
    </row>
    <row r="3" spans="1:53" x14ac:dyDescent="0.25">
      <c r="A3" t="s">
        <v>49</v>
      </c>
      <c r="B3" s="58" t="s">
        <v>164</v>
      </c>
      <c r="H3" s="2" t="s">
        <v>6</v>
      </c>
      <c r="I3" s="8">
        <f>AVERAGE(M3:W3)</f>
        <v>3.2054545454545454E-2</v>
      </c>
      <c r="J3" s="9">
        <f>AVERAGE(S3:W3)</f>
        <v>2.8820000000000002E-2</v>
      </c>
      <c r="K3" s="9">
        <f>W3</f>
        <v>2.8999999999999998E-2</v>
      </c>
      <c r="L3" s="10" t="s">
        <v>7</v>
      </c>
      <c r="M3" s="11">
        <v>2.7099999999999999E-2</v>
      </c>
      <c r="N3" s="12">
        <v>2.7400000000000001E-2</v>
      </c>
      <c r="O3" s="12">
        <v>4.9400000000000006E-2</v>
      </c>
      <c r="P3" s="12">
        <v>3.8300000000000001E-2</v>
      </c>
      <c r="Q3" s="12">
        <v>4.4199999999999996E-2</v>
      </c>
      <c r="R3" s="12">
        <v>2.2099999999999998E-2</v>
      </c>
      <c r="S3" s="12">
        <v>3.5299999999999998E-2</v>
      </c>
      <c r="T3" s="12">
        <v>4.3400000000000001E-2</v>
      </c>
      <c r="U3" s="12">
        <v>0</v>
      </c>
      <c r="V3" s="12">
        <v>3.6400000000000002E-2</v>
      </c>
      <c r="W3" s="13">
        <v>2.8999999999999998E-2</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162</v>
      </c>
      <c r="H4" s="14" t="s">
        <v>8</v>
      </c>
      <c r="I4" s="15">
        <f>AVERAGE(M4:W4)</f>
        <v>-3.3666666666666664E-2</v>
      </c>
      <c r="J4" s="16">
        <f>AVERAGE(S4:W4)</f>
        <v>-5.3499999999999999E-2</v>
      </c>
      <c r="K4" s="16">
        <f>W4</f>
        <v>-5.6000000000000001E-2</v>
      </c>
      <c r="L4" s="17" t="s">
        <v>7</v>
      </c>
      <c r="M4" s="18" t="s">
        <v>7</v>
      </c>
      <c r="N4" s="12"/>
      <c r="O4" s="12"/>
      <c r="P4" s="12"/>
      <c r="Q4" s="12">
        <v>2.3E-2</v>
      </c>
      <c r="R4" s="12">
        <v>-1.0999999999999999E-2</v>
      </c>
      <c r="S4" s="12">
        <v>-4.2000000000000003E-2</v>
      </c>
      <c r="T4" s="12">
        <v>-0.14099999999999999</v>
      </c>
      <c r="U4" s="12"/>
      <c r="V4" s="12">
        <v>2.5000000000000001E-2</v>
      </c>
      <c r="W4" s="13">
        <v>-5.6000000000000001E-2</v>
      </c>
      <c r="Y4" s="5" t="s">
        <v>15</v>
      </c>
      <c r="Z4" s="29">
        <v>72</v>
      </c>
      <c r="AA4" s="30">
        <f t="shared" si="2"/>
        <v>72</v>
      </c>
      <c r="AB4" s="31">
        <f t="shared" si="2"/>
        <v>72</v>
      </c>
      <c r="AC4" s="31">
        <f t="shared" si="2"/>
        <v>72</v>
      </c>
      <c r="AD4" s="31">
        <f t="shared" si="2"/>
        <v>72</v>
      </c>
      <c r="AE4" s="31">
        <f t="shared" si="2"/>
        <v>72</v>
      </c>
      <c r="AF4" s="31">
        <f t="shared" si="2"/>
        <v>72</v>
      </c>
      <c r="AG4" s="31">
        <f t="shared" si="2"/>
        <v>72</v>
      </c>
      <c r="AH4" s="31">
        <f t="shared" si="2"/>
        <v>72</v>
      </c>
      <c r="AI4" s="31">
        <f t="shared" si="2"/>
        <v>72</v>
      </c>
      <c r="AJ4" s="32">
        <f t="shared" si="2"/>
        <v>72</v>
      </c>
      <c r="AL4" s="18" t="s">
        <v>38</v>
      </c>
      <c r="AM4" s="64">
        <v>15</v>
      </c>
      <c r="BA4" s="17"/>
    </row>
    <row r="5" spans="1:53" x14ac:dyDescent="0.25">
      <c r="A5" t="s">
        <v>34</v>
      </c>
      <c r="B5" s="92">
        <v>44717</v>
      </c>
      <c r="H5" s="14" t="s">
        <v>9</v>
      </c>
      <c r="I5" s="15">
        <f>AVERAGE(M5:W5)</f>
        <v>0.2698888888888889</v>
      </c>
      <c r="J5" s="16">
        <f>AVERAGE(S5:W5)</f>
        <v>0.5</v>
      </c>
      <c r="K5" s="16">
        <f>W5</f>
        <v>1</v>
      </c>
      <c r="L5" s="17" t="s">
        <v>7</v>
      </c>
      <c r="M5" s="18" t="s">
        <v>7</v>
      </c>
      <c r="N5" s="12">
        <v>0.61099999999999999</v>
      </c>
      <c r="O5" s="12">
        <v>3.5000000000000003E-2</v>
      </c>
      <c r="P5" s="12">
        <v>0.33300000000000002</v>
      </c>
      <c r="Q5" s="12">
        <v>0.45</v>
      </c>
      <c r="R5" s="12">
        <v>-1</v>
      </c>
      <c r="S5" s="12">
        <v>1</v>
      </c>
      <c r="T5" s="12">
        <v>-1</v>
      </c>
      <c r="U5" s="12"/>
      <c r="V5" s="12">
        <v>1</v>
      </c>
      <c r="W5" s="13">
        <v>1</v>
      </c>
      <c r="Y5" s="1" t="s">
        <v>16</v>
      </c>
      <c r="Z5" s="33">
        <v>0.44</v>
      </c>
      <c r="AA5" s="34">
        <f>Z5</f>
        <v>0.44</v>
      </c>
      <c r="AB5" s="35">
        <f t="shared" ref="AB5:AJ5" si="3">AA5*(1+$Z2)</f>
        <v>0.42518666666666671</v>
      </c>
      <c r="AC5" s="35">
        <f t="shared" si="3"/>
        <v>0.41087204888888895</v>
      </c>
      <c r="AD5" s="35">
        <f t="shared" si="3"/>
        <v>0.39703935657629635</v>
      </c>
      <c r="AE5" s="35">
        <f t="shared" si="3"/>
        <v>0.38367236490489437</v>
      </c>
      <c r="AF5" s="35">
        <f t="shared" si="3"/>
        <v>0.37075539528642959</v>
      </c>
      <c r="AG5" s="35">
        <f t="shared" si="3"/>
        <v>0.35827329697845317</v>
      </c>
      <c r="AH5" s="35">
        <f t="shared" si="3"/>
        <v>0.34621142931351195</v>
      </c>
      <c r="AI5" s="35">
        <f t="shared" si="3"/>
        <v>0.33455564452662373</v>
      </c>
      <c r="AJ5" s="36">
        <f t="shared" si="3"/>
        <v>0.3232922711608941</v>
      </c>
      <c r="AL5" s="18" t="s">
        <v>39</v>
      </c>
      <c r="AM5" s="40">
        <v>179</v>
      </c>
      <c r="BA5" s="17"/>
    </row>
    <row r="6" spans="1:53" x14ac:dyDescent="0.25">
      <c r="A6" t="s">
        <v>44</v>
      </c>
      <c r="B6" s="62">
        <v>35.06</v>
      </c>
      <c r="H6" s="14" t="s">
        <v>10</v>
      </c>
      <c r="I6" s="15">
        <f>AVERAGE(M6:W6)</f>
        <v>5.5428571428571431E-2</v>
      </c>
      <c r="J6" s="16">
        <f>AVERAGE(S6:W6)</f>
        <v>4.3749999999999997E-2</v>
      </c>
      <c r="K6" s="16">
        <f>W6</f>
        <v>7.2999999999999995E-2</v>
      </c>
      <c r="L6" s="17" t="s">
        <v>7</v>
      </c>
      <c r="M6" s="18" t="s">
        <v>7</v>
      </c>
      <c r="N6" s="12"/>
      <c r="O6" s="12"/>
      <c r="P6" s="12">
        <v>0.16900000000000001</v>
      </c>
      <c r="Q6" s="12">
        <v>6.9000000000000006E-2</v>
      </c>
      <c r="R6" s="12">
        <v>-2.5000000000000001E-2</v>
      </c>
      <c r="S6" s="12">
        <v>4.3999999999999997E-2</v>
      </c>
      <c r="T6" s="12">
        <v>-0.02</v>
      </c>
      <c r="U6" s="12"/>
      <c r="V6" s="12">
        <v>7.8E-2</v>
      </c>
      <c r="W6" s="13">
        <v>7.2999999999999995E-2</v>
      </c>
      <c r="Y6" s="5" t="s">
        <v>19</v>
      </c>
      <c r="Z6" s="37">
        <f>AA6</f>
        <v>6.6167885371775466</v>
      </c>
      <c r="AA6" s="38">
        <f t="shared" ref="AA6:AI6" si="4">AB6/(1+$Z3)</f>
        <v>6.6167885371775466</v>
      </c>
      <c r="AB6" s="38">
        <f t="shared" si="4"/>
        <v>7.6093068177541783</v>
      </c>
      <c r="AC6" s="38">
        <f t="shared" si="4"/>
        <v>8.7507028404173042</v>
      </c>
      <c r="AD6" s="38">
        <f t="shared" si="4"/>
        <v>10.063308266479899</v>
      </c>
      <c r="AE6" s="38">
        <f t="shared" si="4"/>
        <v>11.572804506451883</v>
      </c>
      <c r="AF6" s="38">
        <f t="shared" si="4"/>
        <v>13.308725182419664</v>
      </c>
      <c r="AG6" s="38">
        <f t="shared" si="4"/>
        <v>15.305033959782612</v>
      </c>
      <c r="AH6" s="38">
        <f t="shared" si="4"/>
        <v>17.600789053750002</v>
      </c>
      <c r="AI6" s="38">
        <f t="shared" si="4"/>
        <v>20.240907411812501</v>
      </c>
      <c r="AJ6" s="39">
        <f>AJ5*$Z4</f>
        <v>23.277043523584375</v>
      </c>
      <c r="AL6" s="5" t="s">
        <v>40</v>
      </c>
      <c r="AM6" s="45">
        <v>117</v>
      </c>
      <c r="BA6" s="17"/>
    </row>
    <row r="7" spans="1:53" x14ac:dyDescent="0.25">
      <c r="A7" t="s">
        <v>45</v>
      </c>
      <c r="B7" s="58"/>
      <c r="H7" s="14" t="s">
        <v>11</v>
      </c>
      <c r="I7" s="15">
        <f>AVERAGE(M7:W7)</f>
        <v>0.26011111111111107</v>
      </c>
      <c r="J7" s="16">
        <f>AVERAGE(S7:W7)</f>
        <v>1.5499999999999986E-2</v>
      </c>
      <c r="K7" s="16">
        <f>W7</f>
        <v>0.30599999999999999</v>
      </c>
      <c r="L7" s="17" t="s">
        <v>7</v>
      </c>
      <c r="M7" s="18" t="s">
        <v>7</v>
      </c>
      <c r="N7" s="12">
        <v>0</v>
      </c>
      <c r="O7" s="12">
        <v>1</v>
      </c>
      <c r="P7" s="12">
        <v>0.81100000000000005</v>
      </c>
      <c r="Q7" s="12">
        <v>0.56999999999999995</v>
      </c>
      <c r="R7" s="12">
        <v>-0.10199999999999999</v>
      </c>
      <c r="S7" s="12">
        <v>-0.14399999999999999</v>
      </c>
      <c r="T7" s="12">
        <v>-0.4</v>
      </c>
      <c r="U7" s="12"/>
      <c r="V7" s="12">
        <v>0.3</v>
      </c>
      <c r="W7" s="13">
        <v>0.30599999999999999</v>
      </c>
      <c r="AL7" s="18"/>
      <c r="BA7" s="17"/>
    </row>
    <row r="8" spans="1:53" x14ac:dyDescent="0.25">
      <c r="A8" t="s">
        <v>46</v>
      </c>
      <c r="B8" s="58"/>
      <c r="H8" s="19" t="s">
        <v>12</v>
      </c>
      <c r="I8" s="5" t="s">
        <v>7</v>
      </c>
      <c r="J8" s="6" t="s">
        <v>7</v>
      </c>
      <c r="K8" s="6" t="s">
        <v>7</v>
      </c>
      <c r="L8" s="20">
        <v>11.96</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82</v>
      </c>
      <c r="B9" s="58"/>
      <c r="H9" s="43"/>
      <c r="L9" s="20"/>
      <c r="Y9" s="1"/>
      <c r="AA9" s="1"/>
      <c r="AB9" s="42"/>
      <c r="AC9" s="42"/>
      <c r="AD9" s="42"/>
      <c r="AE9" s="42"/>
      <c r="AF9" s="42"/>
      <c r="AG9" s="42"/>
      <c r="AH9" s="42"/>
      <c r="AI9" s="42"/>
      <c r="AJ9" s="10"/>
      <c r="AL9" s="1"/>
      <c r="AM9" s="10"/>
      <c r="AN9" s="1"/>
      <c r="AO9" s="42"/>
      <c r="AP9" s="42"/>
      <c r="AQ9" s="42"/>
      <c r="AR9" s="42"/>
      <c r="AS9" s="42"/>
      <c r="AT9" s="42"/>
      <c r="AU9" s="42"/>
      <c r="AV9" s="42"/>
      <c r="AW9" s="42"/>
      <c r="AX9" s="10"/>
      <c r="AY9" s="93"/>
      <c r="AZ9" s="93"/>
      <c r="BA9" s="94"/>
    </row>
    <row r="10" spans="1:53" x14ac:dyDescent="0.25">
      <c r="A10" t="s">
        <v>47</v>
      </c>
      <c r="B10" s="58"/>
      <c r="Y10" s="1" t="s">
        <v>13</v>
      </c>
      <c r="Z10" s="65">
        <f>AVERAGE(Table1579[])</f>
        <v>1.6316666666666667E-2</v>
      </c>
      <c r="AA10" s="8">
        <f>Z10</f>
        <v>1.6316666666666667E-2</v>
      </c>
      <c r="AB10" s="9">
        <f t="shared" ref="AB10:AJ11" si="5">AA10</f>
        <v>1.6316666666666667E-2</v>
      </c>
      <c r="AC10" s="9">
        <f t="shared" si="5"/>
        <v>1.6316666666666667E-2</v>
      </c>
      <c r="AD10" s="9">
        <f t="shared" si="5"/>
        <v>1.6316666666666667E-2</v>
      </c>
      <c r="AE10" s="9">
        <f t="shared" si="5"/>
        <v>1.6316666666666667E-2</v>
      </c>
      <c r="AF10" s="9">
        <f t="shared" si="5"/>
        <v>1.6316666666666667E-2</v>
      </c>
      <c r="AG10" s="9">
        <f t="shared" si="5"/>
        <v>1.6316666666666667E-2</v>
      </c>
      <c r="AH10" s="9">
        <f t="shared" si="5"/>
        <v>1.6316666666666667E-2</v>
      </c>
      <c r="AI10" s="9">
        <f t="shared" si="5"/>
        <v>1.6316666666666667E-2</v>
      </c>
      <c r="AJ10" s="25">
        <f t="shared" si="5"/>
        <v>1.6316666666666667E-2</v>
      </c>
      <c r="AL10" s="1" t="s">
        <v>42</v>
      </c>
      <c r="AM10" s="10"/>
      <c r="AN10" s="48">
        <f>$AM1</f>
        <v>550</v>
      </c>
      <c r="AO10" s="49">
        <f t="shared" ref="AO10:AW10" si="6">AN10+AN10*$AM2</f>
        <v>531.48333333333335</v>
      </c>
      <c r="AP10" s="49">
        <f t="shared" si="6"/>
        <v>513.59006111111114</v>
      </c>
      <c r="AQ10" s="49">
        <f t="shared" si="6"/>
        <v>496.29919572037039</v>
      </c>
      <c r="AR10" s="49">
        <f t="shared" si="6"/>
        <v>479.59045613111795</v>
      </c>
      <c r="AS10" s="49">
        <f t="shared" si="6"/>
        <v>463.44424410803697</v>
      </c>
      <c r="AT10" s="49">
        <f t="shared" si="6"/>
        <v>447.8416212230664</v>
      </c>
      <c r="AU10" s="49">
        <f t="shared" si="6"/>
        <v>432.76428664188984</v>
      </c>
      <c r="AV10" s="49">
        <f t="shared" si="6"/>
        <v>418.19455565827957</v>
      </c>
      <c r="AW10" s="49">
        <f t="shared" si="6"/>
        <v>404.11533895111751</v>
      </c>
      <c r="AX10" s="50">
        <f>$AM4*AW10</f>
        <v>6061.7300842667628</v>
      </c>
      <c r="AY10" s="51"/>
      <c r="AZ10" s="49"/>
      <c r="BA10" s="10"/>
    </row>
    <row r="11" spans="1:53" x14ac:dyDescent="0.25">
      <c r="A11" t="s">
        <v>48</v>
      </c>
      <c r="B11" s="58"/>
      <c r="Y11" s="18" t="s">
        <v>14</v>
      </c>
      <c r="Z11">
        <f>Z3</f>
        <v>0.15</v>
      </c>
      <c r="AA11" s="26">
        <f t="shared" ref="AA11:AJ12" si="7">Z11</f>
        <v>0.15</v>
      </c>
      <c r="AB11" s="27">
        <f t="shared" si="5"/>
        <v>0.15</v>
      </c>
      <c r="AC11" s="27">
        <f t="shared" si="5"/>
        <v>0.15</v>
      </c>
      <c r="AD11" s="27">
        <f t="shared" si="5"/>
        <v>0.15</v>
      </c>
      <c r="AE11" s="27">
        <f t="shared" si="5"/>
        <v>0.15</v>
      </c>
      <c r="AF11" s="27">
        <f t="shared" si="5"/>
        <v>0.15</v>
      </c>
      <c r="AG11" s="27">
        <f t="shared" si="5"/>
        <v>0.15</v>
      </c>
      <c r="AH11" s="27">
        <f t="shared" si="5"/>
        <v>0.15</v>
      </c>
      <c r="AI11" s="27">
        <f t="shared" si="5"/>
        <v>0.15</v>
      </c>
      <c r="AJ11" s="28">
        <f t="shared" si="5"/>
        <v>0.15</v>
      </c>
      <c r="AL11" s="5" t="s">
        <v>43</v>
      </c>
      <c r="AM11" s="7"/>
      <c r="AN11" s="52">
        <f>AN10/(1+$AM3)</f>
        <v>478.26086956521743</v>
      </c>
      <c r="AO11" s="53">
        <f t="shared" ref="AO11:AW11" si="8">(1+$AM2)*AN11/(1+$AM3)</f>
        <v>401.8777567737871</v>
      </c>
      <c r="AP11" s="53">
        <f t="shared" si="8"/>
        <v>337.69380199629245</v>
      </c>
      <c r="AQ11" s="53">
        <f t="shared" si="8"/>
        <v>283.76067593833386</v>
      </c>
      <c r="AR11" s="53">
        <f t="shared" si="8"/>
        <v>238.44121725948696</v>
      </c>
      <c r="AS11" s="53">
        <f t="shared" si="8"/>
        <v>200.35973589427616</v>
      </c>
      <c r="AT11" s="53">
        <f t="shared" si="8"/>
        <v>168.36025343695846</v>
      </c>
      <c r="AU11" s="53">
        <f t="shared" si="8"/>
        <v>141.47141296050509</v>
      </c>
      <c r="AV11" s="53">
        <f t="shared" si="8"/>
        <v>118.87699309347951</v>
      </c>
      <c r="AW11" s="53">
        <f t="shared" si="8"/>
        <v>99.89113129797019</v>
      </c>
      <c r="AX11" s="54">
        <f>AX10/(1+AM3)^AX8</f>
        <v>1498.3669694695529</v>
      </c>
      <c r="AY11" s="53">
        <f>SUM(AN11:AX11)</f>
        <v>3967.3608176858597</v>
      </c>
      <c r="AZ11" s="53">
        <f>AY11+AM5</f>
        <v>4146.3608176858597</v>
      </c>
      <c r="BA11" s="55">
        <f>AZ11/AM6</f>
        <v>35.438981347742391</v>
      </c>
    </row>
    <row r="12" spans="1:53" x14ac:dyDescent="0.25">
      <c r="A12" t="s">
        <v>65</v>
      </c>
      <c r="B12" s="92"/>
      <c r="Y12" s="5" t="s">
        <v>15</v>
      </c>
      <c r="Z12" s="7">
        <f>Z4</f>
        <v>72</v>
      </c>
      <c r="AA12" s="30">
        <f t="shared" si="7"/>
        <v>72</v>
      </c>
      <c r="AB12" s="31">
        <f t="shared" si="7"/>
        <v>72</v>
      </c>
      <c r="AC12" s="31">
        <f t="shared" si="7"/>
        <v>72</v>
      </c>
      <c r="AD12" s="31">
        <f t="shared" si="7"/>
        <v>72</v>
      </c>
      <c r="AE12" s="31">
        <f t="shared" si="7"/>
        <v>72</v>
      </c>
      <c r="AF12" s="31">
        <f t="shared" si="7"/>
        <v>72</v>
      </c>
      <c r="AG12" s="31">
        <f t="shared" si="7"/>
        <v>72</v>
      </c>
      <c r="AH12" s="31">
        <f t="shared" si="7"/>
        <v>72</v>
      </c>
      <c r="AI12" s="31">
        <f t="shared" si="7"/>
        <v>72</v>
      </c>
      <c r="AJ12" s="32">
        <f t="shared" si="7"/>
        <v>72</v>
      </c>
    </row>
    <row r="13" spans="1:53" x14ac:dyDescent="0.25">
      <c r="Y13" s="1" t="s">
        <v>16</v>
      </c>
      <c r="Z13">
        <f>Z5</f>
        <v>0.44</v>
      </c>
      <c r="AA13" s="34">
        <f>Z13</f>
        <v>0.44</v>
      </c>
      <c r="AB13" s="35">
        <f t="shared" ref="AB13:AJ13" si="9">AA13*(1+$Z10)</f>
        <v>0.44717933333333337</v>
      </c>
      <c r="AC13" s="35">
        <f t="shared" si="9"/>
        <v>0.45447580945555566</v>
      </c>
      <c r="AD13" s="35">
        <f t="shared" si="9"/>
        <v>0.46189133974650554</v>
      </c>
      <c r="AE13" s="35">
        <f t="shared" si="9"/>
        <v>0.4694278667733694</v>
      </c>
      <c r="AF13" s="35">
        <f t="shared" si="9"/>
        <v>0.47708736479955494</v>
      </c>
      <c r="AG13" s="35">
        <f t="shared" si="9"/>
        <v>0.4848718403018677</v>
      </c>
      <c r="AH13" s="35">
        <f t="shared" si="9"/>
        <v>0.49278333249612655</v>
      </c>
      <c r="AI13" s="35">
        <f t="shared" si="9"/>
        <v>0.50082391387135505</v>
      </c>
      <c r="AJ13" s="36">
        <f t="shared" si="9"/>
        <v>0.50899569073268935</v>
      </c>
      <c r="AL13" s="1" t="s">
        <v>35</v>
      </c>
      <c r="AM13" s="72">
        <f>AM1</f>
        <v>550</v>
      </c>
      <c r="AN13" s="42"/>
      <c r="AO13" s="42"/>
      <c r="AP13" s="42"/>
      <c r="AQ13" s="42"/>
      <c r="AR13" s="42"/>
      <c r="AS13" s="42"/>
      <c r="AT13" s="42"/>
      <c r="AU13" s="42"/>
      <c r="AV13" s="42"/>
      <c r="AW13" s="42"/>
      <c r="AX13" s="42"/>
      <c r="AY13" s="42"/>
      <c r="AZ13" s="42"/>
      <c r="BA13" s="10"/>
    </row>
    <row r="14" spans="1:53" ht="18.75" x14ac:dyDescent="0.3">
      <c r="A14" s="56" t="s">
        <v>29</v>
      </c>
      <c r="Y14" s="5" t="s">
        <v>19</v>
      </c>
      <c r="Z14" s="37">
        <f>AA14</f>
        <v>10.417560679131432</v>
      </c>
      <c r="AA14" s="38">
        <f t="shared" ref="AA14:AI14" si="10">AB14/(1+$Z11)</f>
        <v>10.417560679131432</v>
      </c>
      <c r="AB14" s="38">
        <f t="shared" si="10"/>
        <v>11.980194781001146</v>
      </c>
      <c r="AC14" s="38">
        <f t="shared" si="10"/>
        <v>13.777223998151316</v>
      </c>
      <c r="AD14" s="38">
        <f t="shared" si="10"/>
        <v>15.843807597874012</v>
      </c>
      <c r="AE14" s="38">
        <f t="shared" si="10"/>
        <v>18.220378737555112</v>
      </c>
      <c r="AF14" s="38">
        <f t="shared" si="10"/>
        <v>20.953435548188377</v>
      </c>
      <c r="AG14" s="38">
        <f t="shared" si="10"/>
        <v>24.096450880416633</v>
      </c>
      <c r="AH14" s="38">
        <f t="shared" si="10"/>
        <v>27.710918512479125</v>
      </c>
      <c r="AI14" s="38">
        <f t="shared" si="10"/>
        <v>31.86755628935099</v>
      </c>
      <c r="AJ14" s="39">
        <f>AJ13*$Z12</f>
        <v>36.647689732753634</v>
      </c>
      <c r="AL14" s="18" t="s">
        <v>36</v>
      </c>
      <c r="AM14" s="68">
        <f>Z10</f>
        <v>1.6316666666666667E-2</v>
      </c>
      <c r="BA14" s="17"/>
    </row>
    <row r="15" spans="1:53" x14ac:dyDescent="0.25">
      <c r="A15" s="43" t="s">
        <v>32</v>
      </c>
      <c r="B15" s="18" t="s">
        <v>0</v>
      </c>
      <c r="C15" t="s">
        <v>1</v>
      </c>
      <c r="D15" t="s">
        <v>2</v>
      </c>
      <c r="E15" t="s">
        <v>3</v>
      </c>
      <c r="AL15" s="18" t="s">
        <v>37</v>
      </c>
      <c r="AM15" s="69">
        <f>AM3</f>
        <v>0.15</v>
      </c>
      <c r="BA15" s="17"/>
    </row>
    <row r="16" spans="1:53" x14ac:dyDescent="0.25">
      <c r="A16" t="s">
        <v>52</v>
      </c>
      <c r="B16" t="s">
        <v>4</v>
      </c>
      <c r="C16" t="s">
        <v>4</v>
      </c>
      <c r="D16" t="s">
        <v>4</v>
      </c>
      <c r="E16" t="s">
        <v>5</v>
      </c>
      <c r="Y16" s="21" t="s">
        <v>61</v>
      </c>
      <c r="Z16" s="22"/>
      <c r="AA16" s="21">
        <v>2021</v>
      </c>
      <c r="AB16" s="23">
        <v>2022</v>
      </c>
      <c r="AC16" s="23">
        <v>2023</v>
      </c>
      <c r="AD16" s="23">
        <v>2024</v>
      </c>
      <c r="AE16" s="23">
        <v>2025</v>
      </c>
      <c r="AF16" s="23">
        <v>2026</v>
      </c>
      <c r="AG16" s="23">
        <v>2027</v>
      </c>
      <c r="AH16" s="23">
        <v>2028</v>
      </c>
      <c r="AI16" s="23">
        <v>2029</v>
      </c>
      <c r="AJ16" s="24">
        <v>2030</v>
      </c>
      <c r="AL16" s="18" t="s">
        <v>38</v>
      </c>
      <c r="AM16" s="69">
        <f>AM4</f>
        <v>15</v>
      </c>
      <c r="BA16" s="17"/>
    </row>
    <row r="17" spans="1:53" x14ac:dyDescent="0.25">
      <c r="A17" t="s">
        <v>23</v>
      </c>
      <c r="B17" s="16">
        <f t="shared" ref="B17:D21" si="11">I3</f>
        <v>3.2054545454545454E-2</v>
      </c>
      <c r="C17" s="16">
        <f t="shared" si="11"/>
        <v>2.8820000000000002E-2</v>
      </c>
      <c r="D17" s="16">
        <f t="shared" si="11"/>
        <v>2.8999999999999998E-2</v>
      </c>
      <c r="Y17" s="1" t="s">
        <v>13</v>
      </c>
      <c r="Z17" s="60">
        <f>MAX(Table1579[])</f>
        <v>6.6299999999999998E-2</v>
      </c>
      <c r="AA17" s="8">
        <f>Z17</f>
        <v>6.6299999999999998E-2</v>
      </c>
      <c r="AB17" s="9">
        <f t="shared" ref="AB17:AJ18" si="12">AA17</f>
        <v>6.6299999999999998E-2</v>
      </c>
      <c r="AC17" s="9">
        <f t="shared" si="12"/>
        <v>6.6299999999999998E-2</v>
      </c>
      <c r="AD17" s="9">
        <f t="shared" si="12"/>
        <v>6.6299999999999998E-2</v>
      </c>
      <c r="AE17" s="9">
        <f t="shared" si="12"/>
        <v>6.6299999999999998E-2</v>
      </c>
      <c r="AF17" s="9">
        <f t="shared" si="12"/>
        <v>6.6299999999999998E-2</v>
      </c>
      <c r="AG17" s="9">
        <f t="shared" si="12"/>
        <v>6.6299999999999998E-2</v>
      </c>
      <c r="AH17" s="9">
        <f t="shared" si="12"/>
        <v>6.6299999999999998E-2</v>
      </c>
      <c r="AI17" s="9">
        <f t="shared" si="12"/>
        <v>6.6299999999999998E-2</v>
      </c>
      <c r="AJ17" s="25">
        <f t="shared" si="12"/>
        <v>6.6299999999999998E-2</v>
      </c>
      <c r="AL17" s="18" t="s">
        <v>39</v>
      </c>
      <c r="AM17" s="69">
        <f>AM5</f>
        <v>179</v>
      </c>
      <c r="BA17" s="17"/>
    </row>
    <row r="18" spans="1:53" x14ac:dyDescent="0.25">
      <c r="A18" t="s">
        <v>24</v>
      </c>
      <c r="B18" s="16">
        <f t="shared" si="11"/>
        <v>-3.3666666666666664E-2</v>
      </c>
      <c r="C18" s="16">
        <f t="shared" si="11"/>
        <v>-5.3499999999999999E-2</v>
      </c>
      <c r="D18" s="16">
        <f t="shared" si="11"/>
        <v>-5.6000000000000001E-2</v>
      </c>
      <c r="Y18" s="18" t="s">
        <v>14</v>
      </c>
      <c r="Z18">
        <f>Z3</f>
        <v>0.15</v>
      </c>
      <c r="AA18" s="26">
        <f t="shared" ref="AA18:AJ19" si="13">Z18</f>
        <v>0.15</v>
      </c>
      <c r="AB18" s="27">
        <f t="shared" si="12"/>
        <v>0.15</v>
      </c>
      <c r="AC18" s="27">
        <f t="shared" si="12"/>
        <v>0.15</v>
      </c>
      <c r="AD18" s="27">
        <f t="shared" si="12"/>
        <v>0.15</v>
      </c>
      <c r="AE18" s="27">
        <f t="shared" si="12"/>
        <v>0.15</v>
      </c>
      <c r="AF18" s="27">
        <f t="shared" si="12"/>
        <v>0.15</v>
      </c>
      <c r="AG18" s="27">
        <f t="shared" si="12"/>
        <v>0.15</v>
      </c>
      <c r="AH18" s="27">
        <f t="shared" si="12"/>
        <v>0.15</v>
      </c>
      <c r="AI18" s="27">
        <f t="shared" si="12"/>
        <v>0.15</v>
      </c>
      <c r="AJ18" s="28">
        <f t="shared" si="12"/>
        <v>0.15</v>
      </c>
      <c r="AL18" s="5" t="s">
        <v>40</v>
      </c>
      <c r="AM18" s="70">
        <f>AM6</f>
        <v>117</v>
      </c>
      <c r="BA18" s="17"/>
    </row>
    <row r="19" spans="1:53" x14ac:dyDescent="0.25">
      <c r="A19" t="s">
        <v>25</v>
      </c>
      <c r="B19" s="16">
        <f t="shared" si="11"/>
        <v>0.2698888888888889</v>
      </c>
      <c r="C19" s="16">
        <f t="shared" si="11"/>
        <v>0.5</v>
      </c>
      <c r="D19" s="16">
        <f t="shared" si="11"/>
        <v>1</v>
      </c>
      <c r="Y19" s="5" t="s">
        <v>15</v>
      </c>
      <c r="Z19" s="7">
        <f>Z4</f>
        <v>72</v>
      </c>
      <c r="AA19" s="30">
        <f t="shared" si="13"/>
        <v>72</v>
      </c>
      <c r="AB19" s="31">
        <f t="shared" si="13"/>
        <v>72</v>
      </c>
      <c r="AC19" s="31">
        <f t="shared" si="13"/>
        <v>72</v>
      </c>
      <c r="AD19" s="31">
        <f t="shared" si="13"/>
        <v>72</v>
      </c>
      <c r="AE19" s="31">
        <f t="shared" si="13"/>
        <v>72</v>
      </c>
      <c r="AF19" s="31">
        <f t="shared" si="13"/>
        <v>72</v>
      </c>
      <c r="AG19" s="31">
        <f t="shared" si="13"/>
        <v>72</v>
      </c>
      <c r="AH19" s="31">
        <f t="shared" si="13"/>
        <v>72</v>
      </c>
      <c r="AI19" s="31">
        <f t="shared" si="13"/>
        <v>72</v>
      </c>
      <c r="AJ19" s="32">
        <f t="shared" si="13"/>
        <v>72</v>
      </c>
      <c r="AL19" s="18"/>
      <c r="BA19" s="17"/>
    </row>
    <row r="20" spans="1:53" x14ac:dyDescent="0.25">
      <c r="A20" t="s">
        <v>26</v>
      </c>
      <c r="B20" s="16">
        <f t="shared" si="11"/>
        <v>5.5428571428571431E-2</v>
      </c>
      <c r="C20" s="16">
        <f t="shared" si="11"/>
        <v>4.3749999999999997E-2</v>
      </c>
      <c r="D20" s="16">
        <f t="shared" si="11"/>
        <v>7.2999999999999995E-2</v>
      </c>
      <c r="Y20" s="1" t="s">
        <v>16</v>
      </c>
      <c r="Z20">
        <f>Z5</f>
        <v>0.44</v>
      </c>
      <c r="AA20" s="34">
        <f>Z20</f>
        <v>0.44</v>
      </c>
      <c r="AB20" s="35">
        <f t="shared" ref="AB20:AJ20" si="14">AA20*(1+$Z17)</f>
        <v>0.46917200000000003</v>
      </c>
      <c r="AC20" s="35">
        <f t="shared" si="14"/>
        <v>0.50027810360000002</v>
      </c>
      <c r="AD20" s="35">
        <f t="shared" si="14"/>
        <v>0.53344654186868001</v>
      </c>
      <c r="AE20" s="35">
        <f t="shared" si="14"/>
        <v>0.56881404759457355</v>
      </c>
      <c r="AF20" s="35">
        <f t="shared" si="14"/>
        <v>0.60652641895009374</v>
      </c>
      <c r="AG20" s="35">
        <f t="shared" si="14"/>
        <v>0.64673912052648497</v>
      </c>
      <c r="AH20" s="35">
        <f t="shared" si="14"/>
        <v>0.68961792421739099</v>
      </c>
      <c r="AI20" s="35">
        <f t="shared" si="14"/>
        <v>0.73533959259300408</v>
      </c>
      <c r="AJ20" s="36">
        <f t="shared" si="14"/>
        <v>0.78409260758192023</v>
      </c>
      <c r="AL20" s="21"/>
      <c r="AM20" s="24"/>
      <c r="AN20" s="21">
        <v>1</v>
      </c>
      <c r="AO20" s="23">
        <v>2</v>
      </c>
      <c r="AP20" s="23">
        <v>3</v>
      </c>
      <c r="AQ20" s="23">
        <v>4</v>
      </c>
      <c r="AR20" s="23">
        <v>5</v>
      </c>
      <c r="AS20" s="23">
        <v>6</v>
      </c>
      <c r="AT20" s="23">
        <v>7</v>
      </c>
      <c r="AU20" s="23">
        <v>8</v>
      </c>
      <c r="AV20" s="23">
        <v>9</v>
      </c>
      <c r="AW20" s="23">
        <v>10</v>
      </c>
      <c r="AX20" s="24">
        <v>10</v>
      </c>
      <c r="AY20" s="46" t="s">
        <v>41</v>
      </c>
      <c r="AZ20" s="46" t="s">
        <v>62</v>
      </c>
      <c r="BA20" s="47" t="s">
        <v>63</v>
      </c>
    </row>
    <row r="21" spans="1:53" x14ac:dyDescent="0.25">
      <c r="A21" t="s">
        <v>27</v>
      </c>
      <c r="B21" s="16">
        <f t="shared" si="11"/>
        <v>0.26011111111111107</v>
      </c>
      <c r="C21" s="16">
        <f t="shared" si="11"/>
        <v>1.5499999999999986E-2</v>
      </c>
      <c r="D21" s="16">
        <f t="shared" si="11"/>
        <v>0.30599999999999999</v>
      </c>
      <c r="Y21" s="5" t="s">
        <v>19</v>
      </c>
      <c r="Z21" s="37">
        <f>AA21</f>
        <v>16.047940024374054</v>
      </c>
      <c r="AA21" s="38">
        <f t="shared" ref="AA21:AI21" si="15">AB21/(1+$Z18)</f>
        <v>16.047940024374054</v>
      </c>
      <c r="AB21" s="38">
        <f t="shared" si="15"/>
        <v>18.455131028030159</v>
      </c>
      <c r="AC21" s="38">
        <f t="shared" si="15"/>
        <v>21.223400682234683</v>
      </c>
      <c r="AD21" s="38">
        <f t="shared" si="15"/>
        <v>24.406910784569884</v>
      </c>
      <c r="AE21" s="38">
        <f t="shared" si="15"/>
        <v>28.067947402255367</v>
      </c>
      <c r="AF21" s="38">
        <f t="shared" si="15"/>
        <v>32.278139512593668</v>
      </c>
      <c r="AG21" s="38">
        <f t="shared" si="15"/>
        <v>37.119860439482714</v>
      </c>
      <c r="AH21" s="38">
        <f t="shared" si="15"/>
        <v>42.687839505405115</v>
      </c>
      <c r="AI21" s="38">
        <f t="shared" si="15"/>
        <v>49.09101543121588</v>
      </c>
      <c r="AJ21" s="39">
        <f>AJ20*$Z19</f>
        <v>56.454667745898256</v>
      </c>
      <c r="AL21" s="1" t="s">
        <v>42</v>
      </c>
      <c r="AM21" s="10"/>
      <c r="AN21" s="48">
        <f>$AM13</f>
        <v>550</v>
      </c>
      <c r="AO21" s="49">
        <f t="shared" ref="AO21:AW21" si="16">AN21+AN21*$AM14</f>
        <v>558.97416666666663</v>
      </c>
      <c r="AP21" s="49">
        <f t="shared" si="16"/>
        <v>568.09476181944444</v>
      </c>
      <c r="AQ21" s="49">
        <f t="shared" si="16"/>
        <v>577.36417468313175</v>
      </c>
      <c r="AR21" s="49">
        <f t="shared" si="16"/>
        <v>586.78483346671146</v>
      </c>
      <c r="AS21" s="49">
        <f t="shared" si="16"/>
        <v>596.35920599944325</v>
      </c>
      <c r="AT21" s="49">
        <f t="shared" si="16"/>
        <v>606.0898003773342</v>
      </c>
      <c r="AU21" s="49">
        <f t="shared" si="16"/>
        <v>615.97916562015769</v>
      </c>
      <c r="AV21" s="49">
        <f t="shared" si="16"/>
        <v>626.02989233919322</v>
      </c>
      <c r="AW21" s="49">
        <f t="shared" si="16"/>
        <v>636.24461341586107</v>
      </c>
      <c r="AX21" s="50">
        <f>$AM16*AW21</f>
        <v>9543.6692012379153</v>
      </c>
      <c r="AY21" s="51"/>
      <c r="AZ21" s="49"/>
      <c r="BA21" s="10"/>
    </row>
    <row r="22" spans="1:53" x14ac:dyDescent="0.25">
      <c r="A22" t="s">
        <v>28</v>
      </c>
      <c r="E22" s="57">
        <f>L8</f>
        <v>11.96</v>
      </c>
      <c r="AL22" s="5" t="s">
        <v>43</v>
      </c>
      <c r="AM22" s="7"/>
      <c r="AN22" s="52">
        <f>AN21/(1+$AM15)</f>
        <v>478.26086956521743</v>
      </c>
      <c r="AO22" s="53">
        <f t="shared" ref="AO22:AW22" si="17">(1+$AM14)*AN22/(1+$AM15)</f>
        <v>422.66477630749853</v>
      </c>
      <c r="AP22" s="53">
        <f t="shared" si="17"/>
        <v>373.53152745586891</v>
      </c>
      <c r="AQ22" s="53">
        <f t="shared" si="17"/>
        <v>330.10984076422369</v>
      </c>
      <c r="AR22" s="53">
        <f t="shared" si="17"/>
        <v>291.73576782553044</v>
      </c>
      <c r="AS22" s="53">
        <f t="shared" si="17"/>
        <v>257.82254182946411</v>
      </c>
      <c r="AT22" s="53">
        <f t="shared" si="17"/>
        <v>227.85160548143327</v>
      </c>
      <c r="AU22" s="53">
        <f t="shared" si="17"/>
        <v>201.36468189351189</v>
      </c>
      <c r="AV22" s="53">
        <f t="shared" si="17"/>
        <v>177.95676720557194</v>
      </c>
      <c r="AW22" s="53">
        <f t="shared" si="17"/>
        <v>157.2699377888199</v>
      </c>
      <c r="AX22" s="54">
        <f>AX21/(1+AM15)^AX20</f>
        <v>2359.0490668322964</v>
      </c>
      <c r="AY22" s="53">
        <f>SUM(AN22:AX22)</f>
        <v>5277.6173829494364</v>
      </c>
      <c r="AZ22" s="53">
        <f>AY22+AM17</f>
        <v>5456.6173829494364</v>
      </c>
      <c r="BA22" s="55">
        <f>AZ22/AM18</f>
        <v>46.637755409824244</v>
      </c>
    </row>
    <row r="23" spans="1:53" x14ac:dyDescent="0.25">
      <c r="AN23" s="75"/>
      <c r="AO23" s="75"/>
      <c r="AP23" s="75"/>
      <c r="AQ23" s="75"/>
      <c r="AR23" s="75"/>
      <c r="AS23" s="75"/>
      <c r="AT23" s="75"/>
      <c r="AU23" s="75"/>
      <c r="AV23" s="75"/>
      <c r="AW23" s="75"/>
      <c r="AX23" s="75"/>
      <c r="AY23" s="75"/>
      <c r="AZ23" s="75"/>
      <c r="BA23" s="76"/>
    </row>
    <row r="24" spans="1:53" ht="18.75" x14ac:dyDescent="0.3">
      <c r="A24" s="56" t="s">
        <v>30</v>
      </c>
      <c r="AL24" s="1" t="s">
        <v>35</v>
      </c>
      <c r="AM24" s="22">
        <f>AM1</f>
        <v>550</v>
      </c>
      <c r="AN24" s="42"/>
      <c r="AO24" s="42"/>
      <c r="AP24" s="42"/>
      <c r="AQ24" s="42"/>
      <c r="AR24" s="42"/>
      <c r="AS24" s="42"/>
      <c r="AT24" s="42"/>
      <c r="AU24" s="42"/>
      <c r="AV24" s="42"/>
      <c r="AW24" s="42"/>
      <c r="AX24" s="42"/>
      <c r="AY24" s="42"/>
      <c r="AZ24" s="42"/>
      <c r="BA24" s="10"/>
    </row>
    <row r="25" spans="1:53" x14ac:dyDescent="0.25">
      <c r="A25" t="s">
        <v>107</v>
      </c>
      <c r="B25" t="s">
        <v>137</v>
      </c>
      <c r="C25" t="s">
        <v>138</v>
      </c>
      <c r="AL25" s="18" t="s">
        <v>36</v>
      </c>
      <c r="AM25" s="71">
        <f>Z17</f>
        <v>6.6299999999999998E-2</v>
      </c>
      <c r="BA25" s="17"/>
    </row>
    <row r="26" spans="1:53" x14ac:dyDescent="0.25">
      <c r="A26" s="16">
        <f>B18</f>
        <v>-3.3666666666666664E-2</v>
      </c>
      <c r="B26" s="86">
        <f>AVERAGE(Table1579[[#This Row],[Growth rate_r'#1]],Table1579[[#This Row],[Growth rate_3rd]])</f>
        <v>1.6316666666666667E-2</v>
      </c>
      <c r="C26" s="85">
        <v>6.6299999999999998E-2</v>
      </c>
      <c r="AL26" s="18" t="s">
        <v>37</v>
      </c>
      <c r="AM26" s="69">
        <f>AM3</f>
        <v>0.15</v>
      </c>
      <c r="BA26" s="17"/>
    </row>
    <row r="27" spans="1:53" x14ac:dyDescent="0.25">
      <c r="AL27" s="18" t="s">
        <v>38</v>
      </c>
      <c r="AM27" s="69">
        <f>AM4</f>
        <v>15</v>
      </c>
      <c r="BA27" s="17"/>
    </row>
    <row r="28" spans="1:53" ht="30" x14ac:dyDescent="0.25">
      <c r="A28" t="s">
        <v>18</v>
      </c>
      <c r="B28" s="41" t="s">
        <v>20</v>
      </c>
      <c r="C28" s="41" t="s">
        <v>31</v>
      </c>
      <c r="D28" s="41" t="s">
        <v>21</v>
      </c>
      <c r="E28" s="41" t="s">
        <v>22</v>
      </c>
      <c r="F28" t="s">
        <v>126</v>
      </c>
      <c r="AL28" s="18" t="s">
        <v>39</v>
      </c>
      <c r="AM28" s="69">
        <f>AM5</f>
        <v>179</v>
      </c>
      <c r="BA28" s="17"/>
    </row>
    <row r="29" spans="1:53" x14ac:dyDescent="0.25">
      <c r="A29" s="16">
        <f>MIN(Table1579[])</f>
        <v>-3.3666666666666664E-2</v>
      </c>
      <c r="B29" s="73">
        <f>Z6</f>
        <v>6.6167885371775466</v>
      </c>
      <c r="C29" s="63">
        <f>1-$B$6/Table176[[#This Row],[Fair Value
Method 1]]</f>
        <v>-4.2986429599509579</v>
      </c>
      <c r="D29" s="66">
        <f>BA11</f>
        <v>35.438981347742391</v>
      </c>
      <c r="E29" s="63">
        <f>1-$B$6/Table176[[#This Row],[Fair Value 
Method 2]]</f>
        <v>1.0693911995484973E-2</v>
      </c>
      <c r="F29" s="63">
        <f>AVERAGE(Table176[[#This Row],[MOS
Method 1]],Table176[[#This Row],[MOS 
Method 2]])</f>
        <v>-2.1439745239777364</v>
      </c>
      <c r="AL29" s="5" t="s">
        <v>40</v>
      </c>
      <c r="AM29" s="70">
        <f>AM6</f>
        <v>117</v>
      </c>
      <c r="BA29" s="17"/>
    </row>
    <row r="30" spans="1:53" x14ac:dyDescent="0.25">
      <c r="A30" s="61">
        <f>AVERAGE(Table1579[])</f>
        <v>1.6316666666666667E-2</v>
      </c>
      <c r="B30" s="73">
        <f>Z14</f>
        <v>10.417560679131432</v>
      </c>
      <c r="C30" s="63">
        <f>1-$B$6/Table176[[#This Row],[Fair Value
Method 1]]</f>
        <v>-2.3654711577761738</v>
      </c>
      <c r="D30" s="66">
        <f>BA22</f>
        <v>46.637755409824244</v>
      </c>
      <c r="E30" s="63">
        <f>1-$B$6/Table176[[#This Row],[Fair Value 
Method 2]]</f>
        <v>0.24824855544796198</v>
      </c>
      <c r="F30" s="63">
        <f>AVERAGE(Table176[[#This Row],[MOS
Method 1]],Table176[[#This Row],[MOS 
Method 2]])</f>
        <v>-1.0586113011641058</v>
      </c>
      <c r="AL30" s="18"/>
      <c r="BA30" s="17"/>
    </row>
    <row r="31" spans="1:53" x14ac:dyDescent="0.25">
      <c r="A31" s="61">
        <f>MAX(Table1579[])</f>
        <v>6.6299999999999998E-2</v>
      </c>
      <c r="B31" s="73">
        <f>Z21</f>
        <v>16.047940024374054</v>
      </c>
      <c r="C31" s="63">
        <f>1-$B$6/Table176[[#This Row],[Fair Value
Method 1]]</f>
        <v>-1.1847040770809154</v>
      </c>
      <c r="D31" s="66">
        <f>BA33</f>
        <v>62.373731298580665</v>
      </c>
      <c r="E31" s="63">
        <f>1-$B$6/Table176[[#This Row],[Fair Value 
Method 2]]</f>
        <v>0.43790439869359232</v>
      </c>
      <c r="F31" s="63">
        <f>AVERAGE(Table176[[#This Row],[MOS
Method 1]],Table176[[#This Row],[MOS 
Method 2]])</f>
        <v>-0.37339983919366154</v>
      </c>
      <c r="AL31" s="21"/>
      <c r="AM31" s="24"/>
      <c r="AN31" s="21">
        <v>1</v>
      </c>
      <c r="AO31" s="23">
        <v>2</v>
      </c>
      <c r="AP31" s="23">
        <v>3</v>
      </c>
      <c r="AQ31" s="23">
        <v>4</v>
      </c>
      <c r="AR31" s="23">
        <v>5</v>
      </c>
      <c r="AS31" s="23">
        <v>6</v>
      </c>
      <c r="AT31" s="23">
        <v>7</v>
      </c>
      <c r="AU31" s="23">
        <v>8</v>
      </c>
      <c r="AV31" s="23">
        <v>9</v>
      </c>
      <c r="AW31" s="23">
        <v>10</v>
      </c>
      <c r="AX31" s="24">
        <v>10</v>
      </c>
      <c r="AY31" s="46" t="s">
        <v>41</v>
      </c>
      <c r="AZ31" s="46" t="s">
        <v>62</v>
      </c>
      <c r="BA31" s="47" t="s">
        <v>63</v>
      </c>
    </row>
    <row r="32" spans="1:53" x14ac:dyDescent="0.25">
      <c r="AL32" s="1" t="s">
        <v>42</v>
      </c>
      <c r="AM32" s="10"/>
      <c r="AN32" s="48">
        <f>$AM24</f>
        <v>550</v>
      </c>
      <c r="AO32" s="49">
        <f t="shared" ref="AO32:AW32" si="18">AN32+AN32*$AM25</f>
        <v>586.46500000000003</v>
      </c>
      <c r="AP32" s="49">
        <f t="shared" si="18"/>
        <v>625.34762950000004</v>
      </c>
      <c r="AQ32" s="49">
        <f t="shared" si="18"/>
        <v>666.80817733585002</v>
      </c>
      <c r="AR32" s="49">
        <f t="shared" si="18"/>
        <v>711.01755949321682</v>
      </c>
      <c r="AS32" s="49">
        <f t="shared" si="18"/>
        <v>758.15802368761706</v>
      </c>
      <c r="AT32" s="49">
        <f t="shared" si="18"/>
        <v>808.42390065810605</v>
      </c>
      <c r="AU32" s="49">
        <f t="shared" si="18"/>
        <v>862.02240527173853</v>
      </c>
      <c r="AV32" s="49">
        <f t="shared" si="18"/>
        <v>919.17449074125477</v>
      </c>
      <c r="AW32" s="49">
        <f t="shared" si="18"/>
        <v>980.11575947739993</v>
      </c>
      <c r="AX32" s="50">
        <f>$AM27*AW32</f>
        <v>14701.736392160999</v>
      </c>
      <c r="AY32" s="51"/>
      <c r="AZ32" s="49"/>
      <c r="BA32" s="10"/>
    </row>
    <row r="33" spans="1:53" ht="18.75" x14ac:dyDescent="0.3">
      <c r="A33" s="56" t="s">
        <v>64</v>
      </c>
      <c r="AL33" s="5" t="s">
        <v>43</v>
      </c>
      <c r="AM33" s="7"/>
      <c r="AN33" s="52">
        <f>AN32/(1+$AM26)</f>
        <v>478.26086956521743</v>
      </c>
      <c r="AO33" s="53">
        <f t="shared" ref="AO33:AW33" si="19">(1+$AM25)*AN33/(1+$AM26)</f>
        <v>443.4517958412099</v>
      </c>
      <c r="AP33" s="53">
        <f t="shared" si="19"/>
        <v>411.17621730911492</v>
      </c>
      <c r="AQ33" s="53">
        <f t="shared" si="19"/>
        <v>381.2497395797472</v>
      </c>
      <c r="AR33" s="53">
        <f t="shared" si="19"/>
        <v>353.50138896859522</v>
      </c>
      <c r="AS33" s="53">
        <f t="shared" si="19"/>
        <v>327.77263570192446</v>
      </c>
      <c r="AT33" s="53">
        <f t="shared" si="19"/>
        <v>303.91648821648874</v>
      </c>
      <c r="AU33" s="53">
        <f t="shared" si="19"/>
        <v>281.79665337847126</v>
      </c>
      <c r="AV33" s="53">
        <f t="shared" si="19"/>
        <v>261.28675782388166</v>
      </c>
      <c r="AW33" s="53">
        <f t="shared" si="19"/>
        <v>242.26962597183049</v>
      </c>
      <c r="AX33" s="54">
        <f>AX32/(1+AM26)^AX31</f>
        <v>3634.044389577457</v>
      </c>
      <c r="AY33" s="53">
        <f>SUM(AN33:AX33)</f>
        <v>7118.7265619339378</v>
      </c>
      <c r="AZ33" s="53">
        <f>AY33+AM28</f>
        <v>7297.7265619339378</v>
      </c>
      <c r="BA33" s="55">
        <f>AZ33/AM29</f>
        <v>62.373731298580665</v>
      </c>
    </row>
    <row r="34" spans="1:53" x14ac:dyDescent="0.25">
      <c r="A34" s="77" t="s">
        <v>66</v>
      </c>
    </row>
    <row r="37" spans="1:53" x14ac:dyDescent="0.25">
      <c r="D37" s="78"/>
      <c r="E37" s="78"/>
      <c r="G37" s="79"/>
    </row>
    <row r="40" spans="1:53" x14ac:dyDescent="0.25">
      <c r="A40" t="s">
        <v>154</v>
      </c>
      <c r="D40" s="41"/>
    </row>
    <row r="41" spans="1:53" x14ac:dyDescent="0.25">
      <c r="A41" t="s">
        <v>155</v>
      </c>
    </row>
    <row r="43" spans="1:53" x14ac:dyDescent="0.25">
      <c r="A43" t="s">
        <v>157</v>
      </c>
    </row>
    <row r="44" spans="1:53" x14ac:dyDescent="0.25">
      <c r="A44" t="s">
        <v>158</v>
      </c>
    </row>
    <row r="45" spans="1:53" x14ac:dyDescent="0.25">
      <c r="A45" t="s">
        <v>159</v>
      </c>
    </row>
  </sheetData>
  <mergeCells count="11">
    <mergeCell ref="R1:R2"/>
    <mergeCell ref="M1:M2"/>
    <mergeCell ref="N1:N2"/>
    <mergeCell ref="O1:O2"/>
    <mergeCell ref="P1:P2"/>
    <mergeCell ref="Q1:Q2"/>
    <mergeCell ref="S1:S2"/>
    <mergeCell ref="T1:T2"/>
    <mergeCell ref="U1:U2"/>
    <mergeCell ref="V1:V2"/>
    <mergeCell ref="W1:W2"/>
  </mergeCells>
  <conditionalFormatting sqref="L8:L9">
    <cfRule type="cellIs" dxfId="502" priority="23" operator="greaterThan">
      <formula>3</formula>
    </cfRule>
    <cfRule type="cellIs" dxfId="501" priority="24" operator="lessThan">
      <formula>3</formula>
    </cfRule>
  </conditionalFormatting>
  <conditionalFormatting sqref="I3:K7">
    <cfRule type="cellIs" dxfId="500" priority="20" operator="between">
      <formula>0.05</formula>
      <formula>0.1</formula>
    </cfRule>
    <cfRule type="cellIs" dxfId="499" priority="21" operator="lessThan">
      <formula>0.05</formula>
    </cfRule>
    <cfRule type="cellIs" dxfId="498"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{82CD4D12-8EC8-41F1-905C-B99969E627EF}</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{BC98C65A-67CC-4631-9E80-5B89D8617113}</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{DDB1205B-2254-4D35-94B8-7482FD662EE8}</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{386A134E-89C4-4776-B5DB-81ED5F6DEA27}</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{15EE8C48-B646-454E-80EA-6BCFB7CD8857}</x14:id>
        </ext>
      </extLst>
    </cfRule>
  </conditionalFormatting>
  <conditionalFormatting sqref="E22">
    <cfRule type="cellIs" dxfId="497" priority="13" operator="greaterThan">
      <formula>3</formula>
    </cfRule>
    <cfRule type="cellIs" dxfId="496" priority="14" operator="lessThan">
      <formula>3</formula>
    </cfRule>
  </conditionalFormatting>
  <conditionalFormatting sqref="B17:D21">
    <cfRule type="cellIs" dxfId="495" priority="10" operator="between">
      <formula>0.05</formula>
      <formula>0.1</formula>
    </cfRule>
    <cfRule type="cellIs" dxfId="494" priority="11" operator="lessThan">
      <formula>0.05</formula>
    </cfRule>
    <cfRule type="cellIs" dxfId="493" priority="12" operator="greaterThan">
      <formula>0.1</formula>
    </cfRule>
  </conditionalFormatting>
  <conditionalFormatting sqref="C29:C31">
    <cfRule type="cellIs" dxfId="492" priority="7" operator="lessThan">
      <formula>0</formula>
    </cfRule>
    <cfRule type="cellIs" dxfId="491" priority="8" operator="between">
      <formula>0</formula>
      <formula>0.3</formula>
    </cfRule>
    <cfRule type="cellIs" dxfId="490" priority="9" operator="greaterThan">
      <formula>0.3</formula>
    </cfRule>
  </conditionalFormatting>
  <conditionalFormatting sqref="E29:E31">
    <cfRule type="cellIs" dxfId="489" priority="4" operator="lessThan">
      <formula>0</formula>
    </cfRule>
    <cfRule type="cellIs" dxfId="488" priority="5" operator="between">
      <formula>0</formula>
      <formula>0.3</formula>
    </cfRule>
    <cfRule type="cellIs" dxfId="487" priority="6" operator="greaterThan">
      <formula>0.3</formula>
    </cfRule>
  </conditionalFormatting>
  <conditionalFormatting sqref="F29:F31">
    <cfRule type="cellIs" dxfId="486" priority="1" operator="lessThan">
      <formula>0</formula>
    </cfRule>
    <cfRule type="cellIs" dxfId="485" priority="2" operator="between">
      <formula>0</formula>
      <formula>0.3</formula>
    </cfRule>
    <cfRule type="cellIs" dxfId="484" priority="3" operator="greaterThan">
      <formula>0.3</formula>
    </cfRule>
  </conditionalFormatting>
  <hyperlinks>
    <hyperlink ref="B4" r:id="rId1" display="THO" xr:uid="{86843CC7-FDC5-4816-817A-7BAFF4B4599C}"/>
    <hyperlink ref="A34" r:id="rId2" xr:uid="{73D655B1-716D-41E4-87CE-98E86B50154F}"/>
  </hyperlinks>
  <pageMargins left="0.7" right="0.7" top="0.75" bottom="0.75" header="0.3" footer="0.3"/>
  <pageSetup paperSize="9" orientation="portrait" r:id="rId3"/>
  <drawing r:id="rId4"/>
  <legacyDrawing r:id="rId5"/>
  <tableParts count="4">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dataBar" id="{82CD4D12-8EC8-41F1-905C-B99969E627EF}">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BC98C65A-67CC-4631-9E80-5B89D8617113}">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DDB1205B-2254-4D35-94B8-7482FD662EE8}">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386A134E-89C4-4776-B5DB-81ED5F6DEA27}">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15EE8C48-B646-454E-80EA-6BCFB7CD8857}">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4870E-890C-46A4-86D3-E6D0AC8A924E}">
  <dimension ref="A1:BA40"/>
  <sheetViews>
    <sheetView zoomScale="70" zoomScaleNormal="70" workbookViewId="0">
      <selection activeCell="G40" sqref="G40"/>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865</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MIN(Table1567[])</f>
        <v>7.8100000000000017E-2</v>
      </c>
      <c r="AA2" s="8">
        <f>Z2</f>
        <v>7.8100000000000017E-2</v>
      </c>
      <c r="AB2" s="9">
        <f t="shared" ref="AB2:AJ3" si="1">AA2</f>
        <v>7.8100000000000017E-2</v>
      </c>
      <c r="AC2" s="9">
        <f t="shared" si="1"/>
        <v>7.8100000000000017E-2</v>
      </c>
      <c r="AD2" s="9">
        <f t="shared" si="1"/>
        <v>7.8100000000000017E-2</v>
      </c>
      <c r="AE2" s="9">
        <f t="shared" si="1"/>
        <v>7.8100000000000017E-2</v>
      </c>
      <c r="AF2" s="9">
        <f t="shared" si="1"/>
        <v>7.8100000000000017E-2</v>
      </c>
      <c r="AG2" s="9">
        <f t="shared" si="1"/>
        <v>7.8100000000000017E-2</v>
      </c>
      <c r="AH2" s="9">
        <f t="shared" si="1"/>
        <v>7.8100000000000017E-2</v>
      </c>
      <c r="AI2" s="9">
        <f t="shared" si="1"/>
        <v>7.8100000000000017E-2</v>
      </c>
      <c r="AJ2" s="25">
        <f t="shared" si="1"/>
        <v>7.8100000000000017E-2</v>
      </c>
      <c r="AL2" s="18" t="s">
        <v>36</v>
      </c>
      <c r="AM2" s="67">
        <f>Z2</f>
        <v>7.8100000000000017E-2</v>
      </c>
      <c r="BA2" s="17"/>
    </row>
    <row r="3" spans="1:53" x14ac:dyDescent="0.25">
      <c r="A3" t="s">
        <v>49</v>
      </c>
      <c r="B3" s="58" t="s">
        <v>151</v>
      </c>
      <c r="H3" s="2" t="s">
        <v>6</v>
      </c>
      <c r="I3" s="8">
        <f>AVERAGE(M3:W3)</f>
        <v>9.0954545454545455E-2</v>
      </c>
      <c r="J3" s="9">
        <f>AVERAGE(S3:W3)</f>
        <v>6.6360000000000002E-2</v>
      </c>
      <c r="K3" s="9">
        <f>W3</f>
        <v>0.10460000000000001</v>
      </c>
      <c r="L3" s="10" t="s">
        <v>7</v>
      </c>
      <c r="M3" s="11">
        <v>9.9399999999999988E-2</v>
      </c>
      <c r="N3" s="12">
        <v>9.64E-2</v>
      </c>
      <c r="O3" s="12">
        <v>0.1072</v>
      </c>
      <c r="P3" s="12">
        <v>0.1103</v>
      </c>
      <c r="Q3" s="12">
        <v>0.13070000000000001</v>
      </c>
      <c r="R3" s="12">
        <v>0.12470000000000001</v>
      </c>
      <c r="S3" s="12">
        <v>0.11800000000000001</v>
      </c>
      <c r="T3" s="12">
        <v>6.6900000000000001E-2</v>
      </c>
      <c r="U3" s="12">
        <v>-5.0799999999999998E-2</v>
      </c>
      <c r="V3" s="12">
        <v>9.3100000000000002E-2</v>
      </c>
      <c r="W3" s="13">
        <v>0.10460000000000001</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c r="H4" s="14" t="s">
        <v>8</v>
      </c>
      <c r="I4" s="15">
        <f>AVERAGE(M4:W4)</f>
        <v>7.8100000000000017E-2</v>
      </c>
      <c r="J4" s="16">
        <f>AVERAGE(S4:W4)</f>
        <v>6.0199999999999997E-2</v>
      </c>
      <c r="K4" s="16">
        <f>W4</f>
        <v>0.20499999999999999</v>
      </c>
      <c r="L4" s="17" t="s">
        <v>7</v>
      </c>
      <c r="M4" s="18" t="s">
        <v>7</v>
      </c>
      <c r="N4" s="12">
        <v>9.2999999999999999E-2</v>
      </c>
      <c r="O4" s="12">
        <v>0.11</v>
      </c>
      <c r="P4" s="12">
        <v>9.7000000000000003E-2</v>
      </c>
      <c r="Q4" s="12">
        <v>-0.04</v>
      </c>
      <c r="R4" s="12">
        <v>0.22</v>
      </c>
      <c r="S4" s="12">
        <v>0.128</v>
      </c>
      <c r="T4" s="12">
        <v>2.3E-2</v>
      </c>
      <c r="U4" s="12">
        <v>-0.214</v>
      </c>
      <c r="V4" s="12">
        <v>0.159</v>
      </c>
      <c r="W4" s="13">
        <v>0.20499999999999999</v>
      </c>
      <c r="Y4" s="5" t="s">
        <v>15</v>
      </c>
      <c r="Z4" s="29">
        <v>32.06</v>
      </c>
      <c r="AA4" s="30">
        <f t="shared" si="2"/>
        <v>32.06</v>
      </c>
      <c r="AB4" s="31">
        <f t="shared" si="2"/>
        <v>32.06</v>
      </c>
      <c r="AC4" s="31">
        <f t="shared" si="2"/>
        <v>32.06</v>
      </c>
      <c r="AD4" s="31">
        <f t="shared" si="2"/>
        <v>32.06</v>
      </c>
      <c r="AE4" s="31">
        <f t="shared" si="2"/>
        <v>32.06</v>
      </c>
      <c r="AF4" s="31">
        <f t="shared" si="2"/>
        <v>32.06</v>
      </c>
      <c r="AG4" s="31">
        <f t="shared" si="2"/>
        <v>32.06</v>
      </c>
      <c r="AH4" s="31">
        <f t="shared" si="2"/>
        <v>32.06</v>
      </c>
      <c r="AI4" s="31">
        <f t="shared" si="2"/>
        <v>32.06</v>
      </c>
      <c r="AJ4" s="32">
        <f t="shared" si="2"/>
        <v>32.06</v>
      </c>
      <c r="AL4" s="18" t="s">
        <v>38</v>
      </c>
      <c r="AM4" s="64">
        <v>15</v>
      </c>
      <c r="BA4" s="17"/>
    </row>
    <row r="5" spans="1:53" x14ac:dyDescent="0.25">
      <c r="A5" t="s">
        <v>34</v>
      </c>
      <c r="B5" s="92"/>
      <c r="H5" s="14" t="s">
        <v>9</v>
      </c>
      <c r="I5" s="15">
        <f>AVERAGE(M5:W5)</f>
        <v>9.8500000000000004E-2</v>
      </c>
      <c r="J5" s="16">
        <f>AVERAGE(S5:W5)</f>
        <v>2.9199999999999993E-2</v>
      </c>
      <c r="K5" s="16">
        <f>W5</f>
        <v>0.42</v>
      </c>
      <c r="L5" s="17" t="s">
        <v>7</v>
      </c>
      <c r="M5" s="18" t="s">
        <v>7</v>
      </c>
      <c r="N5" s="12">
        <v>0.18099999999999999</v>
      </c>
      <c r="O5" s="12">
        <v>0.27900000000000003</v>
      </c>
      <c r="P5" s="12">
        <v>4.5999999999999999E-2</v>
      </c>
      <c r="Q5" s="12">
        <v>0.19500000000000001</v>
      </c>
      <c r="R5" s="12">
        <v>0.13800000000000001</v>
      </c>
      <c r="S5" s="12">
        <v>0.19600000000000001</v>
      </c>
      <c r="T5" s="12">
        <v>-0.47</v>
      </c>
      <c r="U5" s="12">
        <v>-1</v>
      </c>
      <c r="V5" s="12">
        <v>1</v>
      </c>
      <c r="W5" s="13">
        <v>0.42</v>
      </c>
      <c r="Y5" s="1" t="s">
        <v>16</v>
      </c>
      <c r="Z5" s="33">
        <v>6.02</v>
      </c>
      <c r="AA5" s="34">
        <f>Z5</f>
        <v>6.02</v>
      </c>
      <c r="AB5" s="35">
        <f t="shared" ref="AB5:AJ5" si="3">AA5*(1+$Z2)</f>
        <v>6.4901619999999998</v>
      </c>
      <c r="AC5" s="35">
        <f t="shared" si="3"/>
        <v>6.9970436522000004</v>
      </c>
      <c r="AD5" s="35">
        <f t="shared" si="3"/>
        <v>7.5435127614368209</v>
      </c>
      <c r="AE5" s="35">
        <f t="shared" si="3"/>
        <v>8.1326611081050366</v>
      </c>
      <c r="AF5" s="35">
        <f t="shared" si="3"/>
        <v>8.7678219406480409</v>
      </c>
      <c r="AG5" s="35">
        <f t="shared" si="3"/>
        <v>9.4525888342126532</v>
      </c>
      <c r="AH5" s="35">
        <f t="shared" si="3"/>
        <v>10.190836022164662</v>
      </c>
      <c r="AI5" s="35">
        <f t="shared" si="3"/>
        <v>10.986740315495723</v>
      </c>
      <c r="AJ5" s="36">
        <f t="shared" si="3"/>
        <v>11.844804734135939</v>
      </c>
      <c r="AL5" s="18" t="s">
        <v>39</v>
      </c>
      <c r="AM5" s="40">
        <v>224.7</v>
      </c>
      <c r="BA5" s="17"/>
    </row>
    <row r="6" spans="1:53" x14ac:dyDescent="0.25">
      <c r="A6" t="s">
        <v>44</v>
      </c>
      <c r="B6" s="62">
        <v>200.56</v>
      </c>
      <c r="H6" s="14" t="s">
        <v>10</v>
      </c>
      <c r="I6" s="15">
        <f>AVERAGE(M6:W6)</f>
        <v>0.10200000000000001</v>
      </c>
      <c r="J6" s="16">
        <f>AVERAGE(S6:W6)</f>
        <v>9.64E-2</v>
      </c>
      <c r="K6" s="16">
        <f>W6</f>
        <v>0.193</v>
      </c>
      <c r="L6" s="17" t="s">
        <v>7</v>
      </c>
      <c r="M6" s="18" t="s">
        <v>7</v>
      </c>
      <c r="N6" s="12">
        <v>9.5000000000000001E-2</v>
      </c>
      <c r="O6" s="12">
        <v>0.111</v>
      </c>
      <c r="P6" s="12">
        <v>5.8000000000000003E-2</v>
      </c>
      <c r="Q6" s="12">
        <v>9.2999999999999999E-2</v>
      </c>
      <c r="R6" s="12">
        <v>0.18099999999999999</v>
      </c>
      <c r="S6" s="12">
        <v>6.9000000000000006E-2</v>
      </c>
      <c r="T6" s="12">
        <v>1.4999999999999999E-2</v>
      </c>
      <c r="U6" s="12">
        <v>2.8000000000000001E-2</v>
      </c>
      <c r="V6" s="12">
        <v>0.17699999999999999</v>
      </c>
      <c r="W6" s="13">
        <v>0.193</v>
      </c>
      <c r="Y6" s="5" t="s">
        <v>19</v>
      </c>
      <c r="Z6" s="37">
        <f>AA6</f>
        <v>107.9470704096728</v>
      </c>
      <c r="AA6" s="38">
        <f t="shared" ref="AA6:AI6" si="4">AB6/(1+$Z3)</f>
        <v>107.9470704096728</v>
      </c>
      <c r="AB6" s="38">
        <f t="shared" si="4"/>
        <v>124.13913097112372</v>
      </c>
      <c r="AC6" s="38">
        <f t="shared" si="4"/>
        <v>142.76000061679227</v>
      </c>
      <c r="AD6" s="38">
        <f t="shared" si="4"/>
        <v>164.17400070931109</v>
      </c>
      <c r="AE6" s="38">
        <f t="shared" si="4"/>
        <v>188.80010081570774</v>
      </c>
      <c r="AF6" s="38">
        <f t="shared" si="4"/>
        <v>217.12011593806389</v>
      </c>
      <c r="AG6" s="38">
        <f t="shared" si="4"/>
        <v>249.68813332877346</v>
      </c>
      <c r="AH6" s="38">
        <f t="shared" si="4"/>
        <v>287.14135332808945</v>
      </c>
      <c r="AI6" s="38">
        <f t="shared" si="4"/>
        <v>330.21255632730282</v>
      </c>
      <c r="AJ6" s="39">
        <f>AJ5*$Z4</f>
        <v>379.74443977639822</v>
      </c>
      <c r="AL6" s="5" t="s">
        <v>40</v>
      </c>
      <c r="AM6" s="45">
        <v>123</v>
      </c>
      <c r="BA6" s="17"/>
    </row>
    <row r="7" spans="1:53" x14ac:dyDescent="0.25">
      <c r="A7" t="s">
        <v>45</v>
      </c>
      <c r="B7" s="58" t="s">
        <v>55</v>
      </c>
      <c r="H7" s="14" t="s">
        <v>11</v>
      </c>
      <c r="I7" s="15">
        <f>AVERAGE(M7:W7)</f>
        <v>8.7600000000000011E-2</v>
      </c>
      <c r="J7" s="16">
        <f>AVERAGE(S7:W7)</f>
        <v>3.9400000000000011E-2</v>
      </c>
      <c r="K7" s="16">
        <f>W7</f>
        <v>0.65100000000000002</v>
      </c>
      <c r="L7" s="17" t="s">
        <v>7</v>
      </c>
      <c r="M7" s="18" t="s">
        <v>7</v>
      </c>
      <c r="N7" s="12">
        <v>0.29099999999999998</v>
      </c>
      <c r="O7" s="12">
        <v>0.123</v>
      </c>
      <c r="P7" s="12">
        <v>9.5000000000000001E-2</v>
      </c>
      <c r="Q7" s="12">
        <v>0.125</v>
      </c>
      <c r="R7" s="12">
        <v>4.4999999999999998E-2</v>
      </c>
      <c r="S7" s="12">
        <v>-0.04</v>
      </c>
      <c r="T7" s="12">
        <v>-0.41399999999999998</v>
      </c>
      <c r="U7" s="12">
        <v>-1</v>
      </c>
      <c r="V7" s="12">
        <v>1</v>
      </c>
      <c r="W7" s="13">
        <v>0.65100000000000002</v>
      </c>
      <c r="AL7" s="18"/>
      <c r="BA7" s="17"/>
    </row>
    <row r="8" spans="1:53" x14ac:dyDescent="0.25">
      <c r="A8" t="s">
        <v>46</v>
      </c>
      <c r="B8" s="58"/>
      <c r="H8" s="19" t="s">
        <v>12</v>
      </c>
      <c r="I8" s="5" t="s">
        <v>7</v>
      </c>
      <c r="J8" s="6" t="s">
        <v>7</v>
      </c>
      <c r="K8" s="6" t="s">
        <v>7</v>
      </c>
      <c r="L8" s="20">
        <f>4470/865</f>
        <v>5.1676300578034686</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82</v>
      </c>
      <c r="B9" s="58"/>
      <c r="H9" s="43"/>
      <c r="L9" s="20"/>
      <c r="Y9" s="1"/>
      <c r="AA9" s="1"/>
      <c r="AB9" s="42"/>
      <c r="AC9" s="42"/>
      <c r="AD9" s="42"/>
      <c r="AE9" s="42"/>
      <c r="AF9" s="42"/>
      <c r="AG9" s="42"/>
      <c r="AH9" s="42"/>
      <c r="AI9" s="42"/>
      <c r="AJ9" s="10"/>
      <c r="AL9" s="1"/>
      <c r="AM9" s="10"/>
      <c r="AN9" s="1"/>
      <c r="AO9" s="42"/>
      <c r="AP9" s="42"/>
      <c r="AQ9" s="42"/>
      <c r="AR9" s="42"/>
      <c r="AS9" s="42"/>
      <c r="AT9" s="42"/>
      <c r="AU9" s="42"/>
      <c r="AV9" s="42"/>
      <c r="AW9" s="42"/>
      <c r="AX9" s="10"/>
      <c r="AY9" s="93"/>
      <c r="AZ9" s="93"/>
      <c r="BA9" s="94"/>
    </row>
    <row r="10" spans="1:53" x14ac:dyDescent="0.25">
      <c r="A10" t="s">
        <v>47</v>
      </c>
      <c r="B10" s="58"/>
      <c r="Y10" s="1" t="s">
        <v>13</v>
      </c>
      <c r="Z10" s="65">
        <f>AVERAGE(Table1567[])</f>
        <v>0.13503333333333334</v>
      </c>
      <c r="AA10" s="8">
        <f>Z10</f>
        <v>0.13503333333333334</v>
      </c>
      <c r="AB10" s="9">
        <f t="shared" ref="AB10:AJ11" si="5">AA10</f>
        <v>0.13503333333333334</v>
      </c>
      <c r="AC10" s="9">
        <f t="shared" si="5"/>
        <v>0.13503333333333334</v>
      </c>
      <c r="AD10" s="9">
        <f t="shared" si="5"/>
        <v>0.13503333333333334</v>
      </c>
      <c r="AE10" s="9">
        <f t="shared" si="5"/>
        <v>0.13503333333333334</v>
      </c>
      <c r="AF10" s="9">
        <f t="shared" si="5"/>
        <v>0.13503333333333334</v>
      </c>
      <c r="AG10" s="9">
        <f t="shared" si="5"/>
        <v>0.13503333333333334</v>
      </c>
      <c r="AH10" s="9">
        <f t="shared" si="5"/>
        <v>0.13503333333333334</v>
      </c>
      <c r="AI10" s="9">
        <f t="shared" si="5"/>
        <v>0.13503333333333334</v>
      </c>
      <c r="AJ10" s="25">
        <f t="shared" si="5"/>
        <v>0.13503333333333334</v>
      </c>
      <c r="AL10" s="1" t="s">
        <v>42</v>
      </c>
      <c r="AM10" s="10"/>
      <c r="AN10" s="48">
        <f>$AM1</f>
        <v>865</v>
      </c>
      <c r="AO10" s="49">
        <f t="shared" ref="AO10:AW10" si="6">AN10+AN10*$AM2</f>
        <v>932.55650000000003</v>
      </c>
      <c r="AP10" s="49">
        <f t="shared" si="6"/>
        <v>1005.38916265</v>
      </c>
      <c r="AQ10" s="49">
        <f t="shared" si="6"/>
        <v>1083.910056252965</v>
      </c>
      <c r="AR10" s="49">
        <f t="shared" si="6"/>
        <v>1168.5634316463215</v>
      </c>
      <c r="AS10" s="49">
        <f t="shared" si="6"/>
        <v>1259.8282356578993</v>
      </c>
      <c r="AT10" s="49">
        <f t="shared" si="6"/>
        <v>1358.2208208627812</v>
      </c>
      <c r="AU10" s="49">
        <f t="shared" si="6"/>
        <v>1464.2978669721645</v>
      </c>
      <c r="AV10" s="49">
        <f t="shared" si="6"/>
        <v>1578.6595303826905</v>
      </c>
      <c r="AW10" s="49">
        <f t="shared" si="6"/>
        <v>1701.9528397055788</v>
      </c>
      <c r="AX10" s="50">
        <f>$AM4*AW10</f>
        <v>25529.29259558368</v>
      </c>
      <c r="AY10" s="51"/>
      <c r="AZ10" s="49"/>
      <c r="BA10" s="10"/>
    </row>
    <row r="11" spans="1:53" x14ac:dyDescent="0.25">
      <c r="A11" t="s">
        <v>48</v>
      </c>
      <c r="B11" s="58"/>
      <c r="Y11" s="18" t="s">
        <v>14</v>
      </c>
      <c r="Z11">
        <f>Z3</f>
        <v>0.15</v>
      </c>
      <c r="AA11" s="26">
        <f t="shared" ref="AA11:AJ12" si="7">Z11</f>
        <v>0.15</v>
      </c>
      <c r="AB11" s="27">
        <f t="shared" si="5"/>
        <v>0.15</v>
      </c>
      <c r="AC11" s="27">
        <f t="shared" si="5"/>
        <v>0.15</v>
      </c>
      <c r="AD11" s="27">
        <f t="shared" si="5"/>
        <v>0.15</v>
      </c>
      <c r="AE11" s="27">
        <f t="shared" si="5"/>
        <v>0.15</v>
      </c>
      <c r="AF11" s="27">
        <f t="shared" si="5"/>
        <v>0.15</v>
      </c>
      <c r="AG11" s="27">
        <f t="shared" si="5"/>
        <v>0.15</v>
      </c>
      <c r="AH11" s="27">
        <f t="shared" si="5"/>
        <v>0.15</v>
      </c>
      <c r="AI11" s="27">
        <f t="shared" si="5"/>
        <v>0.15</v>
      </c>
      <c r="AJ11" s="28">
        <f t="shared" si="5"/>
        <v>0.15</v>
      </c>
      <c r="AL11" s="5" t="s">
        <v>43</v>
      </c>
      <c r="AM11" s="7"/>
      <c r="AN11" s="52">
        <f>AN10/(1+$AM3)</f>
        <v>752.17391304347836</v>
      </c>
      <c r="AO11" s="53">
        <f t="shared" ref="AO11:AW11" si="8">(1+$AM2)*AN11/(1+$AM3)</f>
        <v>705.1466918714558</v>
      </c>
      <c r="AP11" s="53">
        <f t="shared" si="8"/>
        <v>661.05969435357963</v>
      </c>
      <c r="AQ11" s="53">
        <f t="shared" si="8"/>
        <v>619.72909259356027</v>
      </c>
      <c r="AR11" s="53">
        <f t="shared" si="8"/>
        <v>580.98255193488467</v>
      </c>
      <c r="AS11" s="53">
        <f t="shared" si="8"/>
        <v>544.65851238347761</v>
      </c>
      <c r="AT11" s="53">
        <f t="shared" si="8"/>
        <v>510.60551495706716</v>
      </c>
      <c r="AU11" s="53">
        <f t="shared" si="8"/>
        <v>478.68157015236017</v>
      </c>
      <c r="AV11" s="53">
        <f t="shared" si="8"/>
        <v>448.75356589674738</v>
      </c>
      <c r="AW11" s="53">
        <f t="shared" si="8"/>
        <v>420.69671251589858</v>
      </c>
      <c r="AX11" s="54">
        <f>AX10/(1+AM3)^AX8</f>
        <v>6310.4506877384783</v>
      </c>
      <c r="AY11" s="53">
        <f>SUM(AN11:AX11)</f>
        <v>12032.938507440987</v>
      </c>
      <c r="AZ11" s="53">
        <f>AY11+AM5</f>
        <v>12257.638507440988</v>
      </c>
      <c r="BA11" s="55">
        <f>AZ11/AM6</f>
        <v>99.655597621471443</v>
      </c>
    </row>
    <row r="12" spans="1:53" x14ac:dyDescent="0.25">
      <c r="A12" t="s">
        <v>65</v>
      </c>
      <c r="B12" s="92">
        <v>44627</v>
      </c>
      <c r="Y12" s="5" t="s">
        <v>15</v>
      </c>
      <c r="Z12" s="7">
        <f>Z4</f>
        <v>32.06</v>
      </c>
      <c r="AA12" s="30">
        <f t="shared" si="7"/>
        <v>32.06</v>
      </c>
      <c r="AB12" s="31">
        <f t="shared" si="7"/>
        <v>32.06</v>
      </c>
      <c r="AC12" s="31">
        <f t="shared" si="7"/>
        <v>32.06</v>
      </c>
      <c r="AD12" s="31">
        <f t="shared" si="7"/>
        <v>32.06</v>
      </c>
      <c r="AE12" s="31">
        <f t="shared" si="7"/>
        <v>32.06</v>
      </c>
      <c r="AF12" s="31">
        <f t="shared" si="7"/>
        <v>32.06</v>
      </c>
      <c r="AG12" s="31">
        <f t="shared" si="7"/>
        <v>32.06</v>
      </c>
      <c r="AH12" s="31">
        <f t="shared" si="7"/>
        <v>32.06</v>
      </c>
      <c r="AI12" s="31">
        <f t="shared" si="7"/>
        <v>32.06</v>
      </c>
      <c r="AJ12" s="32">
        <f t="shared" si="7"/>
        <v>32.06</v>
      </c>
    </row>
    <row r="13" spans="1:53" x14ac:dyDescent="0.25">
      <c r="Y13" s="1" t="s">
        <v>16</v>
      </c>
      <c r="Z13">
        <f>Z5</f>
        <v>6.02</v>
      </c>
      <c r="AA13" s="34">
        <f>Z13</f>
        <v>6.02</v>
      </c>
      <c r="AB13" s="35">
        <f t="shared" ref="AB13:AJ13" si="9">AA13*(1+$Z10)</f>
        <v>6.8329006666666663</v>
      </c>
      <c r="AC13" s="35">
        <f t="shared" si="9"/>
        <v>7.7555700200222217</v>
      </c>
      <c r="AD13" s="35">
        <f t="shared" si="9"/>
        <v>8.8028304917258886</v>
      </c>
      <c r="AE13" s="35">
        <f t="shared" si="9"/>
        <v>9.9915060357919412</v>
      </c>
      <c r="AF13" s="35">
        <f t="shared" si="9"/>
        <v>11.340692400825047</v>
      </c>
      <c r="AG13" s="35">
        <f t="shared" si="9"/>
        <v>12.872063898016455</v>
      </c>
      <c r="AH13" s="35">
        <f t="shared" si="9"/>
        <v>14.610221593045276</v>
      </c>
      <c r="AI13" s="35">
        <f t="shared" si="9"/>
        <v>16.583088515492822</v>
      </c>
      <c r="AJ13" s="36">
        <f t="shared" si="9"/>
        <v>18.822358234701536</v>
      </c>
      <c r="AL13" s="1" t="s">
        <v>35</v>
      </c>
      <c r="AM13" s="72">
        <f>AM1</f>
        <v>865</v>
      </c>
      <c r="AN13" s="42"/>
      <c r="AO13" s="42"/>
      <c r="AP13" s="42"/>
      <c r="AQ13" s="42"/>
      <c r="AR13" s="42"/>
      <c r="AS13" s="42"/>
      <c r="AT13" s="42"/>
      <c r="AU13" s="42"/>
      <c r="AV13" s="42"/>
      <c r="AW13" s="42"/>
      <c r="AX13" s="42"/>
      <c r="AY13" s="42"/>
      <c r="AZ13" s="42"/>
      <c r="BA13" s="10"/>
    </row>
    <row r="14" spans="1:53" ht="18.75" x14ac:dyDescent="0.3">
      <c r="A14" s="56" t="s">
        <v>29</v>
      </c>
      <c r="Y14" s="5" t="s">
        <v>19</v>
      </c>
      <c r="Z14" s="37">
        <f>AA14</f>
        <v>171.53667580368341</v>
      </c>
      <c r="AA14" s="38">
        <f t="shared" ref="AA14:AI14" si="10">AB14/(1+$Z11)</f>
        <v>171.53667580368341</v>
      </c>
      <c r="AB14" s="38">
        <f t="shared" si="10"/>
        <v>197.26717717423591</v>
      </c>
      <c r="AC14" s="38">
        <f t="shared" si="10"/>
        <v>226.85725375037129</v>
      </c>
      <c r="AD14" s="38">
        <f t="shared" si="10"/>
        <v>260.88584181292697</v>
      </c>
      <c r="AE14" s="38">
        <f t="shared" si="10"/>
        <v>300.01871808486601</v>
      </c>
      <c r="AF14" s="38">
        <f t="shared" si="10"/>
        <v>345.02152579759587</v>
      </c>
      <c r="AG14" s="38">
        <f t="shared" si="10"/>
        <v>396.77475466723524</v>
      </c>
      <c r="AH14" s="38">
        <f t="shared" si="10"/>
        <v>456.29096786732049</v>
      </c>
      <c r="AI14" s="38">
        <f t="shared" si="10"/>
        <v>524.73461304741852</v>
      </c>
      <c r="AJ14" s="39">
        <f>AJ13*$Z12</f>
        <v>603.4448050045313</v>
      </c>
      <c r="AL14" s="18" t="s">
        <v>36</v>
      </c>
      <c r="AM14" s="68">
        <f>Z10</f>
        <v>0.13503333333333334</v>
      </c>
      <c r="BA14" s="17"/>
    </row>
    <row r="15" spans="1:53" x14ac:dyDescent="0.25">
      <c r="A15" s="43" t="s">
        <v>32</v>
      </c>
      <c r="B15" s="18" t="s">
        <v>0</v>
      </c>
      <c r="C15" t="s">
        <v>1</v>
      </c>
      <c r="D15" t="s">
        <v>2</v>
      </c>
      <c r="E15" t="s">
        <v>3</v>
      </c>
      <c r="AL15" s="18" t="s">
        <v>37</v>
      </c>
      <c r="AM15" s="69">
        <f>AM3</f>
        <v>0.15</v>
      </c>
      <c r="BA15" s="17"/>
    </row>
    <row r="16" spans="1:53" x14ac:dyDescent="0.25">
      <c r="A16" t="s">
        <v>52</v>
      </c>
      <c r="B16" t="s">
        <v>4</v>
      </c>
      <c r="C16" t="s">
        <v>4</v>
      </c>
      <c r="D16" t="s">
        <v>4</v>
      </c>
      <c r="E16" t="s">
        <v>5</v>
      </c>
      <c r="Y16" s="21" t="s">
        <v>61</v>
      </c>
      <c r="Z16" s="22"/>
      <c r="AA16" s="21">
        <v>2021</v>
      </c>
      <c r="AB16" s="23">
        <v>2022</v>
      </c>
      <c r="AC16" s="23">
        <v>2023</v>
      </c>
      <c r="AD16" s="23">
        <v>2024</v>
      </c>
      <c r="AE16" s="23">
        <v>2025</v>
      </c>
      <c r="AF16" s="23">
        <v>2026</v>
      </c>
      <c r="AG16" s="23">
        <v>2027</v>
      </c>
      <c r="AH16" s="23">
        <v>2028</v>
      </c>
      <c r="AI16" s="23">
        <v>2029</v>
      </c>
      <c r="AJ16" s="24">
        <v>2030</v>
      </c>
      <c r="AL16" s="18" t="s">
        <v>38</v>
      </c>
      <c r="AM16" s="69">
        <f>AM4</f>
        <v>15</v>
      </c>
      <c r="BA16" s="17"/>
    </row>
    <row r="17" spans="1:53" x14ac:dyDescent="0.25">
      <c r="A17" t="s">
        <v>23</v>
      </c>
      <c r="B17" s="16">
        <f t="shared" ref="B17:D21" si="11">I3</f>
        <v>9.0954545454545455E-2</v>
      </c>
      <c r="C17" s="16">
        <f t="shared" si="11"/>
        <v>6.6360000000000002E-2</v>
      </c>
      <c r="D17" s="16">
        <f t="shared" si="11"/>
        <v>0.10460000000000001</v>
      </c>
      <c r="Y17" s="1" t="s">
        <v>13</v>
      </c>
      <c r="Z17" s="60">
        <f>MAX(Table1567[])</f>
        <v>0.17699999999999999</v>
      </c>
      <c r="AA17" s="8">
        <f>Z17</f>
        <v>0.17699999999999999</v>
      </c>
      <c r="AB17" s="9">
        <f t="shared" ref="AB17:AJ18" si="12">AA17</f>
        <v>0.17699999999999999</v>
      </c>
      <c r="AC17" s="9">
        <f t="shared" si="12"/>
        <v>0.17699999999999999</v>
      </c>
      <c r="AD17" s="9">
        <f t="shared" si="12"/>
        <v>0.17699999999999999</v>
      </c>
      <c r="AE17" s="9">
        <f t="shared" si="12"/>
        <v>0.17699999999999999</v>
      </c>
      <c r="AF17" s="9">
        <f t="shared" si="12"/>
        <v>0.17699999999999999</v>
      </c>
      <c r="AG17" s="9">
        <f t="shared" si="12"/>
        <v>0.17699999999999999</v>
      </c>
      <c r="AH17" s="9">
        <f t="shared" si="12"/>
        <v>0.17699999999999999</v>
      </c>
      <c r="AI17" s="9">
        <f t="shared" si="12"/>
        <v>0.17699999999999999</v>
      </c>
      <c r="AJ17" s="25">
        <f t="shared" si="12"/>
        <v>0.17699999999999999</v>
      </c>
      <c r="AL17" s="18" t="s">
        <v>39</v>
      </c>
      <c r="AM17" s="69">
        <f>AM5</f>
        <v>224.7</v>
      </c>
      <c r="BA17" s="17"/>
    </row>
    <row r="18" spans="1:53" x14ac:dyDescent="0.25">
      <c r="A18" t="s">
        <v>24</v>
      </c>
      <c r="B18" s="16">
        <f t="shared" si="11"/>
        <v>7.8100000000000017E-2</v>
      </c>
      <c r="C18" s="16">
        <f t="shared" si="11"/>
        <v>6.0199999999999997E-2</v>
      </c>
      <c r="D18" s="16">
        <f t="shared" si="11"/>
        <v>0.20499999999999999</v>
      </c>
      <c r="Y18" s="18" t="s">
        <v>14</v>
      </c>
      <c r="Z18">
        <f>Z3</f>
        <v>0.15</v>
      </c>
      <c r="AA18" s="26">
        <f t="shared" ref="AA18:AJ19" si="13">Z18</f>
        <v>0.15</v>
      </c>
      <c r="AB18" s="27">
        <f t="shared" si="12"/>
        <v>0.15</v>
      </c>
      <c r="AC18" s="27">
        <f t="shared" si="12"/>
        <v>0.15</v>
      </c>
      <c r="AD18" s="27">
        <f t="shared" si="12"/>
        <v>0.15</v>
      </c>
      <c r="AE18" s="27">
        <f t="shared" si="12"/>
        <v>0.15</v>
      </c>
      <c r="AF18" s="27">
        <f t="shared" si="12"/>
        <v>0.15</v>
      </c>
      <c r="AG18" s="27">
        <f t="shared" si="12"/>
        <v>0.15</v>
      </c>
      <c r="AH18" s="27">
        <f t="shared" si="12"/>
        <v>0.15</v>
      </c>
      <c r="AI18" s="27">
        <f t="shared" si="12"/>
        <v>0.15</v>
      </c>
      <c r="AJ18" s="28">
        <f t="shared" si="12"/>
        <v>0.15</v>
      </c>
      <c r="AL18" s="5" t="s">
        <v>40</v>
      </c>
      <c r="AM18" s="70">
        <f>AM6</f>
        <v>123</v>
      </c>
      <c r="BA18" s="17"/>
    </row>
    <row r="19" spans="1:53" x14ac:dyDescent="0.25">
      <c r="A19" t="s">
        <v>25</v>
      </c>
      <c r="B19" s="16">
        <f t="shared" si="11"/>
        <v>9.8500000000000004E-2</v>
      </c>
      <c r="C19" s="16">
        <f t="shared" si="11"/>
        <v>2.9199999999999993E-2</v>
      </c>
      <c r="D19" s="16">
        <f t="shared" si="11"/>
        <v>0.42</v>
      </c>
      <c r="Y19" s="5" t="s">
        <v>15</v>
      </c>
      <c r="Z19" s="7">
        <f>Z4</f>
        <v>32.06</v>
      </c>
      <c r="AA19" s="30">
        <f t="shared" si="13"/>
        <v>32.06</v>
      </c>
      <c r="AB19" s="31">
        <f t="shared" si="13"/>
        <v>32.06</v>
      </c>
      <c r="AC19" s="31">
        <f t="shared" si="13"/>
        <v>32.06</v>
      </c>
      <c r="AD19" s="31">
        <f t="shared" si="13"/>
        <v>32.06</v>
      </c>
      <c r="AE19" s="31">
        <f t="shared" si="13"/>
        <v>32.06</v>
      </c>
      <c r="AF19" s="31">
        <f t="shared" si="13"/>
        <v>32.06</v>
      </c>
      <c r="AG19" s="31">
        <f t="shared" si="13"/>
        <v>32.06</v>
      </c>
      <c r="AH19" s="31">
        <f t="shared" si="13"/>
        <v>32.06</v>
      </c>
      <c r="AI19" s="31">
        <f t="shared" si="13"/>
        <v>32.06</v>
      </c>
      <c r="AJ19" s="32">
        <f t="shared" si="13"/>
        <v>32.06</v>
      </c>
      <c r="AL19" s="18"/>
      <c r="BA19" s="17"/>
    </row>
    <row r="20" spans="1:53" x14ac:dyDescent="0.25">
      <c r="A20" t="s">
        <v>26</v>
      </c>
      <c r="B20" s="16">
        <f t="shared" si="11"/>
        <v>0.10200000000000001</v>
      </c>
      <c r="C20" s="16">
        <f t="shared" si="11"/>
        <v>9.64E-2</v>
      </c>
      <c r="D20" s="16">
        <f t="shared" si="11"/>
        <v>0.193</v>
      </c>
      <c r="Y20" s="1" t="s">
        <v>16</v>
      </c>
      <c r="Z20">
        <f>Z5</f>
        <v>6.02</v>
      </c>
      <c r="AA20" s="34">
        <f>Z20</f>
        <v>6.02</v>
      </c>
      <c r="AB20" s="35">
        <f t="shared" ref="AB20:AJ20" si="14">AA20*(1+$Z17)</f>
        <v>7.0855399999999999</v>
      </c>
      <c r="AC20" s="35">
        <f t="shared" si="14"/>
        <v>8.3396805799999996</v>
      </c>
      <c r="AD20" s="35">
        <f t="shared" si="14"/>
        <v>9.81580404266</v>
      </c>
      <c r="AE20" s="35">
        <f t="shared" si="14"/>
        <v>11.553201358210821</v>
      </c>
      <c r="AF20" s="35">
        <f t="shared" si="14"/>
        <v>13.598117998614136</v>
      </c>
      <c r="AG20" s="35">
        <f t="shared" si="14"/>
        <v>16.004984884368838</v>
      </c>
      <c r="AH20" s="35">
        <f t="shared" si="14"/>
        <v>18.837867208902122</v>
      </c>
      <c r="AI20" s="35">
        <f t="shared" si="14"/>
        <v>22.172169704877799</v>
      </c>
      <c r="AJ20" s="36">
        <f t="shared" si="14"/>
        <v>26.09664374264117</v>
      </c>
      <c r="AL20" s="21"/>
      <c r="AM20" s="24"/>
      <c r="AN20" s="21">
        <v>1</v>
      </c>
      <c r="AO20" s="23">
        <v>2</v>
      </c>
      <c r="AP20" s="23">
        <v>3</v>
      </c>
      <c r="AQ20" s="23">
        <v>4</v>
      </c>
      <c r="AR20" s="23">
        <v>5</v>
      </c>
      <c r="AS20" s="23">
        <v>6</v>
      </c>
      <c r="AT20" s="23">
        <v>7</v>
      </c>
      <c r="AU20" s="23">
        <v>8</v>
      </c>
      <c r="AV20" s="23">
        <v>9</v>
      </c>
      <c r="AW20" s="23">
        <v>10</v>
      </c>
      <c r="AX20" s="24">
        <v>10</v>
      </c>
      <c r="AY20" s="46" t="s">
        <v>41</v>
      </c>
      <c r="AZ20" s="46" t="s">
        <v>62</v>
      </c>
      <c r="BA20" s="47" t="s">
        <v>63</v>
      </c>
    </row>
    <row r="21" spans="1:53" x14ac:dyDescent="0.25">
      <c r="A21" t="s">
        <v>27</v>
      </c>
      <c r="B21" s="16">
        <f t="shared" si="11"/>
        <v>8.7600000000000011E-2</v>
      </c>
      <c r="C21" s="16">
        <f t="shared" si="11"/>
        <v>3.9400000000000011E-2</v>
      </c>
      <c r="D21" s="16">
        <f t="shared" si="11"/>
        <v>0.65100000000000002</v>
      </c>
      <c r="Y21" s="5" t="s">
        <v>19</v>
      </c>
      <c r="Z21" s="37">
        <f>AA21</f>
        <v>237.83053437972396</v>
      </c>
      <c r="AA21" s="38">
        <f t="shared" ref="AA21:AI21" si="15">AB21/(1+$Z18)</f>
        <v>237.83053437972396</v>
      </c>
      <c r="AB21" s="38">
        <f t="shared" si="15"/>
        <v>273.50511453668253</v>
      </c>
      <c r="AC21" s="38">
        <f t="shared" si="15"/>
        <v>314.53088171718485</v>
      </c>
      <c r="AD21" s="38">
        <f t="shared" si="15"/>
        <v>361.71051397476253</v>
      </c>
      <c r="AE21" s="38">
        <f t="shared" si="15"/>
        <v>415.96709107097689</v>
      </c>
      <c r="AF21" s="38">
        <f t="shared" si="15"/>
        <v>478.36215473162338</v>
      </c>
      <c r="AG21" s="38">
        <f t="shared" si="15"/>
        <v>550.11647794136684</v>
      </c>
      <c r="AH21" s="38">
        <f t="shared" si="15"/>
        <v>632.63394963257178</v>
      </c>
      <c r="AI21" s="38">
        <f t="shared" si="15"/>
        <v>727.52904207745746</v>
      </c>
      <c r="AJ21" s="39">
        <f>AJ20*$Z19</f>
        <v>836.65839838907596</v>
      </c>
      <c r="AL21" s="1" t="s">
        <v>42</v>
      </c>
      <c r="AM21" s="10"/>
      <c r="AN21" s="48">
        <f>$AM13</f>
        <v>865</v>
      </c>
      <c r="AO21" s="49">
        <f t="shared" ref="AO21:AW21" si="16">AN21+AN21*$AM14</f>
        <v>981.80383333333339</v>
      </c>
      <c r="AP21" s="49">
        <f t="shared" si="16"/>
        <v>1114.3800776277778</v>
      </c>
      <c r="AQ21" s="49">
        <f t="shared" si="16"/>
        <v>1264.8585341101154</v>
      </c>
      <c r="AR21" s="49">
        <f t="shared" si="16"/>
        <v>1435.6565981661181</v>
      </c>
      <c r="AS21" s="49">
        <f t="shared" si="16"/>
        <v>1629.5180941384829</v>
      </c>
      <c r="AT21" s="49">
        <f t="shared" si="16"/>
        <v>1849.5573541169827</v>
      </c>
      <c r="AU21" s="49">
        <f t="shared" si="16"/>
        <v>2099.3092488345792</v>
      </c>
      <c r="AV21" s="49">
        <f t="shared" si="16"/>
        <v>2382.7859744022085</v>
      </c>
      <c r="AW21" s="49">
        <f t="shared" si="16"/>
        <v>2704.5415071456532</v>
      </c>
      <c r="AX21" s="50">
        <f>$AM16*AW21</f>
        <v>40568.1226071848</v>
      </c>
      <c r="AY21" s="51"/>
      <c r="AZ21" s="49"/>
      <c r="BA21" s="10"/>
    </row>
    <row r="22" spans="1:53" x14ac:dyDescent="0.25">
      <c r="A22" t="s">
        <v>28</v>
      </c>
      <c r="E22" s="57">
        <f>L8</f>
        <v>5.1676300578034686</v>
      </c>
      <c r="AL22" s="5" t="s">
        <v>43</v>
      </c>
      <c r="AM22" s="7"/>
      <c r="AN22" s="52">
        <f>AN21/(1+$AM15)</f>
        <v>752.17391304347836</v>
      </c>
      <c r="AO22" s="53">
        <f t="shared" ref="AO22:AW22" si="17">(1+$AM14)*AN22/(1+$AM15)</f>
        <v>742.38475110270963</v>
      </c>
      <c r="AP22" s="53">
        <f t="shared" si="17"/>
        <v>732.72299013908309</v>
      </c>
      <c r="AQ22" s="53">
        <f t="shared" si="17"/>
        <v>723.18697209350489</v>
      </c>
      <c r="AR22" s="53">
        <f t="shared" si="17"/>
        <v>713.77506048567932</v>
      </c>
      <c r="AS22" s="53">
        <f t="shared" si="17"/>
        <v>704.48564013327154</v>
      </c>
      <c r="AT22" s="53">
        <f t="shared" si="17"/>
        <v>695.31711687472557</v>
      </c>
      <c r="AU22" s="53">
        <f t="shared" si="17"/>
        <v>686.26791729568936</v>
      </c>
      <c r="AV22" s="53">
        <f t="shared" si="17"/>
        <v>677.33648845900063</v>
      </c>
      <c r="AW22" s="53">
        <f t="shared" si="17"/>
        <v>668.52129763818641</v>
      </c>
      <c r="AX22" s="54">
        <f>AX21/(1+AM15)^AX20</f>
        <v>10027.819464572798</v>
      </c>
      <c r="AY22" s="53">
        <f>SUM(AN22:AX22)</f>
        <v>17123.99161183813</v>
      </c>
      <c r="AZ22" s="53">
        <f>AY22+AM17</f>
        <v>17348.69161183813</v>
      </c>
      <c r="BA22" s="55">
        <f>AZ22/AM18</f>
        <v>141.04627326697667</v>
      </c>
    </row>
    <row r="23" spans="1:53" x14ac:dyDescent="0.25">
      <c r="AN23" s="75"/>
      <c r="AO23" s="75"/>
      <c r="AP23" s="75"/>
      <c r="AQ23" s="75"/>
      <c r="AR23" s="75"/>
      <c r="AS23" s="75"/>
      <c r="AT23" s="75"/>
      <c r="AU23" s="75"/>
      <c r="AV23" s="75"/>
      <c r="AW23" s="75"/>
      <c r="AX23" s="75"/>
      <c r="AY23" s="75"/>
      <c r="AZ23" s="75"/>
      <c r="BA23" s="76"/>
    </row>
    <row r="24" spans="1:53" ht="18.75" x14ac:dyDescent="0.3">
      <c r="A24" s="56" t="s">
        <v>30</v>
      </c>
      <c r="AL24" s="1" t="s">
        <v>35</v>
      </c>
      <c r="AM24" s="22">
        <f>AM1</f>
        <v>865</v>
      </c>
      <c r="AN24" s="42"/>
      <c r="AO24" s="42"/>
      <c r="AP24" s="42"/>
      <c r="AQ24" s="42"/>
      <c r="AR24" s="42"/>
      <c r="AS24" s="42"/>
      <c r="AT24" s="42"/>
      <c r="AU24" s="42"/>
      <c r="AV24" s="42"/>
      <c r="AW24" s="42"/>
      <c r="AX24" s="42"/>
      <c r="AY24" s="42"/>
      <c r="AZ24" s="42"/>
      <c r="BA24" s="10"/>
    </row>
    <row r="25" spans="1:53" x14ac:dyDescent="0.25">
      <c r="A25" t="s">
        <v>107</v>
      </c>
      <c r="B25" t="s">
        <v>137</v>
      </c>
      <c r="C25" t="s">
        <v>138</v>
      </c>
      <c r="AL25" s="18" t="s">
        <v>36</v>
      </c>
      <c r="AM25" s="71">
        <f>Z17</f>
        <v>0.17699999999999999</v>
      </c>
      <c r="BA25" s="17"/>
    </row>
    <row r="26" spans="1:53" x14ac:dyDescent="0.25">
      <c r="A26" s="16">
        <f>B18</f>
        <v>7.8100000000000017E-2</v>
      </c>
      <c r="B26" s="86">
        <v>0.15</v>
      </c>
      <c r="C26" s="85">
        <v>0.17699999999999999</v>
      </c>
      <c r="AL26" s="18" t="s">
        <v>37</v>
      </c>
      <c r="AM26" s="69">
        <f>AM3</f>
        <v>0.15</v>
      </c>
      <c r="BA26" s="17"/>
    </row>
    <row r="27" spans="1:53" x14ac:dyDescent="0.25">
      <c r="AL27" s="18" t="s">
        <v>38</v>
      </c>
      <c r="AM27" s="69">
        <f>AM4</f>
        <v>15</v>
      </c>
      <c r="BA27" s="17"/>
    </row>
    <row r="28" spans="1:53" ht="30" x14ac:dyDescent="0.25">
      <c r="A28" t="s">
        <v>18</v>
      </c>
      <c r="B28" s="41" t="s">
        <v>20</v>
      </c>
      <c r="C28" s="41" t="s">
        <v>31</v>
      </c>
      <c r="D28" s="41" t="s">
        <v>21</v>
      </c>
      <c r="E28" s="41" t="s">
        <v>22</v>
      </c>
      <c r="F28" t="s">
        <v>126</v>
      </c>
      <c r="AL28" s="18" t="s">
        <v>39</v>
      </c>
      <c r="AM28" s="69">
        <f>AM5</f>
        <v>224.7</v>
      </c>
      <c r="BA28" s="17"/>
    </row>
    <row r="29" spans="1:53" x14ac:dyDescent="0.25">
      <c r="A29" s="16">
        <f>MIN(Table1567[])</f>
        <v>7.8100000000000017E-2</v>
      </c>
      <c r="B29" s="73">
        <f>Z6</f>
        <v>107.9470704096728</v>
      </c>
      <c r="C29" s="63">
        <f>1-$B$6/Table164[[#This Row],[Fair Value
Method 1]]</f>
        <v>-0.85794759634373952</v>
      </c>
      <c r="D29" s="66">
        <f>BA11</f>
        <v>99.655597621471443</v>
      </c>
      <c r="E29" s="63">
        <f>1-$B$6/Table164[[#This Row],[Fair Value 
Method 2]]</f>
        <v>-1.0125312053398199</v>
      </c>
      <c r="F29" s="63">
        <f>AVERAGE(Table164[[#This Row],[MOS
Method 1]],Table164[[#This Row],[MOS 
Method 2]])</f>
        <v>-0.9352394008417797</v>
      </c>
      <c r="AL29" s="5" t="s">
        <v>40</v>
      </c>
      <c r="AM29" s="70">
        <f>AM6</f>
        <v>123</v>
      </c>
      <c r="BA29" s="17"/>
    </row>
    <row r="30" spans="1:53" x14ac:dyDescent="0.25">
      <c r="A30" s="61">
        <f>AVERAGE(Table1567[])</f>
        <v>0.13503333333333334</v>
      </c>
      <c r="B30" s="73">
        <f>Z14</f>
        <v>171.53667580368341</v>
      </c>
      <c r="C30" s="63">
        <f>1-$B$6/Table164[[#This Row],[Fair Value
Method 1]]</f>
        <v>-0.16919602796507838</v>
      </c>
      <c r="D30" s="66">
        <f>BA22</f>
        <v>141.04627326697667</v>
      </c>
      <c r="E30" s="63">
        <f>1-$B$6/Table164[[#This Row],[Fair Value 
Method 2]]</f>
        <v>-0.42194469484758335</v>
      </c>
      <c r="F30" s="63">
        <f>AVERAGE(Table164[[#This Row],[MOS
Method 1]],Table164[[#This Row],[MOS 
Method 2]])</f>
        <v>-0.29557036140633086</v>
      </c>
      <c r="AL30" s="18"/>
      <c r="BA30" s="17"/>
    </row>
    <row r="31" spans="1:53" x14ac:dyDescent="0.25">
      <c r="A31" s="61">
        <f>MAX(Table1567[])</f>
        <v>0.17699999999999999</v>
      </c>
      <c r="B31" s="73">
        <f>Z21</f>
        <v>237.83053437972396</v>
      </c>
      <c r="C31" s="63">
        <f>1-$B$6/Table164[[#This Row],[Fair Value
Method 1]]</f>
        <v>0.15671046813617817</v>
      </c>
      <c r="D31" s="66">
        <f>BA33</f>
        <v>182.8964235631957</v>
      </c>
      <c r="E31" s="63">
        <f>1-$B$6/Table164[[#This Row],[Fair Value 
Method 2]]</f>
        <v>-9.6576937332517376E-2</v>
      </c>
      <c r="F31" s="63">
        <f>AVERAGE(Table164[[#This Row],[MOS
Method 1]],Table164[[#This Row],[MOS 
Method 2]])</f>
        <v>3.0066765401830398E-2</v>
      </c>
      <c r="AL31" s="21"/>
      <c r="AM31" s="24"/>
      <c r="AN31" s="21">
        <v>1</v>
      </c>
      <c r="AO31" s="23">
        <v>2</v>
      </c>
      <c r="AP31" s="23">
        <v>3</v>
      </c>
      <c r="AQ31" s="23">
        <v>4</v>
      </c>
      <c r="AR31" s="23">
        <v>5</v>
      </c>
      <c r="AS31" s="23">
        <v>6</v>
      </c>
      <c r="AT31" s="23">
        <v>7</v>
      </c>
      <c r="AU31" s="23">
        <v>8</v>
      </c>
      <c r="AV31" s="23">
        <v>9</v>
      </c>
      <c r="AW31" s="23">
        <v>10</v>
      </c>
      <c r="AX31" s="24">
        <v>10</v>
      </c>
      <c r="AY31" s="46" t="s">
        <v>41</v>
      </c>
      <c r="AZ31" s="46" t="s">
        <v>62</v>
      </c>
      <c r="BA31" s="47" t="s">
        <v>63</v>
      </c>
    </row>
    <row r="32" spans="1:53" x14ac:dyDescent="0.25">
      <c r="AL32" s="1" t="s">
        <v>42</v>
      </c>
      <c r="AM32" s="10"/>
      <c r="AN32" s="48">
        <f>$AM24</f>
        <v>865</v>
      </c>
      <c r="AO32" s="49">
        <f t="shared" ref="AO32:AW32" si="18">AN32+AN32*$AM25</f>
        <v>1018.105</v>
      </c>
      <c r="AP32" s="49">
        <f t="shared" si="18"/>
        <v>1198.309585</v>
      </c>
      <c r="AQ32" s="49">
        <f t="shared" si="18"/>
        <v>1410.4103815449998</v>
      </c>
      <c r="AR32" s="49">
        <f t="shared" si="18"/>
        <v>1660.0530190784648</v>
      </c>
      <c r="AS32" s="49">
        <f t="shared" si="18"/>
        <v>1953.8824034553531</v>
      </c>
      <c r="AT32" s="49">
        <f t="shared" si="18"/>
        <v>2299.7195888669507</v>
      </c>
      <c r="AU32" s="49">
        <f t="shared" si="18"/>
        <v>2706.7699560964011</v>
      </c>
      <c r="AV32" s="49">
        <f t="shared" si="18"/>
        <v>3185.8682383254641</v>
      </c>
      <c r="AW32" s="49">
        <f t="shared" si="18"/>
        <v>3749.7669165090711</v>
      </c>
      <c r="AX32" s="50">
        <f>$AM27*AW32</f>
        <v>56246.503747636067</v>
      </c>
      <c r="AY32" s="51"/>
      <c r="AZ32" s="49"/>
      <c r="BA32" s="10"/>
    </row>
    <row r="33" spans="1:53" ht="18.75" x14ac:dyDescent="0.3">
      <c r="A33" s="56" t="s">
        <v>64</v>
      </c>
      <c r="AL33" s="5" t="s">
        <v>43</v>
      </c>
      <c r="AM33" s="7"/>
      <c r="AN33" s="52">
        <f>AN32/(1+$AM26)</f>
        <v>752.17391304347836</v>
      </c>
      <c r="AO33" s="53">
        <f t="shared" ref="AO33:AW33" si="19">(1+$AM25)*AN33/(1+$AM26)</f>
        <v>769.83364839319484</v>
      </c>
      <c r="AP33" s="53">
        <f t="shared" si="19"/>
        <v>787.90800361633956</v>
      </c>
      <c r="AQ33" s="53">
        <f t="shared" si="19"/>
        <v>806.40671326646236</v>
      </c>
      <c r="AR33" s="53">
        <f t="shared" si="19"/>
        <v>825.33974044750119</v>
      </c>
      <c r="AS33" s="53">
        <f t="shared" si="19"/>
        <v>844.71728217974703</v>
      </c>
      <c r="AT33" s="53">
        <f t="shared" si="19"/>
        <v>864.54977489179339</v>
      </c>
      <c r="AU33" s="53">
        <f t="shared" si="19"/>
        <v>884.8479000414269</v>
      </c>
      <c r="AV33" s="53">
        <f t="shared" si="19"/>
        <v>905.62258986848667</v>
      </c>
      <c r="AW33" s="53">
        <f t="shared" si="19"/>
        <v>926.88503328279023</v>
      </c>
      <c r="AX33" s="54">
        <f>AX32/(1+AM26)^AX31</f>
        <v>13903.275499241849</v>
      </c>
      <c r="AY33" s="53">
        <f>SUM(AN33:AX33)</f>
        <v>22271.560098273068</v>
      </c>
      <c r="AZ33" s="53">
        <f>AY33+AM28</f>
        <v>22496.260098273069</v>
      </c>
      <c r="BA33" s="55">
        <f>AZ33/AM29</f>
        <v>182.8964235631957</v>
      </c>
    </row>
    <row r="34" spans="1:53" ht="15.75" thickBot="1" x14ac:dyDescent="0.3">
      <c r="A34" s="77" t="s">
        <v>66</v>
      </c>
    </row>
    <row r="35" spans="1:53" ht="15.75" thickBot="1" x14ac:dyDescent="0.3">
      <c r="AA35" s="88"/>
      <c r="AB35" s="88"/>
      <c r="AC35" s="88"/>
      <c r="AD35" s="88"/>
      <c r="AE35" s="88"/>
      <c r="AF35" s="88"/>
      <c r="AG35" s="88"/>
      <c r="AH35" s="88"/>
      <c r="AI35" s="88"/>
      <c r="AJ35" s="88"/>
      <c r="AK35" s="89"/>
    </row>
    <row r="37" spans="1:53" x14ac:dyDescent="0.25">
      <c r="D37" s="78"/>
      <c r="E37" s="78"/>
      <c r="G37" s="79"/>
    </row>
    <row r="40" spans="1:53" x14ac:dyDescent="0.25">
      <c r="D40" s="41"/>
    </row>
  </sheetData>
  <mergeCells count="11">
    <mergeCell ref="R1:R2"/>
    <mergeCell ref="M1:M2"/>
    <mergeCell ref="N1:N2"/>
    <mergeCell ref="O1:O2"/>
    <mergeCell ref="P1:P2"/>
    <mergeCell ref="Q1:Q2"/>
    <mergeCell ref="S1:S2"/>
    <mergeCell ref="T1:T2"/>
    <mergeCell ref="U1:U2"/>
    <mergeCell ref="V1:V2"/>
    <mergeCell ref="W1:W2"/>
  </mergeCells>
  <conditionalFormatting sqref="L8:L9">
    <cfRule type="cellIs" dxfId="465" priority="23" operator="greaterThan">
      <formula>3</formula>
    </cfRule>
    <cfRule type="cellIs" dxfId="464" priority="24" operator="lessThan">
      <formula>3</formula>
    </cfRule>
  </conditionalFormatting>
  <conditionalFormatting sqref="I3:K7">
    <cfRule type="cellIs" dxfId="463" priority="20" operator="between">
      <formula>0.05</formula>
      <formula>0.1</formula>
    </cfRule>
    <cfRule type="cellIs" dxfId="462" priority="21" operator="lessThan">
      <formula>0.05</formula>
    </cfRule>
    <cfRule type="cellIs" dxfId="461"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{CFAE05F4-03C5-4418-9EBD-8E9A670A1703}</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{1A34C0BE-E7CE-4953-868A-97170540D55D}</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{6BA68E0F-3902-461C-9FFE-03808521DEDD}</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{0B178B62-6BF4-41C4-A83F-8BEEA8C54B1E}</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{527C5E69-ABF7-4821-804C-1B1A81BB22BA}</x14:id>
        </ext>
      </extLst>
    </cfRule>
  </conditionalFormatting>
  <conditionalFormatting sqref="E22">
    <cfRule type="cellIs" dxfId="460" priority="13" operator="greaterThan">
      <formula>3</formula>
    </cfRule>
    <cfRule type="cellIs" dxfId="459" priority="14" operator="lessThan">
      <formula>3</formula>
    </cfRule>
  </conditionalFormatting>
  <conditionalFormatting sqref="B17:D21">
    <cfRule type="cellIs" dxfId="458" priority="10" operator="between">
      <formula>0.05</formula>
      <formula>0.1</formula>
    </cfRule>
    <cfRule type="cellIs" dxfId="457" priority="11" operator="lessThan">
      <formula>0.05</formula>
    </cfRule>
    <cfRule type="cellIs" dxfId="456" priority="12" operator="greaterThan">
      <formula>0.1</formula>
    </cfRule>
  </conditionalFormatting>
  <conditionalFormatting sqref="C29:C31">
    <cfRule type="cellIs" dxfId="455" priority="7" operator="lessThan">
      <formula>0</formula>
    </cfRule>
    <cfRule type="cellIs" dxfId="454" priority="8" operator="between">
      <formula>0</formula>
      <formula>0.3</formula>
    </cfRule>
    <cfRule type="cellIs" dxfId="453" priority="9" operator="greaterThan">
      <formula>0.3</formula>
    </cfRule>
  </conditionalFormatting>
  <conditionalFormatting sqref="E29:E31">
    <cfRule type="cellIs" dxfId="452" priority="4" operator="lessThan">
      <formula>0</formula>
    </cfRule>
    <cfRule type="cellIs" dxfId="451" priority="5" operator="between">
      <formula>0</formula>
      <formula>0.3</formula>
    </cfRule>
    <cfRule type="cellIs" dxfId="450" priority="6" operator="greaterThan">
      <formula>0.3</formula>
    </cfRule>
  </conditionalFormatting>
  <conditionalFormatting sqref="F29:F31">
    <cfRule type="cellIs" dxfId="449" priority="1" operator="lessThan">
      <formula>0</formula>
    </cfRule>
    <cfRule type="cellIs" dxfId="448" priority="2" operator="between">
      <formula>0</formula>
      <formula>0.3</formula>
    </cfRule>
    <cfRule type="cellIs" dxfId="447" priority="3" operator="greaterThan">
      <formula>0.3</formula>
    </cfRule>
  </conditionalFormatting>
  <hyperlinks>
    <hyperlink ref="A34" r:id="rId1" xr:uid="{00C3D872-CAF6-4798-B264-4A1C43AE7B7B}"/>
  </hyperlinks>
  <pageMargins left="0.7" right="0.7" top="0.75" bottom="0.75" header="0.3" footer="0.3"/>
  <pageSetup paperSize="9" orientation="portrait" r:id="rId2"/>
  <drawing r:id="rId3"/>
  <legacyDrawing r:id="rId4"/>
  <tableParts count="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dataBar" id="{CFAE05F4-03C5-4418-9EBD-8E9A670A1703}">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1A34C0BE-E7CE-4953-868A-97170540D55D}">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6BA68E0F-3902-461C-9FFE-03808521DEDD}">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0B178B62-6BF4-41C4-A83F-8BEEA8C54B1E}">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527C5E69-ABF7-4821-804C-1B1A81BB22BA}">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67FCC-D52D-450D-A78E-2DCFFE23ACBE}">
  <dimension ref="A1:BA39"/>
  <sheetViews>
    <sheetView zoomScaleNormal="100" workbookViewId="0">
      <selection activeCell="F28" sqref="F28"/>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346</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MIN(Table132[Growth rate])</f>
        <v>0.13600000000000001</v>
      </c>
      <c r="AA2" s="8">
        <f>Z2</f>
        <v>0.13600000000000001</v>
      </c>
      <c r="AB2" s="9">
        <f t="shared" ref="AB2:AJ3" si="1">AA2</f>
        <v>0.13600000000000001</v>
      </c>
      <c r="AC2" s="9">
        <f t="shared" si="1"/>
        <v>0.13600000000000001</v>
      </c>
      <c r="AD2" s="9">
        <f t="shared" si="1"/>
        <v>0.13600000000000001</v>
      </c>
      <c r="AE2" s="9">
        <f t="shared" si="1"/>
        <v>0.13600000000000001</v>
      </c>
      <c r="AF2" s="9">
        <f t="shared" si="1"/>
        <v>0.13600000000000001</v>
      </c>
      <c r="AG2" s="9">
        <f t="shared" si="1"/>
        <v>0.13600000000000001</v>
      </c>
      <c r="AH2" s="9">
        <f t="shared" si="1"/>
        <v>0.13600000000000001</v>
      </c>
      <c r="AI2" s="9">
        <f t="shared" si="1"/>
        <v>0.13600000000000001</v>
      </c>
      <c r="AJ2" s="25">
        <f t="shared" si="1"/>
        <v>0.13600000000000001</v>
      </c>
      <c r="AL2" s="18" t="s">
        <v>36</v>
      </c>
      <c r="AM2" s="67">
        <f>Z2</f>
        <v>0.13600000000000001</v>
      </c>
      <c r="BA2" s="17"/>
    </row>
    <row r="3" spans="1:53" x14ac:dyDescent="0.25">
      <c r="A3" t="s">
        <v>49</v>
      </c>
      <c r="B3" s="58" t="s">
        <v>136</v>
      </c>
      <c r="H3" s="2" t="s">
        <v>6</v>
      </c>
      <c r="I3" s="8">
        <f>AVERAGE(M3:W3)</f>
        <v>0.16135454545454544</v>
      </c>
      <c r="J3" s="9">
        <f>AVERAGE(S3:W3)</f>
        <v>0.15351999999999999</v>
      </c>
      <c r="K3" s="9">
        <f>W3</f>
        <v>0.17219999999999999</v>
      </c>
      <c r="L3" s="10" t="s">
        <v>7</v>
      </c>
      <c r="M3" s="11">
        <v>0.1389</v>
      </c>
      <c r="N3" s="12">
        <v>0.14180000000000001</v>
      </c>
      <c r="O3" s="12">
        <v>0.17329999999999998</v>
      </c>
      <c r="P3" s="12">
        <v>0.19030000000000002</v>
      </c>
      <c r="Q3" s="12">
        <v>0.19440000000000002</v>
      </c>
      <c r="R3" s="12">
        <v>0.1686</v>
      </c>
      <c r="S3" s="12">
        <v>0.22719999999999999</v>
      </c>
      <c r="T3" s="12">
        <v>0.24600000000000002</v>
      </c>
      <c r="U3" s="12">
        <v>4.5100000000000001E-2</v>
      </c>
      <c r="V3" s="12">
        <v>7.7100000000000002E-2</v>
      </c>
      <c r="W3" s="13">
        <v>0.17219999999999999</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115</v>
      </c>
      <c r="H4" s="14" t="s">
        <v>8</v>
      </c>
      <c r="I4" s="15">
        <f>AVERAGE(M4:W4)</f>
        <v>0.13569999999999999</v>
      </c>
      <c r="J4" s="16">
        <f>AVERAGE(S4:W4)</f>
        <v>0.17320000000000002</v>
      </c>
      <c r="K4" s="16">
        <f>W4</f>
        <v>0.30599999999999999</v>
      </c>
      <c r="L4" s="17" t="s">
        <v>7</v>
      </c>
      <c r="M4" s="18" t="s">
        <v>7</v>
      </c>
      <c r="N4" s="12">
        <v>0.11600000000000001</v>
      </c>
      <c r="O4" s="12">
        <v>-1.9E-2</v>
      </c>
      <c r="P4" s="12">
        <v>9.6000000000000002E-2</v>
      </c>
      <c r="Q4" s="12">
        <v>0.18099999999999999</v>
      </c>
      <c r="R4" s="12">
        <v>0.11700000000000001</v>
      </c>
      <c r="S4" s="12">
        <v>0.22800000000000001</v>
      </c>
      <c r="T4" s="12">
        <v>0.26500000000000001</v>
      </c>
      <c r="U4" s="12">
        <v>4.1000000000000002E-2</v>
      </c>
      <c r="V4" s="12">
        <v>2.5999999999999999E-2</v>
      </c>
      <c r="W4" s="13">
        <v>0.30599999999999999</v>
      </c>
      <c r="Y4" s="5" t="s">
        <v>15</v>
      </c>
      <c r="Z4" s="29">
        <v>20</v>
      </c>
      <c r="AA4" s="30">
        <f t="shared" si="2"/>
        <v>20</v>
      </c>
      <c r="AB4" s="31">
        <f t="shared" si="2"/>
        <v>20</v>
      </c>
      <c r="AC4" s="31">
        <f t="shared" si="2"/>
        <v>20</v>
      </c>
      <c r="AD4" s="31">
        <f t="shared" si="2"/>
        <v>20</v>
      </c>
      <c r="AE4" s="31">
        <f t="shared" si="2"/>
        <v>20</v>
      </c>
      <c r="AF4" s="31">
        <f t="shared" si="2"/>
        <v>20</v>
      </c>
      <c r="AG4" s="31">
        <f t="shared" si="2"/>
        <v>20</v>
      </c>
      <c r="AH4" s="31">
        <f t="shared" si="2"/>
        <v>20</v>
      </c>
      <c r="AI4" s="31">
        <f t="shared" si="2"/>
        <v>20</v>
      </c>
      <c r="AJ4" s="32">
        <f t="shared" si="2"/>
        <v>20</v>
      </c>
      <c r="AL4" s="18" t="s">
        <v>38</v>
      </c>
      <c r="AM4" s="64">
        <v>15</v>
      </c>
      <c r="BA4" s="17"/>
    </row>
    <row r="5" spans="1:53" x14ac:dyDescent="0.25">
      <c r="A5" t="s">
        <v>34</v>
      </c>
      <c r="B5" s="59">
        <v>44568</v>
      </c>
      <c r="H5" s="14" t="s">
        <v>9</v>
      </c>
      <c r="I5" s="15">
        <f>AVERAGE(M5:W5)</f>
        <v>0.3518</v>
      </c>
      <c r="J5" s="16">
        <f>AVERAGE(S5:W5)</f>
        <v>0.49660000000000004</v>
      </c>
      <c r="K5" s="16">
        <f>W5</f>
        <v>1.948</v>
      </c>
      <c r="L5" s="17" t="s">
        <v>7</v>
      </c>
      <c r="M5" s="18" t="s">
        <v>7</v>
      </c>
      <c r="N5" s="12">
        <v>0.17699999999999999</v>
      </c>
      <c r="O5" s="12">
        <v>0.27400000000000002</v>
      </c>
      <c r="P5" s="12">
        <v>0.16300000000000001</v>
      </c>
      <c r="Q5" s="12">
        <v>0.11600000000000001</v>
      </c>
      <c r="R5" s="12">
        <v>0.30499999999999999</v>
      </c>
      <c r="S5" s="12">
        <v>0.45300000000000001</v>
      </c>
      <c r="T5" s="12">
        <v>0.152</v>
      </c>
      <c r="U5" s="12">
        <v>-0.69799999999999995</v>
      </c>
      <c r="V5" s="12">
        <v>0.628</v>
      </c>
      <c r="W5" s="13">
        <v>1.948</v>
      </c>
      <c r="Y5" s="1" t="s">
        <v>16</v>
      </c>
      <c r="Z5" s="33">
        <v>11.85</v>
      </c>
      <c r="AA5" s="34">
        <f>Z5</f>
        <v>11.85</v>
      </c>
      <c r="AB5" s="35">
        <f t="shared" ref="AB5:AJ5" si="3">AA5*(1+$Z2)</f>
        <v>13.461600000000001</v>
      </c>
      <c r="AC5" s="35">
        <f t="shared" si="3"/>
        <v>15.292377600000002</v>
      </c>
      <c r="AD5" s="35">
        <f t="shared" si="3"/>
        <v>17.372140953600002</v>
      </c>
      <c r="AE5" s="35">
        <f t="shared" si="3"/>
        <v>19.734752123289606</v>
      </c>
      <c r="AF5" s="35">
        <f t="shared" si="3"/>
        <v>22.418678412056995</v>
      </c>
      <c r="AG5" s="35">
        <f t="shared" si="3"/>
        <v>25.467618676096748</v>
      </c>
      <c r="AH5" s="35">
        <f t="shared" si="3"/>
        <v>28.931214816045909</v>
      </c>
      <c r="AI5" s="35">
        <f t="shared" si="3"/>
        <v>32.865860031028156</v>
      </c>
      <c r="AJ5" s="36">
        <f t="shared" si="3"/>
        <v>37.335616995247989</v>
      </c>
      <c r="AL5" s="18" t="s">
        <v>39</v>
      </c>
      <c r="AM5" s="40">
        <v>330.32</v>
      </c>
      <c r="BA5" s="17"/>
    </row>
    <row r="6" spans="1:53" x14ac:dyDescent="0.25">
      <c r="A6" t="s">
        <v>44</v>
      </c>
      <c r="B6" s="62">
        <v>21.13</v>
      </c>
      <c r="H6" s="14" t="s">
        <v>10</v>
      </c>
      <c r="I6" s="15">
        <f>AVERAGE(M6:W6)</f>
        <v>0.19469999999999998</v>
      </c>
      <c r="J6" s="16">
        <f>AVERAGE(S6:W6)</f>
        <v>0.24440000000000001</v>
      </c>
      <c r="K6" s="16">
        <f>W6</f>
        <v>0.50800000000000001</v>
      </c>
      <c r="L6" s="17" t="s">
        <v>7</v>
      </c>
      <c r="M6" s="18" t="s">
        <v>7</v>
      </c>
      <c r="N6" s="12">
        <v>0.128</v>
      </c>
      <c r="O6" s="12">
        <v>0.22800000000000001</v>
      </c>
      <c r="P6" s="12">
        <v>8.7999999999999995E-2</v>
      </c>
      <c r="Q6" s="12">
        <v>0.13700000000000001</v>
      </c>
      <c r="R6" s="12">
        <v>0.14399999999999999</v>
      </c>
      <c r="S6" s="12">
        <v>0.58199999999999996</v>
      </c>
      <c r="T6" s="12">
        <v>0.14899999999999999</v>
      </c>
      <c r="U6" s="12">
        <v>-5.6000000000000001E-2</v>
      </c>
      <c r="V6" s="12">
        <v>3.9E-2</v>
      </c>
      <c r="W6" s="13">
        <v>0.50800000000000001</v>
      </c>
      <c r="Y6" s="5" t="s">
        <v>19</v>
      </c>
      <c r="Z6" s="37">
        <f>AA6</f>
        <v>212.262250841525</v>
      </c>
      <c r="AA6" s="38">
        <f t="shared" ref="AA6:AI6" si="4">AB6/(1+$Z3)</f>
        <v>212.262250841525</v>
      </c>
      <c r="AB6" s="38">
        <f t="shared" si="4"/>
        <v>244.10158846775374</v>
      </c>
      <c r="AC6" s="38">
        <f t="shared" si="4"/>
        <v>280.71682673791679</v>
      </c>
      <c r="AD6" s="38">
        <f t="shared" si="4"/>
        <v>322.82435074860427</v>
      </c>
      <c r="AE6" s="38">
        <f t="shared" si="4"/>
        <v>371.24800336089487</v>
      </c>
      <c r="AF6" s="38">
        <f t="shared" si="4"/>
        <v>426.93520386502905</v>
      </c>
      <c r="AG6" s="38">
        <f t="shared" si="4"/>
        <v>490.97548444478338</v>
      </c>
      <c r="AH6" s="38">
        <f t="shared" si="4"/>
        <v>564.62180711150086</v>
      </c>
      <c r="AI6" s="38">
        <f t="shared" si="4"/>
        <v>649.31507817822592</v>
      </c>
      <c r="AJ6" s="39">
        <f>AJ5*$Z4</f>
        <v>746.71233990495978</v>
      </c>
      <c r="AL6" s="5" t="s">
        <v>40</v>
      </c>
      <c r="AM6" s="45">
        <v>19</v>
      </c>
      <c r="BA6" s="17"/>
    </row>
    <row r="7" spans="1:53" x14ac:dyDescent="0.25">
      <c r="A7" t="s">
        <v>45</v>
      </c>
      <c r="B7" s="58"/>
      <c r="H7" s="14" t="s">
        <v>11</v>
      </c>
      <c r="I7" s="15">
        <f>AVERAGE(M7:W7)</f>
        <v>0.19209999999999999</v>
      </c>
      <c r="J7" s="16">
        <f>AVERAGE(S7:W7)</f>
        <v>6.9600000000000009E-2</v>
      </c>
      <c r="K7" s="16">
        <f>W7</f>
        <v>-8.3000000000000004E-2</v>
      </c>
      <c r="L7" s="17" t="s">
        <v>7</v>
      </c>
      <c r="M7" s="18" t="s">
        <v>7</v>
      </c>
      <c r="N7" s="12">
        <v>0.34599999999999997</v>
      </c>
      <c r="O7" s="12">
        <v>0.11</v>
      </c>
      <c r="P7" s="12">
        <v>-1.7000000000000001E-2</v>
      </c>
      <c r="Q7" s="12">
        <v>0.73099999999999998</v>
      </c>
      <c r="R7" s="12">
        <v>0.40300000000000002</v>
      </c>
      <c r="S7" s="12">
        <v>5.1999999999999998E-2</v>
      </c>
      <c r="T7" s="12">
        <v>7.9000000000000001E-2</v>
      </c>
      <c r="U7" s="12">
        <v>0.152</v>
      </c>
      <c r="V7" s="12">
        <v>0.14799999999999999</v>
      </c>
      <c r="W7" s="13">
        <v>-8.3000000000000004E-2</v>
      </c>
      <c r="AL7" s="18"/>
      <c r="BA7" s="17"/>
    </row>
    <row r="8" spans="1:53" x14ac:dyDescent="0.25">
      <c r="A8" t="s">
        <v>46</v>
      </c>
      <c r="B8" s="58"/>
      <c r="H8" s="19" t="s">
        <v>12</v>
      </c>
      <c r="I8" s="5" t="s">
        <v>7</v>
      </c>
      <c r="J8" s="6" t="s">
        <v>7</v>
      </c>
      <c r="K8" s="6" t="s">
        <v>7</v>
      </c>
      <c r="L8" s="20">
        <v>4</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47</v>
      </c>
      <c r="B9" s="58"/>
      <c r="Y9" s="1" t="s">
        <v>13</v>
      </c>
      <c r="Z9" s="65">
        <f>AVERAGE(Table132[Growth rate])</f>
        <v>0.18899999999999997</v>
      </c>
      <c r="AA9" s="8">
        <f>Z9</f>
        <v>0.18899999999999997</v>
      </c>
      <c r="AB9" s="9">
        <f t="shared" ref="AB9:AJ10" si="5">AA9</f>
        <v>0.18899999999999997</v>
      </c>
      <c r="AC9" s="9">
        <f t="shared" si="5"/>
        <v>0.18899999999999997</v>
      </c>
      <c r="AD9" s="9">
        <f t="shared" si="5"/>
        <v>0.18899999999999997</v>
      </c>
      <c r="AE9" s="9">
        <f t="shared" si="5"/>
        <v>0.18899999999999997</v>
      </c>
      <c r="AF9" s="9">
        <f t="shared" si="5"/>
        <v>0.18899999999999997</v>
      </c>
      <c r="AG9" s="9">
        <f t="shared" si="5"/>
        <v>0.18899999999999997</v>
      </c>
      <c r="AH9" s="9">
        <f t="shared" si="5"/>
        <v>0.18899999999999997</v>
      </c>
      <c r="AI9" s="9">
        <f t="shared" si="5"/>
        <v>0.18899999999999997</v>
      </c>
      <c r="AJ9" s="25">
        <f t="shared" si="5"/>
        <v>0.18899999999999997</v>
      </c>
      <c r="AL9" s="1" t="s">
        <v>42</v>
      </c>
      <c r="AM9" s="10"/>
      <c r="AN9" s="48">
        <f>$AM1</f>
        <v>346</v>
      </c>
      <c r="AO9" s="49">
        <f t="shared" ref="AO9:AW9" si="6">AN9+AN9*$AM2</f>
        <v>393.05599999999998</v>
      </c>
      <c r="AP9" s="49">
        <f t="shared" si="6"/>
        <v>446.511616</v>
      </c>
      <c r="AQ9" s="49">
        <f t="shared" si="6"/>
        <v>507.23719577600002</v>
      </c>
      <c r="AR9" s="49">
        <f t="shared" si="6"/>
        <v>576.22145440153599</v>
      </c>
      <c r="AS9" s="49">
        <f t="shared" si="6"/>
        <v>654.5875722001449</v>
      </c>
      <c r="AT9" s="49">
        <f t="shared" si="6"/>
        <v>743.61148201936464</v>
      </c>
      <c r="AU9" s="49">
        <f t="shared" si="6"/>
        <v>844.74264357399829</v>
      </c>
      <c r="AV9" s="49">
        <f t="shared" si="6"/>
        <v>959.62764310006207</v>
      </c>
      <c r="AW9" s="49">
        <f t="shared" si="6"/>
        <v>1090.1370025616704</v>
      </c>
      <c r="AX9" s="50">
        <f>$AM4*AW9</f>
        <v>16352.055038425056</v>
      </c>
      <c r="AY9" s="51"/>
      <c r="AZ9" s="49"/>
      <c r="BA9" s="10"/>
    </row>
    <row r="10" spans="1:53" x14ac:dyDescent="0.25">
      <c r="A10" t="s">
        <v>48</v>
      </c>
      <c r="B10" s="58"/>
      <c r="Y10" s="18" t="s">
        <v>14</v>
      </c>
      <c r="Z10">
        <f>Z3</f>
        <v>0.15</v>
      </c>
      <c r="AA10" s="26">
        <f t="shared" ref="AA10:AJ11" si="7">Z10</f>
        <v>0.15</v>
      </c>
      <c r="AB10" s="27">
        <f t="shared" si="5"/>
        <v>0.15</v>
      </c>
      <c r="AC10" s="27">
        <f t="shared" si="5"/>
        <v>0.15</v>
      </c>
      <c r="AD10" s="27">
        <f t="shared" si="5"/>
        <v>0.15</v>
      </c>
      <c r="AE10" s="27">
        <f t="shared" si="5"/>
        <v>0.15</v>
      </c>
      <c r="AF10" s="27">
        <f t="shared" si="5"/>
        <v>0.15</v>
      </c>
      <c r="AG10" s="27">
        <f t="shared" si="5"/>
        <v>0.15</v>
      </c>
      <c r="AH10" s="27">
        <f t="shared" si="5"/>
        <v>0.15</v>
      </c>
      <c r="AI10" s="27">
        <f t="shared" si="5"/>
        <v>0.15</v>
      </c>
      <c r="AJ10" s="28">
        <f t="shared" si="5"/>
        <v>0.15</v>
      </c>
      <c r="AL10" s="5" t="s">
        <v>43</v>
      </c>
      <c r="AM10" s="7"/>
      <c r="AN10" s="52">
        <f>AN9/(1+$AM3)</f>
        <v>300.86956521739131</v>
      </c>
      <c r="AO10" s="53">
        <f t="shared" ref="AO10:AW10" si="8">(1+$AM2)*AN10/(1+$AM3)</f>
        <v>297.20680529300574</v>
      </c>
      <c r="AP10" s="53">
        <f t="shared" si="8"/>
        <v>293.58863548943873</v>
      </c>
      <c r="AQ10" s="53">
        <f t="shared" si="8"/>
        <v>290.0145129704369</v>
      </c>
      <c r="AR10" s="53">
        <f t="shared" si="8"/>
        <v>286.48390150818813</v>
      </c>
      <c r="AS10" s="53">
        <f t="shared" si="8"/>
        <v>282.99627140287112</v>
      </c>
      <c r="AT10" s="53">
        <f t="shared" si="8"/>
        <v>279.55109940318403</v>
      </c>
      <c r="AU10" s="53">
        <f t="shared" si="8"/>
        <v>276.14786862784092</v>
      </c>
      <c r="AV10" s="53">
        <f t="shared" si="8"/>
        <v>272.78606848802383</v>
      </c>
      <c r="AW10" s="53">
        <f t="shared" si="8"/>
        <v>269.46519461077838</v>
      </c>
      <c r="AX10" s="54">
        <f>AX9/(1+AM3)^AX8</f>
        <v>4041.9779191616735</v>
      </c>
      <c r="AY10" s="53">
        <f>SUM(AN10:AX10)</f>
        <v>6891.0878421728321</v>
      </c>
      <c r="AZ10" s="53">
        <f>AY10+AM5</f>
        <v>7221.4078421728318</v>
      </c>
      <c r="BA10" s="55">
        <f>AZ10/AM6</f>
        <v>380.07409695646481</v>
      </c>
    </row>
    <row r="11" spans="1:53" x14ac:dyDescent="0.25">
      <c r="A11" t="s">
        <v>65</v>
      </c>
      <c r="B11" s="59"/>
      <c r="Y11" s="5" t="s">
        <v>15</v>
      </c>
      <c r="Z11" s="7">
        <f>Z4</f>
        <v>20</v>
      </c>
      <c r="AA11" s="30">
        <f t="shared" si="7"/>
        <v>20</v>
      </c>
      <c r="AB11" s="31">
        <f t="shared" si="7"/>
        <v>20</v>
      </c>
      <c r="AC11" s="31">
        <f t="shared" si="7"/>
        <v>20</v>
      </c>
      <c r="AD11" s="31">
        <f t="shared" si="7"/>
        <v>20</v>
      </c>
      <c r="AE11" s="31">
        <f t="shared" si="7"/>
        <v>20</v>
      </c>
      <c r="AF11" s="31">
        <f t="shared" si="7"/>
        <v>20</v>
      </c>
      <c r="AG11" s="31">
        <f t="shared" si="7"/>
        <v>20</v>
      </c>
      <c r="AH11" s="31">
        <f t="shared" si="7"/>
        <v>20</v>
      </c>
      <c r="AI11" s="31">
        <f t="shared" si="7"/>
        <v>20</v>
      </c>
      <c r="AJ11" s="32">
        <f t="shared" si="7"/>
        <v>20</v>
      </c>
    </row>
    <row r="12" spans="1:53" x14ac:dyDescent="0.25">
      <c r="Y12" s="1" t="s">
        <v>16</v>
      </c>
      <c r="Z12">
        <f>Z5</f>
        <v>11.85</v>
      </c>
      <c r="AA12" s="34">
        <f>Z12</f>
        <v>11.85</v>
      </c>
      <c r="AB12" s="35">
        <f t="shared" ref="AB12:AJ12" si="9">AA12*(1+$Z9)</f>
        <v>14.089650000000001</v>
      </c>
      <c r="AC12" s="35">
        <f t="shared" si="9"/>
        <v>16.75259385</v>
      </c>
      <c r="AD12" s="35">
        <f t="shared" si="9"/>
        <v>19.918834087650001</v>
      </c>
      <c r="AE12" s="35">
        <f t="shared" si="9"/>
        <v>23.683493730215854</v>
      </c>
      <c r="AF12" s="35">
        <f t="shared" si="9"/>
        <v>28.159674045226652</v>
      </c>
      <c r="AG12" s="35">
        <f t="shared" si="9"/>
        <v>33.481852439774492</v>
      </c>
      <c r="AH12" s="35">
        <f t="shared" si="9"/>
        <v>39.809922550891876</v>
      </c>
      <c r="AI12" s="35">
        <f t="shared" si="9"/>
        <v>47.333997913010442</v>
      </c>
      <c r="AJ12" s="36">
        <f t="shared" si="9"/>
        <v>56.280123518569418</v>
      </c>
      <c r="AL12" s="1" t="s">
        <v>35</v>
      </c>
      <c r="AM12" s="72">
        <f>AM1</f>
        <v>346</v>
      </c>
      <c r="AN12" s="42"/>
      <c r="AO12" s="42"/>
      <c r="AP12" s="42"/>
      <c r="AQ12" s="42"/>
      <c r="AR12" s="42"/>
      <c r="AS12" s="42"/>
      <c r="AT12" s="42"/>
      <c r="AU12" s="42"/>
      <c r="AV12" s="42"/>
      <c r="AW12" s="42"/>
      <c r="AX12" s="42"/>
      <c r="AY12" s="42"/>
      <c r="AZ12" s="42"/>
      <c r="BA12" s="10"/>
    </row>
    <row r="13" spans="1:53" ht="18.75" x14ac:dyDescent="0.3">
      <c r="A13" s="56" t="s">
        <v>29</v>
      </c>
      <c r="Y13" s="5" t="s">
        <v>19</v>
      </c>
      <c r="Z13" s="37">
        <f>AA13</f>
        <v>319.96647322611744</v>
      </c>
      <c r="AA13" s="38">
        <f t="shared" ref="AA13:AI13" si="10">AB13/(1+$Z10)</f>
        <v>319.96647322611744</v>
      </c>
      <c r="AB13" s="38">
        <f t="shared" si="10"/>
        <v>367.96144421003504</v>
      </c>
      <c r="AC13" s="38">
        <f t="shared" si="10"/>
        <v>423.15566084154028</v>
      </c>
      <c r="AD13" s="38">
        <f t="shared" si="10"/>
        <v>486.62900996777131</v>
      </c>
      <c r="AE13" s="38">
        <f t="shared" si="10"/>
        <v>559.62336146293694</v>
      </c>
      <c r="AF13" s="38">
        <f t="shared" si="10"/>
        <v>643.5668656823774</v>
      </c>
      <c r="AG13" s="38">
        <f t="shared" si="10"/>
        <v>740.10189553473401</v>
      </c>
      <c r="AH13" s="38">
        <f t="shared" si="10"/>
        <v>851.11717986494409</v>
      </c>
      <c r="AI13" s="38">
        <f t="shared" si="10"/>
        <v>978.7847568446856</v>
      </c>
      <c r="AJ13" s="39">
        <f>AJ12*$Z11</f>
        <v>1125.6024703713883</v>
      </c>
      <c r="AL13" s="18" t="s">
        <v>36</v>
      </c>
      <c r="AM13" s="68">
        <f>Z9</f>
        <v>0.18899999999999997</v>
      </c>
      <c r="BA13" s="17"/>
    </row>
    <row r="14" spans="1:53" x14ac:dyDescent="0.25">
      <c r="A14" s="43" t="s">
        <v>32</v>
      </c>
      <c r="B14" s="18" t="s">
        <v>0</v>
      </c>
      <c r="C14" t="s">
        <v>1</v>
      </c>
      <c r="D14" t="s">
        <v>2</v>
      </c>
      <c r="E14" t="s">
        <v>3</v>
      </c>
      <c r="AL14" s="18" t="s">
        <v>37</v>
      </c>
      <c r="AM14" s="69">
        <f>AM3</f>
        <v>0.15</v>
      </c>
      <c r="BA14" s="17"/>
    </row>
    <row r="15" spans="1:53" x14ac:dyDescent="0.25">
      <c r="A15" t="s">
        <v>52</v>
      </c>
      <c r="B15" t="s">
        <v>4</v>
      </c>
      <c r="C15" t="s">
        <v>4</v>
      </c>
      <c r="D15" t="s">
        <v>4</v>
      </c>
      <c r="E15" t="s">
        <v>5</v>
      </c>
      <c r="Y15" s="21" t="s">
        <v>61</v>
      </c>
      <c r="Z15" s="22"/>
      <c r="AA15" s="21">
        <v>2021</v>
      </c>
      <c r="AB15" s="23">
        <v>2022</v>
      </c>
      <c r="AC15" s="23">
        <v>2023</v>
      </c>
      <c r="AD15" s="23">
        <v>2024</v>
      </c>
      <c r="AE15" s="23">
        <v>2025</v>
      </c>
      <c r="AF15" s="23">
        <v>2026</v>
      </c>
      <c r="AG15" s="23">
        <v>2027</v>
      </c>
      <c r="AH15" s="23">
        <v>2028</v>
      </c>
      <c r="AI15" s="23">
        <v>2029</v>
      </c>
      <c r="AJ15" s="24">
        <v>2030</v>
      </c>
      <c r="AL15" s="18" t="s">
        <v>38</v>
      </c>
      <c r="AM15" s="69">
        <f t="shared" ref="AM15:AM17" si="11">AM4</f>
        <v>15</v>
      </c>
      <c r="BA15" s="17"/>
    </row>
    <row r="16" spans="1:53" x14ac:dyDescent="0.25">
      <c r="A16" t="s">
        <v>23</v>
      </c>
      <c r="B16" s="16">
        <f t="shared" ref="B16:D20" si="12">I3</f>
        <v>0.16135454545454544</v>
      </c>
      <c r="C16" s="16">
        <f t="shared" si="12"/>
        <v>0.15351999999999999</v>
      </c>
      <c r="D16" s="16">
        <f t="shared" si="12"/>
        <v>0.17219999999999999</v>
      </c>
      <c r="Y16" s="1" t="s">
        <v>13</v>
      </c>
      <c r="Z16" s="60">
        <f>MAX(Table132[Growth rate])</f>
        <v>0.254</v>
      </c>
      <c r="AA16" s="8">
        <f>Z16</f>
        <v>0.254</v>
      </c>
      <c r="AB16" s="9">
        <f t="shared" ref="AB16:AJ17" si="13">AA16</f>
        <v>0.254</v>
      </c>
      <c r="AC16" s="9">
        <f t="shared" si="13"/>
        <v>0.254</v>
      </c>
      <c r="AD16" s="9">
        <f t="shared" si="13"/>
        <v>0.254</v>
      </c>
      <c r="AE16" s="9">
        <f t="shared" si="13"/>
        <v>0.254</v>
      </c>
      <c r="AF16" s="9">
        <f t="shared" si="13"/>
        <v>0.254</v>
      </c>
      <c r="AG16" s="9">
        <f t="shared" si="13"/>
        <v>0.254</v>
      </c>
      <c r="AH16" s="9">
        <f t="shared" si="13"/>
        <v>0.254</v>
      </c>
      <c r="AI16" s="9">
        <f t="shared" si="13"/>
        <v>0.254</v>
      </c>
      <c r="AJ16" s="25">
        <f t="shared" si="13"/>
        <v>0.254</v>
      </c>
      <c r="AL16" s="18" t="s">
        <v>39</v>
      </c>
      <c r="AM16" s="69">
        <f t="shared" si="11"/>
        <v>330.32</v>
      </c>
      <c r="BA16" s="17"/>
    </row>
    <row r="17" spans="1:53" x14ac:dyDescent="0.25">
      <c r="A17" t="s">
        <v>24</v>
      </c>
      <c r="B17" s="16">
        <f t="shared" si="12"/>
        <v>0.13569999999999999</v>
      </c>
      <c r="C17" s="16">
        <f t="shared" si="12"/>
        <v>0.17320000000000002</v>
      </c>
      <c r="D17" s="16">
        <f t="shared" si="12"/>
        <v>0.30599999999999999</v>
      </c>
      <c r="Y17" s="18" t="s">
        <v>14</v>
      </c>
      <c r="Z17">
        <f>Z3</f>
        <v>0.15</v>
      </c>
      <c r="AA17" s="26">
        <f t="shared" ref="AA17:AJ18" si="14">Z17</f>
        <v>0.15</v>
      </c>
      <c r="AB17" s="27">
        <f t="shared" si="13"/>
        <v>0.15</v>
      </c>
      <c r="AC17" s="27">
        <f t="shared" si="13"/>
        <v>0.15</v>
      </c>
      <c r="AD17" s="27">
        <f t="shared" si="13"/>
        <v>0.15</v>
      </c>
      <c r="AE17" s="27">
        <f t="shared" si="13"/>
        <v>0.15</v>
      </c>
      <c r="AF17" s="27">
        <f t="shared" si="13"/>
        <v>0.15</v>
      </c>
      <c r="AG17" s="27">
        <f t="shared" si="13"/>
        <v>0.15</v>
      </c>
      <c r="AH17" s="27">
        <f t="shared" si="13"/>
        <v>0.15</v>
      </c>
      <c r="AI17" s="27">
        <f t="shared" si="13"/>
        <v>0.15</v>
      </c>
      <c r="AJ17" s="28">
        <f t="shared" si="13"/>
        <v>0.15</v>
      </c>
      <c r="AL17" s="5" t="s">
        <v>40</v>
      </c>
      <c r="AM17" s="70">
        <f t="shared" si="11"/>
        <v>19</v>
      </c>
      <c r="BA17" s="17"/>
    </row>
    <row r="18" spans="1:53" x14ac:dyDescent="0.25">
      <c r="A18" t="s">
        <v>25</v>
      </c>
      <c r="B18" s="16">
        <f t="shared" si="12"/>
        <v>0.3518</v>
      </c>
      <c r="C18" s="16">
        <f t="shared" si="12"/>
        <v>0.49660000000000004</v>
      </c>
      <c r="D18" s="16">
        <f t="shared" si="12"/>
        <v>1.948</v>
      </c>
      <c r="Y18" s="5" t="s">
        <v>15</v>
      </c>
      <c r="Z18" s="7">
        <f>Z4</f>
        <v>20</v>
      </c>
      <c r="AA18" s="30">
        <f t="shared" si="14"/>
        <v>20</v>
      </c>
      <c r="AB18" s="31">
        <f t="shared" si="14"/>
        <v>20</v>
      </c>
      <c r="AC18" s="31">
        <f t="shared" si="14"/>
        <v>20</v>
      </c>
      <c r="AD18" s="31">
        <f t="shared" si="14"/>
        <v>20</v>
      </c>
      <c r="AE18" s="31">
        <f t="shared" si="14"/>
        <v>20</v>
      </c>
      <c r="AF18" s="31">
        <f t="shared" si="14"/>
        <v>20</v>
      </c>
      <c r="AG18" s="31">
        <f t="shared" si="14"/>
        <v>20</v>
      </c>
      <c r="AH18" s="31">
        <f t="shared" si="14"/>
        <v>20</v>
      </c>
      <c r="AI18" s="31">
        <f t="shared" si="14"/>
        <v>20</v>
      </c>
      <c r="AJ18" s="32">
        <f t="shared" si="14"/>
        <v>20</v>
      </c>
      <c r="AL18" s="18"/>
      <c r="BA18" s="17"/>
    </row>
    <row r="19" spans="1:53" x14ac:dyDescent="0.25">
      <c r="A19" t="s">
        <v>26</v>
      </c>
      <c r="B19" s="16">
        <f t="shared" si="12"/>
        <v>0.19469999999999998</v>
      </c>
      <c r="C19" s="16">
        <f t="shared" si="12"/>
        <v>0.24440000000000001</v>
      </c>
      <c r="D19" s="16">
        <f t="shared" si="12"/>
        <v>0.50800000000000001</v>
      </c>
      <c r="Y19" s="1" t="s">
        <v>16</v>
      </c>
      <c r="Z19">
        <f>Z5</f>
        <v>11.85</v>
      </c>
      <c r="AA19" s="34">
        <f>Z19</f>
        <v>11.85</v>
      </c>
      <c r="AB19" s="35">
        <f t="shared" ref="AB19:AJ19" si="15">AA19*(1+$Z16)</f>
        <v>14.8599</v>
      </c>
      <c r="AC19" s="35">
        <f t="shared" si="15"/>
        <v>18.6343146</v>
      </c>
      <c r="AD19" s="35">
        <f t="shared" si="15"/>
        <v>23.367430508399998</v>
      </c>
      <c r="AE19" s="35">
        <f t="shared" si="15"/>
        <v>29.302757857533599</v>
      </c>
      <c r="AF19" s="35">
        <f t="shared" si="15"/>
        <v>36.745658353347132</v>
      </c>
      <c r="AG19" s="35">
        <f t="shared" si="15"/>
        <v>46.0790555750973</v>
      </c>
      <c r="AH19" s="35">
        <f t="shared" si="15"/>
        <v>57.783135691172014</v>
      </c>
      <c r="AI19" s="35">
        <f t="shared" si="15"/>
        <v>72.460052156729702</v>
      </c>
      <c r="AJ19" s="36">
        <f t="shared" si="15"/>
        <v>90.864905404539044</v>
      </c>
      <c r="AL19" s="21"/>
      <c r="AM19" s="24"/>
      <c r="AN19" s="21">
        <v>1</v>
      </c>
      <c r="AO19" s="23">
        <v>2</v>
      </c>
      <c r="AP19" s="23">
        <v>3</v>
      </c>
      <c r="AQ19" s="23">
        <v>4</v>
      </c>
      <c r="AR19" s="23">
        <v>5</v>
      </c>
      <c r="AS19" s="23">
        <v>6</v>
      </c>
      <c r="AT19" s="23">
        <v>7</v>
      </c>
      <c r="AU19" s="23">
        <v>8</v>
      </c>
      <c r="AV19" s="23">
        <v>9</v>
      </c>
      <c r="AW19" s="23">
        <v>10</v>
      </c>
      <c r="AX19" s="24">
        <v>10</v>
      </c>
      <c r="AY19" s="46" t="s">
        <v>41</v>
      </c>
      <c r="AZ19" s="46" t="s">
        <v>62</v>
      </c>
      <c r="BA19" s="47" t="s">
        <v>63</v>
      </c>
    </row>
    <row r="20" spans="1:53" x14ac:dyDescent="0.25">
      <c r="A20" t="s">
        <v>27</v>
      </c>
      <c r="B20" s="16">
        <f t="shared" si="12"/>
        <v>0.19209999999999999</v>
      </c>
      <c r="C20" s="16">
        <f t="shared" si="12"/>
        <v>6.9600000000000009E-2</v>
      </c>
      <c r="D20" s="16">
        <f t="shared" si="12"/>
        <v>-8.3000000000000004E-2</v>
      </c>
      <c r="Y20" s="5" t="s">
        <v>19</v>
      </c>
      <c r="Z20" s="37">
        <f>AA20</f>
        <v>516.58954360187874</v>
      </c>
      <c r="AA20" s="38">
        <f t="shared" ref="AA20:AI20" si="16">AB20/(1+$Z17)</f>
        <v>516.58954360187874</v>
      </c>
      <c r="AB20" s="38">
        <f t="shared" si="16"/>
        <v>594.07797514216054</v>
      </c>
      <c r="AC20" s="38">
        <f t="shared" si="16"/>
        <v>683.18967141348458</v>
      </c>
      <c r="AD20" s="38">
        <f t="shared" si="16"/>
        <v>785.66812212550724</v>
      </c>
      <c r="AE20" s="38">
        <f t="shared" si="16"/>
        <v>903.51834044433326</v>
      </c>
      <c r="AF20" s="38">
        <f t="shared" si="16"/>
        <v>1039.0460915109832</v>
      </c>
      <c r="AG20" s="38">
        <f t="shared" si="16"/>
        <v>1194.9030052376306</v>
      </c>
      <c r="AH20" s="38">
        <f t="shared" si="16"/>
        <v>1374.138456023275</v>
      </c>
      <c r="AI20" s="38">
        <f t="shared" si="16"/>
        <v>1580.2592244267662</v>
      </c>
      <c r="AJ20" s="39">
        <f>AJ19*$Z18</f>
        <v>1817.2981080907809</v>
      </c>
      <c r="AL20" s="1" t="s">
        <v>42</v>
      </c>
      <c r="AM20" s="10"/>
      <c r="AN20" s="48">
        <f>$AM12</f>
        <v>346</v>
      </c>
      <c r="AO20" s="49">
        <f t="shared" ref="AO20:AW20" si="17">AN20+AN20*$AM13</f>
        <v>411.39400000000001</v>
      </c>
      <c r="AP20" s="49">
        <f t="shared" si="17"/>
        <v>489.14746600000001</v>
      </c>
      <c r="AQ20" s="49">
        <f t="shared" si="17"/>
        <v>581.59633707399996</v>
      </c>
      <c r="AR20" s="49">
        <f t="shared" si="17"/>
        <v>691.51804478098597</v>
      </c>
      <c r="AS20" s="49">
        <f t="shared" si="17"/>
        <v>822.21495524459237</v>
      </c>
      <c r="AT20" s="49">
        <f t="shared" si="17"/>
        <v>977.61358178582032</v>
      </c>
      <c r="AU20" s="49">
        <f t="shared" si="17"/>
        <v>1162.3825487433403</v>
      </c>
      <c r="AV20" s="49">
        <f t="shared" si="17"/>
        <v>1382.0728504558315</v>
      </c>
      <c r="AW20" s="49">
        <f t="shared" si="17"/>
        <v>1643.2846191919837</v>
      </c>
      <c r="AX20" s="50">
        <f>$AM15*AW20</f>
        <v>24649.269287879753</v>
      </c>
      <c r="AY20" s="51"/>
      <c r="AZ20" s="49"/>
      <c r="BA20" s="10"/>
    </row>
    <row r="21" spans="1:53" x14ac:dyDescent="0.25">
      <c r="A21" t="s">
        <v>28</v>
      </c>
      <c r="E21" s="57">
        <f>L8</f>
        <v>4</v>
      </c>
      <c r="AL21" s="5" t="s">
        <v>43</v>
      </c>
      <c r="AM21" s="7"/>
      <c r="AN21" s="52">
        <f>AN20/(1+$AM14)</f>
        <v>300.86956521739131</v>
      </c>
      <c r="AO21" s="53">
        <f t="shared" ref="AO21:AW21" si="18">(1+$AM13)*AN21/(1+$AM14)</f>
        <v>311.07296786389423</v>
      </c>
      <c r="AP21" s="53">
        <f t="shared" si="18"/>
        <v>321.6223989479742</v>
      </c>
      <c r="AQ21" s="53">
        <f t="shared" si="18"/>
        <v>332.52959334707947</v>
      </c>
      <c r="AR21" s="53">
        <f t="shared" si="18"/>
        <v>343.80668390406743</v>
      </c>
      <c r="AS21" s="53">
        <f t="shared" si="18"/>
        <v>355.4662149234228</v>
      </c>
      <c r="AT21" s="53">
        <f t="shared" si="18"/>
        <v>367.52115612517366</v>
      </c>
      <c r="AU21" s="53">
        <f t="shared" si="18"/>
        <v>379.98491707202743</v>
      </c>
      <c r="AV21" s="53">
        <f t="shared" si="18"/>
        <v>392.87136208577448</v>
      </c>
      <c r="AW21" s="53">
        <f t="shared" si="18"/>
        <v>406.19482566955298</v>
      </c>
      <c r="AX21" s="54">
        <f>AX20/(1+AM14)^AX19</f>
        <v>6092.9223850432909</v>
      </c>
      <c r="AY21" s="53">
        <f>SUM(AN21:AX21)</f>
        <v>9604.8620701996479</v>
      </c>
      <c r="AZ21" s="53">
        <f>AY21+AM16</f>
        <v>9935.1820701996476</v>
      </c>
      <c r="BA21" s="55">
        <f>AZ21/AM17</f>
        <v>522.904319484192</v>
      </c>
    </row>
    <row r="22" spans="1:53" x14ac:dyDescent="0.25">
      <c r="AN22" s="75"/>
      <c r="AO22" s="75"/>
      <c r="AP22" s="75"/>
      <c r="AQ22" s="75"/>
      <c r="AR22" s="75"/>
      <c r="AS22" s="75"/>
      <c r="AT22" s="75"/>
      <c r="AU22" s="75"/>
      <c r="AV22" s="75"/>
      <c r="AW22" s="75"/>
      <c r="AX22" s="75"/>
      <c r="AY22" s="75"/>
      <c r="AZ22" s="75"/>
      <c r="BA22" s="76"/>
    </row>
    <row r="23" spans="1:53" ht="18.75" x14ac:dyDescent="0.3">
      <c r="A23" s="56" t="s">
        <v>30</v>
      </c>
      <c r="AL23" s="1" t="s">
        <v>35</v>
      </c>
      <c r="AM23" s="22">
        <f>AM1</f>
        <v>346</v>
      </c>
      <c r="AN23" s="42"/>
      <c r="AO23" s="42"/>
      <c r="AP23" s="42"/>
      <c r="AQ23" s="42"/>
      <c r="AR23" s="42"/>
      <c r="AS23" s="42"/>
      <c r="AT23" s="42"/>
      <c r="AU23" s="42"/>
      <c r="AV23" s="42"/>
      <c r="AW23" s="42"/>
      <c r="AX23" s="42"/>
      <c r="AY23" s="42"/>
      <c r="AZ23" s="42"/>
      <c r="BA23" s="10"/>
    </row>
    <row r="24" spans="1:53" x14ac:dyDescent="0.25">
      <c r="A24" t="s">
        <v>107</v>
      </c>
      <c r="B24" t="s">
        <v>104</v>
      </c>
      <c r="C24" t="s">
        <v>105</v>
      </c>
      <c r="D24" t="s">
        <v>106</v>
      </c>
      <c r="AL24" s="18" t="s">
        <v>36</v>
      </c>
      <c r="AM24" s="71">
        <f>Z16</f>
        <v>0.254</v>
      </c>
      <c r="BA24" s="17"/>
    </row>
    <row r="25" spans="1:53" x14ac:dyDescent="0.25">
      <c r="A25" s="16">
        <f>B17</f>
        <v>0.13569999999999999</v>
      </c>
      <c r="B25" s="86">
        <v>0.13600000000000001</v>
      </c>
      <c r="C25" s="85">
        <v>0.17699999999999999</v>
      </c>
      <c r="D25" s="86">
        <v>0.254</v>
      </c>
      <c r="AL25" s="18" t="s">
        <v>37</v>
      </c>
      <c r="AM25" s="69">
        <f>AM3</f>
        <v>0.15</v>
      </c>
      <c r="BA25" s="17"/>
    </row>
    <row r="26" spans="1:53" x14ac:dyDescent="0.25">
      <c r="AL26" s="18" t="s">
        <v>38</v>
      </c>
      <c r="AM26" s="69">
        <f>AM4</f>
        <v>15</v>
      </c>
      <c r="BA26" s="17"/>
    </row>
    <row r="27" spans="1:53" ht="30" x14ac:dyDescent="0.25">
      <c r="A27" t="s">
        <v>18</v>
      </c>
      <c r="B27" s="41" t="s">
        <v>20</v>
      </c>
      <c r="C27" s="41" t="s">
        <v>31</v>
      </c>
      <c r="D27" s="41" t="s">
        <v>21</v>
      </c>
      <c r="E27" s="41" t="s">
        <v>22</v>
      </c>
      <c r="F27" t="s">
        <v>126</v>
      </c>
      <c r="AL27" s="18" t="s">
        <v>39</v>
      </c>
      <c r="AM27" s="69">
        <f>AM5</f>
        <v>330.32</v>
      </c>
      <c r="BA27" s="17"/>
    </row>
    <row r="28" spans="1:53" x14ac:dyDescent="0.25">
      <c r="A28" s="16">
        <f>B25</f>
        <v>0.13600000000000001</v>
      </c>
      <c r="B28" s="73">
        <f>Z6</f>
        <v>212.262250841525</v>
      </c>
      <c r="C28" s="63">
        <f>1-$B$6/Table132[[#This Row],[Fair Value
Method 1]]</f>
        <v>0.90045333112115322</v>
      </c>
      <c r="D28" s="66">
        <f>BA10</f>
        <v>380.07409695646481</v>
      </c>
      <c r="E28" s="63">
        <f>1-$B$6/Table132[[#This Row],[Fair Value 
Method 2]]</f>
        <v>0.94440557730925734</v>
      </c>
      <c r="F28" s="63">
        <f>AVERAGE(Table132[[#This Row],[MOS
Method 1]],Table132[[#This Row],[MOS 
Method 2]])</f>
        <v>0.92242945421520528</v>
      </c>
      <c r="AL28" s="5" t="s">
        <v>40</v>
      </c>
      <c r="AM28" s="70">
        <f>AM6</f>
        <v>19</v>
      </c>
      <c r="BA28" s="17"/>
    </row>
    <row r="29" spans="1:53" x14ac:dyDescent="0.25">
      <c r="A29" s="61">
        <f>C25</f>
        <v>0.17699999999999999</v>
      </c>
      <c r="B29" s="73">
        <f>Z13</f>
        <v>319.96647322611744</v>
      </c>
      <c r="C29" s="63">
        <f>1-$B$6/Table132[[#This Row],[Fair Value
Method 1]]</f>
        <v>0.93396183110388686</v>
      </c>
      <c r="D29" s="66">
        <f>BA21</f>
        <v>522.904319484192</v>
      </c>
      <c r="E29" s="63">
        <f>1-$B$6/Table132[[#This Row],[Fair Value 
Method 2]]</f>
        <v>0.95959107773130803</v>
      </c>
      <c r="F29" s="63">
        <f>AVERAGE(Table132[[#This Row],[MOS
Method 1]],Table132[[#This Row],[MOS 
Method 2]])</f>
        <v>0.94677645441759739</v>
      </c>
      <c r="AL29" s="18"/>
      <c r="BA29" s="17"/>
    </row>
    <row r="30" spans="1:53" x14ac:dyDescent="0.25">
      <c r="A30" s="61">
        <f>D25</f>
        <v>0.254</v>
      </c>
      <c r="B30" s="73">
        <f>Z20</f>
        <v>516.58954360187874</v>
      </c>
      <c r="C30" s="63">
        <f>1-$B$6/Table132[[#This Row],[Fair Value
Method 1]]</f>
        <v>0.95909712021526261</v>
      </c>
      <c r="D30" s="66">
        <f>BA32</f>
        <v>776.21050116479</v>
      </c>
      <c r="E30" s="63">
        <f>1-$B$6/Table132[[#This Row],[Fair Value 
Method 2]]</f>
        <v>0.97277800291506999</v>
      </c>
      <c r="F30" s="63">
        <f>AVERAGE(Table132[[#This Row],[MOS
Method 1]],Table132[[#This Row],[MOS 
Method 2]])</f>
        <v>0.9659375615651663</v>
      </c>
      <c r="AL30" s="21"/>
      <c r="AM30" s="24"/>
      <c r="AN30" s="21">
        <v>1</v>
      </c>
      <c r="AO30" s="23">
        <v>2</v>
      </c>
      <c r="AP30" s="23">
        <v>3</v>
      </c>
      <c r="AQ30" s="23">
        <v>4</v>
      </c>
      <c r="AR30" s="23">
        <v>5</v>
      </c>
      <c r="AS30" s="23">
        <v>6</v>
      </c>
      <c r="AT30" s="23">
        <v>7</v>
      </c>
      <c r="AU30" s="23">
        <v>8</v>
      </c>
      <c r="AV30" s="23">
        <v>9</v>
      </c>
      <c r="AW30" s="23">
        <v>10</v>
      </c>
      <c r="AX30" s="24">
        <v>10</v>
      </c>
      <c r="AY30" s="46" t="s">
        <v>41</v>
      </c>
      <c r="AZ30" s="46" t="s">
        <v>62</v>
      </c>
      <c r="BA30" s="47" t="s">
        <v>63</v>
      </c>
    </row>
    <row r="31" spans="1:53" x14ac:dyDescent="0.25">
      <c r="AL31" s="1" t="s">
        <v>42</v>
      </c>
      <c r="AM31" s="10"/>
      <c r="AN31" s="48">
        <f>$AM23</f>
        <v>346</v>
      </c>
      <c r="AO31" s="49">
        <f t="shared" ref="AO31:AW31" si="19">AN31+AN31*$AM24</f>
        <v>433.88400000000001</v>
      </c>
      <c r="AP31" s="49">
        <f t="shared" si="19"/>
        <v>544.09053600000004</v>
      </c>
      <c r="AQ31" s="49">
        <f t="shared" si="19"/>
        <v>682.28953214400008</v>
      </c>
      <c r="AR31" s="49">
        <f t="shared" si="19"/>
        <v>855.59107330857614</v>
      </c>
      <c r="AS31" s="49">
        <f t="shared" si="19"/>
        <v>1072.9112059289546</v>
      </c>
      <c r="AT31" s="49">
        <f t="shared" si="19"/>
        <v>1345.4306522349091</v>
      </c>
      <c r="AU31" s="49">
        <f t="shared" si="19"/>
        <v>1687.170037902576</v>
      </c>
      <c r="AV31" s="49">
        <f t="shared" si="19"/>
        <v>2115.7112275298305</v>
      </c>
      <c r="AW31" s="49">
        <f t="shared" si="19"/>
        <v>2653.1018793224075</v>
      </c>
      <c r="AX31" s="50">
        <f>$AM26*AW31</f>
        <v>39796.528189836114</v>
      </c>
      <c r="AY31" s="51"/>
      <c r="AZ31" s="49"/>
      <c r="BA31" s="10"/>
    </row>
    <row r="32" spans="1:53" ht="18.75" x14ac:dyDescent="0.3">
      <c r="A32" s="56" t="s">
        <v>64</v>
      </c>
      <c r="AL32" s="5" t="s">
        <v>43</v>
      </c>
      <c r="AM32" s="7"/>
      <c r="AN32" s="52">
        <f>AN31/(1+$AM25)</f>
        <v>300.86956521739131</v>
      </c>
      <c r="AO32" s="53">
        <f t="shared" ref="AO32:AW32" si="20">(1+$AM24)*AN32/(1+$AM25)</f>
        <v>328.07863894139888</v>
      </c>
      <c r="AP32" s="53">
        <f t="shared" si="20"/>
        <v>357.74835933262108</v>
      </c>
      <c r="AQ32" s="53">
        <f t="shared" si="20"/>
        <v>390.10125443748427</v>
      </c>
      <c r="AR32" s="53">
        <f t="shared" si="20"/>
        <v>425.37997657791766</v>
      </c>
      <c r="AS32" s="53">
        <f t="shared" si="20"/>
        <v>463.84912228583374</v>
      </c>
      <c r="AT32" s="53">
        <f t="shared" si="20"/>
        <v>505.79721682298742</v>
      </c>
      <c r="AU32" s="53">
        <f t="shared" si="20"/>
        <v>551.53887817045768</v>
      </c>
      <c r="AV32" s="53">
        <f t="shared" si="20"/>
        <v>601.4171767180469</v>
      </c>
      <c r="AW32" s="53">
        <f t="shared" si="20"/>
        <v>655.80620835167906</v>
      </c>
      <c r="AX32" s="54">
        <f>AX31/(1+AM25)^AX30</f>
        <v>9837.0931252751907</v>
      </c>
      <c r="AY32" s="53">
        <f>SUM(AN32:AX32)</f>
        <v>14417.679522131009</v>
      </c>
      <c r="AZ32" s="53">
        <f>AY32+AM27</f>
        <v>14747.999522131009</v>
      </c>
      <c r="BA32" s="55">
        <f>AZ32/AM28</f>
        <v>776.21050116479</v>
      </c>
    </row>
    <row r="33" spans="1:7" x14ac:dyDescent="0.25">
      <c r="A33" s="77" t="s">
        <v>66</v>
      </c>
    </row>
    <row r="36" spans="1:7" x14ac:dyDescent="0.25">
      <c r="D36" s="78"/>
      <c r="E36" s="78"/>
      <c r="G36" s="79"/>
    </row>
    <row r="39" spans="1:7" x14ac:dyDescent="0.25">
      <c r="D39" s="41"/>
    </row>
  </sheetData>
  <mergeCells count="11">
    <mergeCell ref="R1:R2"/>
    <mergeCell ref="M1:M2"/>
    <mergeCell ref="N1:N2"/>
    <mergeCell ref="O1:O2"/>
    <mergeCell ref="P1:P2"/>
    <mergeCell ref="Q1:Q2"/>
    <mergeCell ref="S1:S2"/>
    <mergeCell ref="T1:T2"/>
    <mergeCell ref="U1:U2"/>
    <mergeCell ref="V1:V2"/>
    <mergeCell ref="W1:W2"/>
  </mergeCells>
  <conditionalFormatting sqref="L8">
    <cfRule type="cellIs" dxfId="428" priority="23" operator="greaterThan">
      <formula>3</formula>
    </cfRule>
    <cfRule type="cellIs" dxfId="427" priority="24" operator="lessThan">
      <formula>3</formula>
    </cfRule>
  </conditionalFormatting>
  <conditionalFormatting sqref="I3:K7">
    <cfRule type="cellIs" dxfId="426" priority="20" operator="between">
      <formula>0.05</formula>
      <formula>0.1</formula>
    </cfRule>
    <cfRule type="cellIs" dxfId="425" priority="21" operator="lessThan">
      <formula>0.05</formula>
    </cfRule>
    <cfRule type="cellIs" dxfId="424"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{18E2F008-D47E-4890-BFF8-A3F850CDEDD1}</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{97BD200C-1139-47D3-A465-E588FD23547D}</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{9F99D996-99D0-4FBB-B1BD-D3E25DD13FB1}</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{D6FA0762-612A-4237-8993-4FD820011513}</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{9E8B6078-20AD-47A0-A660-944379149CA1}</x14:id>
        </ext>
      </extLst>
    </cfRule>
  </conditionalFormatting>
  <conditionalFormatting sqref="E21">
    <cfRule type="cellIs" dxfId="423" priority="13" operator="greaterThan">
      <formula>3</formula>
    </cfRule>
    <cfRule type="cellIs" dxfId="422" priority="14" operator="lessThan">
      <formula>3</formula>
    </cfRule>
  </conditionalFormatting>
  <conditionalFormatting sqref="B16:D20">
    <cfRule type="cellIs" dxfId="421" priority="10" operator="between">
      <formula>0.05</formula>
      <formula>0.1</formula>
    </cfRule>
    <cfRule type="cellIs" dxfId="420" priority="11" operator="lessThan">
      <formula>0.05</formula>
    </cfRule>
    <cfRule type="cellIs" dxfId="419" priority="12" operator="greaterThan">
      <formula>0.1</formula>
    </cfRule>
  </conditionalFormatting>
  <conditionalFormatting sqref="C28:C30">
    <cfRule type="cellIs" dxfId="418" priority="7" operator="lessThan">
      <formula>0</formula>
    </cfRule>
    <cfRule type="cellIs" dxfId="417" priority="8" operator="between">
      <formula>0</formula>
      <formula>0.3</formula>
    </cfRule>
    <cfRule type="cellIs" dxfId="416" priority="9" operator="greaterThan">
      <formula>0.3</formula>
    </cfRule>
  </conditionalFormatting>
  <conditionalFormatting sqref="E28:E30">
    <cfRule type="cellIs" dxfId="415" priority="4" operator="lessThan">
      <formula>0</formula>
    </cfRule>
    <cfRule type="cellIs" dxfId="414" priority="5" operator="between">
      <formula>0</formula>
      <formula>0.3</formula>
    </cfRule>
    <cfRule type="cellIs" dxfId="413" priority="6" operator="greaterThan">
      <formula>0.3</formula>
    </cfRule>
  </conditionalFormatting>
  <conditionalFormatting sqref="F28:F30">
    <cfRule type="cellIs" dxfId="412" priority="1" operator="lessThan">
      <formula>0</formula>
    </cfRule>
    <cfRule type="cellIs" dxfId="411" priority="2" operator="between">
      <formula>0</formula>
      <formula>0.3</formula>
    </cfRule>
    <cfRule type="cellIs" dxfId="410" priority="3" operator="greaterThan">
      <formula>0.3</formula>
    </cfRule>
  </conditionalFormatting>
  <hyperlinks>
    <hyperlink ref="B4" r:id="rId1" display="THO" xr:uid="{D24312E2-CAD4-4E7A-92C1-6B235FF475FD}"/>
    <hyperlink ref="A33" r:id="rId2" xr:uid="{2ABF0623-478A-4192-BD3A-26DB176D14E5}"/>
  </hyperlinks>
  <pageMargins left="0.7" right="0.7" top="0.75" bottom="0.75" header="0.3" footer="0.3"/>
  <pageSetup paperSize="9" orientation="portrait" r:id="rId3"/>
  <legacyDrawing r:id="rId4"/>
  <tableParts count="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dataBar" id="{18E2F008-D47E-4890-BFF8-A3F850CDEDD1}">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97BD200C-1139-47D3-A465-E588FD23547D}">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9F99D996-99D0-4FBB-B1BD-D3E25DD13FB1}">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D6FA0762-612A-4237-8993-4FD820011513}">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9E8B6078-20AD-47A0-A660-944379149CA1}">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22B20-9B8F-4037-8621-205E624043F8}">
  <dimension ref="A1:BA39"/>
  <sheetViews>
    <sheetView zoomScaleNormal="100" workbookViewId="0">
      <selection activeCell="E34" sqref="E34"/>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359</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MIN(Table120[Growth rate])</f>
        <v>0.13600000000000001</v>
      </c>
      <c r="AA2" s="8">
        <f>Z2</f>
        <v>0.13600000000000001</v>
      </c>
      <c r="AB2" s="9">
        <f t="shared" ref="AB2:AJ3" si="1">AA2</f>
        <v>0.13600000000000001</v>
      </c>
      <c r="AC2" s="9">
        <f t="shared" si="1"/>
        <v>0.13600000000000001</v>
      </c>
      <c r="AD2" s="9">
        <f t="shared" si="1"/>
        <v>0.13600000000000001</v>
      </c>
      <c r="AE2" s="9">
        <f t="shared" si="1"/>
        <v>0.13600000000000001</v>
      </c>
      <c r="AF2" s="9">
        <f t="shared" si="1"/>
        <v>0.13600000000000001</v>
      </c>
      <c r="AG2" s="9">
        <f t="shared" si="1"/>
        <v>0.13600000000000001</v>
      </c>
      <c r="AH2" s="9">
        <f t="shared" si="1"/>
        <v>0.13600000000000001</v>
      </c>
      <c r="AI2" s="9">
        <f t="shared" si="1"/>
        <v>0.13600000000000001</v>
      </c>
      <c r="AJ2" s="25">
        <f t="shared" si="1"/>
        <v>0.13600000000000001</v>
      </c>
      <c r="AL2" s="18" t="s">
        <v>36</v>
      </c>
      <c r="AM2" s="67">
        <f>Z2</f>
        <v>0.13600000000000001</v>
      </c>
      <c r="BA2" s="17"/>
    </row>
    <row r="3" spans="1:53" x14ac:dyDescent="0.25">
      <c r="A3" t="s">
        <v>49</v>
      </c>
      <c r="B3" s="58" t="s">
        <v>124</v>
      </c>
      <c r="H3" s="2" t="s">
        <v>6</v>
      </c>
      <c r="I3" s="8">
        <f>AVERAGE(M3:W3)</f>
        <v>0.25264545454545451</v>
      </c>
      <c r="J3" s="9">
        <f>AVERAGE(S3:W3)</f>
        <v>0.29537999999999998</v>
      </c>
      <c r="K3" s="9">
        <f>W3</f>
        <v>0.31329999999999997</v>
      </c>
      <c r="L3" s="10" t="s">
        <v>7</v>
      </c>
      <c r="M3" s="11">
        <v>0.1394</v>
      </c>
      <c r="N3" s="12">
        <v>0.1744</v>
      </c>
      <c r="O3" s="12">
        <v>0.21640000000000001</v>
      </c>
      <c r="P3" s="12">
        <v>0.27489999999999998</v>
      </c>
      <c r="Q3" s="12">
        <v>0.2321</v>
      </c>
      <c r="R3" s="12">
        <v>0.26500000000000001</v>
      </c>
      <c r="S3" s="12">
        <v>0.29389999999999999</v>
      </c>
      <c r="T3" s="12">
        <v>0.3014</v>
      </c>
      <c r="U3" s="12">
        <v>0.30790000000000001</v>
      </c>
      <c r="V3" s="12">
        <v>0.26039999999999996</v>
      </c>
      <c r="W3" s="13">
        <v>0.31329999999999997</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54</v>
      </c>
      <c r="H4" s="14" t="s">
        <v>8</v>
      </c>
      <c r="I4" s="15">
        <f>AVERAGE(M4:W4)</f>
        <v>0.1368</v>
      </c>
      <c r="J4" s="16">
        <f>AVERAGE(S4:W4)</f>
        <v>0.18940000000000001</v>
      </c>
      <c r="K4" s="16">
        <f>W4</f>
        <v>0.28999999999999998</v>
      </c>
      <c r="L4" s="17" t="s">
        <v>7</v>
      </c>
      <c r="M4" s="18" t="s">
        <v>7</v>
      </c>
      <c r="N4" s="12">
        <v>0.13500000000000001</v>
      </c>
      <c r="O4" s="12">
        <v>-0.17699999999999999</v>
      </c>
      <c r="P4" s="12">
        <v>0.17100000000000001</v>
      </c>
      <c r="Q4" s="12">
        <v>0.15</v>
      </c>
      <c r="R4" s="12">
        <v>0.14199999999999999</v>
      </c>
      <c r="S4" s="12">
        <v>0.20499999999999999</v>
      </c>
      <c r="T4" s="12">
        <v>0.129</v>
      </c>
      <c r="U4" s="12">
        <v>0.13200000000000001</v>
      </c>
      <c r="V4" s="12">
        <v>0.191</v>
      </c>
      <c r="W4" s="13">
        <v>0.28999999999999998</v>
      </c>
      <c r="Y4" s="5" t="s">
        <v>15</v>
      </c>
      <c r="Z4" s="29">
        <v>45</v>
      </c>
      <c r="AA4" s="30">
        <f t="shared" si="2"/>
        <v>45</v>
      </c>
      <c r="AB4" s="31">
        <f t="shared" si="2"/>
        <v>45</v>
      </c>
      <c r="AC4" s="31">
        <f t="shared" si="2"/>
        <v>45</v>
      </c>
      <c r="AD4" s="31">
        <f t="shared" si="2"/>
        <v>45</v>
      </c>
      <c r="AE4" s="31">
        <f t="shared" si="2"/>
        <v>45</v>
      </c>
      <c r="AF4" s="31">
        <f t="shared" si="2"/>
        <v>45</v>
      </c>
      <c r="AG4" s="31">
        <f t="shared" si="2"/>
        <v>45</v>
      </c>
      <c r="AH4" s="31">
        <f t="shared" si="2"/>
        <v>45</v>
      </c>
      <c r="AI4" s="31">
        <f t="shared" si="2"/>
        <v>45</v>
      </c>
      <c r="AJ4" s="32">
        <f t="shared" si="2"/>
        <v>45</v>
      </c>
      <c r="AL4" s="18" t="s">
        <v>38</v>
      </c>
      <c r="AM4" s="64">
        <v>15</v>
      </c>
      <c r="BA4" s="17"/>
    </row>
    <row r="5" spans="1:53" x14ac:dyDescent="0.25">
      <c r="A5" t="s">
        <v>34</v>
      </c>
      <c r="B5" s="59">
        <v>44568</v>
      </c>
      <c r="H5" s="14" t="s">
        <v>9</v>
      </c>
      <c r="I5" s="15">
        <f>AVERAGE(M5:W5)</f>
        <v>0.26490000000000002</v>
      </c>
      <c r="J5" s="16">
        <f>AVERAGE(S5:W5)</f>
        <v>0.25719999999999998</v>
      </c>
      <c r="K5" s="16">
        <f>W5</f>
        <v>0.45400000000000001</v>
      </c>
      <c r="L5" s="17" t="s">
        <v>7</v>
      </c>
      <c r="M5" s="18" t="s">
        <v>7</v>
      </c>
      <c r="N5" s="12">
        <v>0.5</v>
      </c>
      <c r="O5" s="12">
        <v>0.32500000000000001</v>
      </c>
      <c r="P5" s="12">
        <v>0.26400000000000001</v>
      </c>
      <c r="Q5" s="12">
        <v>-0.02</v>
      </c>
      <c r="R5" s="12">
        <v>0.29399999999999998</v>
      </c>
      <c r="S5" s="12">
        <v>0.31</v>
      </c>
      <c r="T5" s="12">
        <v>0.16500000000000001</v>
      </c>
      <c r="U5" s="12">
        <v>0.17499999999999999</v>
      </c>
      <c r="V5" s="12">
        <v>0.182</v>
      </c>
      <c r="W5" s="13">
        <v>0.45400000000000001</v>
      </c>
      <c r="Y5" s="1" t="s">
        <v>16</v>
      </c>
      <c r="Z5" s="33">
        <v>7.85</v>
      </c>
      <c r="AA5" s="34">
        <f>Z5</f>
        <v>7.85</v>
      </c>
      <c r="AB5" s="35">
        <f t="shared" ref="AB5:AJ5" si="3">AA5*(1+$Z2)</f>
        <v>8.9176000000000002</v>
      </c>
      <c r="AC5" s="35">
        <f t="shared" si="3"/>
        <v>10.130393600000001</v>
      </c>
      <c r="AD5" s="35">
        <f t="shared" si="3"/>
        <v>11.508127129600004</v>
      </c>
      <c r="AE5" s="35">
        <f t="shared" si="3"/>
        <v>13.073232419225606</v>
      </c>
      <c r="AF5" s="35">
        <f t="shared" si="3"/>
        <v>14.851192028240289</v>
      </c>
      <c r="AG5" s="35">
        <f t="shared" si="3"/>
        <v>16.870954144080972</v>
      </c>
      <c r="AH5" s="35">
        <f t="shared" si="3"/>
        <v>19.165403907675987</v>
      </c>
      <c r="AI5" s="35">
        <f t="shared" si="3"/>
        <v>21.771898839119924</v>
      </c>
      <c r="AJ5" s="36">
        <f t="shared" si="3"/>
        <v>24.732877081240236</v>
      </c>
      <c r="AL5" s="18" t="s">
        <v>39</v>
      </c>
      <c r="AM5" s="40">
        <v>460</v>
      </c>
      <c r="BA5" s="17"/>
    </row>
    <row r="6" spans="1:53" x14ac:dyDescent="0.25">
      <c r="A6" t="s">
        <v>44</v>
      </c>
      <c r="B6" s="62">
        <v>335</v>
      </c>
      <c r="H6" s="14" t="s">
        <v>10</v>
      </c>
      <c r="I6" s="15">
        <f>AVERAGE(M6:W6)</f>
        <v>0.17029999999999998</v>
      </c>
      <c r="J6" s="16">
        <f>AVERAGE(S6:W6)</f>
        <v>0.18240000000000001</v>
      </c>
      <c r="K6" s="16">
        <f>W6</f>
        <v>0.34799999999999998</v>
      </c>
      <c r="L6" s="17" t="s">
        <v>7</v>
      </c>
      <c r="M6" s="18" t="s">
        <v>7</v>
      </c>
      <c r="N6" s="12">
        <v>0.17599999999999999</v>
      </c>
      <c r="O6" s="12">
        <v>0.11</v>
      </c>
      <c r="P6" s="12">
        <v>0.251</v>
      </c>
      <c r="Q6" s="12">
        <v>9.7000000000000003E-2</v>
      </c>
      <c r="R6" s="12">
        <v>0.157</v>
      </c>
      <c r="S6" s="12">
        <v>0.21299999999999999</v>
      </c>
      <c r="T6" s="12">
        <v>7.0000000000000007E-2</v>
      </c>
      <c r="U6" s="12">
        <v>0.107</v>
      </c>
      <c r="V6" s="12">
        <v>0.17399999999999999</v>
      </c>
      <c r="W6" s="13">
        <v>0.34799999999999998</v>
      </c>
      <c r="Y6" s="5" t="s">
        <v>19</v>
      </c>
      <c r="Z6" s="37">
        <f>AA6</f>
        <v>316.37822831126056</v>
      </c>
      <c r="AA6" s="38">
        <f t="shared" ref="AA6:AI6" si="4">AB6/(1+$Z3)</f>
        <v>316.37822831126056</v>
      </c>
      <c r="AB6" s="38">
        <f t="shared" si="4"/>
        <v>363.83496255794961</v>
      </c>
      <c r="AC6" s="38">
        <f t="shared" si="4"/>
        <v>418.410206941642</v>
      </c>
      <c r="AD6" s="38">
        <f t="shared" si="4"/>
        <v>481.17173798288826</v>
      </c>
      <c r="AE6" s="38">
        <f t="shared" si="4"/>
        <v>553.34749868032145</v>
      </c>
      <c r="AF6" s="38">
        <f t="shared" si="4"/>
        <v>636.34962348236957</v>
      </c>
      <c r="AG6" s="38">
        <f t="shared" si="4"/>
        <v>731.8020670047249</v>
      </c>
      <c r="AH6" s="38">
        <f t="shared" si="4"/>
        <v>841.57237705543355</v>
      </c>
      <c r="AI6" s="38">
        <f t="shared" si="4"/>
        <v>967.80823361374848</v>
      </c>
      <c r="AJ6" s="39">
        <f>AJ5*$Z4</f>
        <v>1112.9794686558107</v>
      </c>
      <c r="AL6" s="5" t="s">
        <v>40</v>
      </c>
      <c r="AM6" s="45">
        <v>38</v>
      </c>
      <c r="BA6" s="17"/>
    </row>
    <row r="7" spans="1:53" x14ac:dyDescent="0.25">
      <c r="A7" t="s">
        <v>45</v>
      </c>
      <c r="B7" s="58" t="s">
        <v>55</v>
      </c>
      <c r="H7" s="14" t="s">
        <v>11</v>
      </c>
      <c r="I7" s="15">
        <f>AVERAGE(M7:W7)</f>
        <v>0.26880000000000004</v>
      </c>
      <c r="J7" s="16">
        <f>AVERAGE(S7:W7)</f>
        <v>0.39720000000000005</v>
      </c>
      <c r="K7" s="16">
        <f>W7</f>
        <v>0.55400000000000005</v>
      </c>
      <c r="L7" s="17" t="s">
        <v>7</v>
      </c>
      <c r="M7" s="18" t="s">
        <v>7</v>
      </c>
      <c r="N7" s="12">
        <v>1.7999999999999999E-2</v>
      </c>
      <c r="O7" s="12">
        <v>0.224</v>
      </c>
      <c r="P7" s="12">
        <v>-4.2000000000000003E-2</v>
      </c>
      <c r="Q7" s="12">
        <v>0.39700000000000002</v>
      </c>
      <c r="R7" s="12">
        <v>0.105</v>
      </c>
      <c r="S7" s="12">
        <v>-0.41</v>
      </c>
      <c r="T7" s="12">
        <v>1.29</v>
      </c>
      <c r="U7" s="12">
        <v>0.23899999999999999</v>
      </c>
      <c r="V7" s="12">
        <v>0.313</v>
      </c>
      <c r="W7" s="13">
        <v>0.55400000000000005</v>
      </c>
      <c r="AL7" s="18"/>
      <c r="BA7" s="17"/>
    </row>
    <row r="8" spans="1:53" x14ac:dyDescent="0.25">
      <c r="A8" t="s">
        <v>46</v>
      </c>
      <c r="B8" s="58" t="s">
        <v>109</v>
      </c>
      <c r="H8" s="19" t="s">
        <v>12</v>
      </c>
      <c r="I8" s="5" t="s">
        <v>7</v>
      </c>
      <c r="J8" s="6" t="s">
        <v>7</v>
      </c>
      <c r="K8" s="6" t="s">
        <v>7</v>
      </c>
      <c r="L8" s="20">
        <v>1</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47</v>
      </c>
      <c r="B9" s="58" t="s">
        <v>121</v>
      </c>
      <c r="Y9" s="1" t="s">
        <v>13</v>
      </c>
      <c r="Z9" s="65">
        <f>AVERAGE(Table120[Growth rate])</f>
        <v>0.18899999999999997</v>
      </c>
      <c r="AA9" s="8">
        <f>Z9</f>
        <v>0.18899999999999997</v>
      </c>
      <c r="AB9" s="9">
        <f t="shared" ref="AB9:AJ10" si="5">AA9</f>
        <v>0.18899999999999997</v>
      </c>
      <c r="AC9" s="9">
        <f t="shared" si="5"/>
        <v>0.18899999999999997</v>
      </c>
      <c r="AD9" s="9">
        <f t="shared" si="5"/>
        <v>0.18899999999999997</v>
      </c>
      <c r="AE9" s="9">
        <f t="shared" si="5"/>
        <v>0.18899999999999997</v>
      </c>
      <c r="AF9" s="9">
        <f t="shared" si="5"/>
        <v>0.18899999999999997</v>
      </c>
      <c r="AG9" s="9">
        <f t="shared" si="5"/>
        <v>0.18899999999999997</v>
      </c>
      <c r="AH9" s="9">
        <f t="shared" si="5"/>
        <v>0.18899999999999997</v>
      </c>
      <c r="AI9" s="9">
        <f t="shared" si="5"/>
        <v>0.18899999999999997</v>
      </c>
      <c r="AJ9" s="25">
        <f t="shared" si="5"/>
        <v>0.18899999999999997</v>
      </c>
      <c r="AL9" s="1" t="s">
        <v>42</v>
      </c>
      <c r="AM9" s="10"/>
      <c r="AN9" s="48">
        <f>$AM1</f>
        <v>359</v>
      </c>
      <c r="AO9" s="49">
        <f t="shared" ref="AO9:AW9" si="6">AN9+AN9*$AM2</f>
        <v>407.82400000000001</v>
      </c>
      <c r="AP9" s="49">
        <f t="shared" si="6"/>
        <v>463.28806400000002</v>
      </c>
      <c r="AQ9" s="49">
        <f t="shared" si="6"/>
        <v>526.29524070399998</v>
      </c>
      <c r="AR9" s="49">
        <f t="shared" si="6"/>
        <v>597.871393439744</v>
      </c>
      <c r="AS9" s="49">
        <f t="shared" si="6"/>
        <v>679.18190294754913</v>
      </c>
      <c r="AT9" s="49">
        <f t="shared" si="6"/>
        <v>771.55064174841584</v>
      </c>
      <c r="AU9" s="49">
        <f t="shared" si="6"/>
        <v>876.48152902620041</v>
      </c>
      <c r="AV9" s="49">
        <f t="shared" si="6"/>
        <v>995.68301697376364</v>
      </c>
      <c r="AW9" s="49">
        <f t="shared" si="6"/>
        <v>1131.0959072821954</v>
      </c>
      <c r="AX9" s="50">
        <f>$AM4*AW9</f>
        <v>16966.43860923293</v>
      </c>
      <c r="AY9" s="51"/>
      <c r="AZ9" s="49"/>
      <c r="BA9" s="10"/>
    </row>
    <row r="10" spans="1:53" x14ac:dyDescent="0.25">
      <c r="A10" t="s">
        <v>48</v>
      </c>
      <c r="B10" s="58" t="s">
        <v>125</v>
      </c>
      <c r="Y10" s="18" t="s">
        <v>14</v>
      </c>
      <c r="Z10">
        <f>Z3</f>
        <v>0.15</v>
      </c>
      <c r="AA10" s="26">
        <f t="shared" ref="AA10:AJ11" si="7">Z10</f>
        <v>0.15</v>
      </c>
      <c r="AB10" s="27">
        <f t="shared" si="5"/>
        <v>0.15</v>
      </c>
      <c r="AC10" s="27">
        <f t="shared" si="5"/>
        <v>0.15</v>
      </c>
      <c r="AD10" s="27">
        <f t="shared" si="5"/>
        <v>0.15</v>
      </c>
      <c r="AE10" s="27">
        <f t="shared" si="5"/>
        <v>0.15</v>
      </c>
      <c r="AF10" s="27">
        <f t="shared" si="5"/>
        <v>0.15</v>
      </c>
      <c r="AG10" s="27">
        <f t="shared" si="5"/>
        <v>0.15</v>
      </c>
      <c r="AH10" s="27">
        <f t="shared" si="5"/>
        <v>0.15</v>
      </c>
      <c r="AI10" s="27">
        <f t="shared" si="5"/>
        <v>0.15</v>
      </c>
      <c r="AJ10" s="28">
        <f t="shared" si="5"/>
        <v>0.15</v>
      </c>
      <c r="AL10" s="5" t="s">
        <v>43</v>
      </c>
      <c r="AM10" s="7"/>
      <c r="AN10" s="52">
        <f>AN9/(1+$AM3)</f>
        <v>312.17391304347831</v>
      </c>
      <c r="AO10" s="53">
        <f t="shared" ref="AO10:AW10" si="8">(1+$AM2)*AN10/(1+$AM3)</f>
        <v>308.37353497164474</v>
      </c>
      <c r="AP10" s="53">
        <f t="shared" si="8"/>
        <v>304.61942237199003</v>
      </c>
      <c r="AQ10" s="53">
        <f t="shared" si="8"/>
        <v>300.9110120126789</v>
      </c>
      <c r="AR10" s="53">
        <f t="shared" si="8"/>
        <v>297.24774751861156</v>
      </c>
      <c r="AS10" s="53">
        <f t="shared" si="8"/>
        <v>293.62907928795028</v>
      </c>
      <c r="AT10" s="53">
        <f t="shared" si="8"/>
        <v>290.05446440966227</v>
      </c>
      <c r="AU10" s="53">
        <f t="shared" si="8"/>
        <v>286.52336658206644</v>
      </c>
      <c r="AV10" s="53">
        <f t="shared" si="8"/>
        <v>283.03525603237176</v>
      </c>
      <c r="AW10" s="53">
        <f t="shared" si="8"/>
        <v>279.58960943719512</v>
      </c>
      <c r="AX10" s="54">
        <f>AX9/(1+AM3)^AX8</f>
        <v>4193.84414155792</v>
      </c>
      <c r="AY10" s="53">
        <f>SUM(AN10:AX10)</f>
        <v>7150.0015472255691</v>
      </c>
      <c r="AZ10" s="53">
        <f>AY10+AM5</f>
        <v>7610.0015472255691</v>
      </c>
      <c r="BA10" s="55">
        <f>AZ10/AM6</f>
        <v>200.26319861119919</v>
      </c>
    </row>
    <row r="11" spans="1:53" x14ac:dyDescent="0.25">
      <c r="A11" t="s">
        <v>65</v>
      </c>
      <c r="B11" s="59">
        <v>44671</v>
      </c>
      <c r="Y11" s="5" t="s">
        <v>15</v>
      </c>
      <c r="Z11" s="7">
        <f>Z4</f>
        <v>45</v>
      </c>
      <c r="AA11" s="30">
        <f t="shared" si="7"/>
        <v>45</v>
      </c>
      <c r="AB11" s="31">
        <f t="shared" si="7"/>
        <v>45</v>
      </c>
      <c r="AC11" s="31">
        <f t="shared" si="7"/>
        <v>45</v>
      </c>
      <c r="AD11" s="31">
        <f t="shared" si="7"/>
        <v>45</v>
      </c>
      <c r="AE11" s="31">
        <f t="shared" si="7"/>
        <v>45</v>
      </c>
      <c r="AF11" s="31">
        <f t="shared" si="7"/>
        <v>45</v>
      </c>
      <c r="AG11" s="31">
        <f t="shared" si="7"/>
        <v>45</v>
      </c>
      <c r="AH11" s="31">
        <f t="shared" si="7"/>
        <v>45</v>
      </c>
      <c r="AI11" s="31">
        <f t="shared" si="7"/>
        <v>45</v>
      </c>
      <c r="AJ11" s="32">
        <f t="shared" si="7"/>
        <v>45</v>
      </c>
    </row>
    <row r="12" spans="1:53" x14ac:dyDescent="0.25">
      <c r="Y12" s="1" t="s">
        <v>16</v>
      </c>
      <c r="Z12">
        <f>Z5</f>
        <v>7.85</v>
      </c>
      <c r="AA12" s="34">
        <f>Z12</f>
        <v>7.85</v>
      </c>
      <c r="AB12" s="35">
        <f t="shared" ref="AB12:AJ12" si="9">AA12*(1+$Z9)</f>
        <v>9.3336500000000004</v>
      </c>
      <c r="AC12" s="35">
        <f t="shared" si="9"/>
        <v>11.097709850000001</v>
      </c>
      <c r="AD12" s="35">
        <f t="shared" si="9"/>
        <v>13.195177011650001</v>
      </c>
      <c r="AE12" s="35">
        <f t="shared" si="9"/>
        <v>15.689065466851853</v>
      </c>
      <c r="AF12" s="35">
        <f t="shared" si="9"/>
        <v>18.654298840086852</v>
      </c>
      <c r="AG12" s="35">
        <f t="shared" si="9"/>
        <v>22.179961320863267</v>
      </c>
      <c r="AH12" s="35">
        <f t="shared" si="9"/>
        <v>26.371974010506428</v>
      </c>
      <c r="AI12" s="35">
        <f t="shared" si="9"/>
        <v>31.356277098492143</v>
      </c>
      <c r="AJ12" s="36">
        <f t="shared" si="9"/>
        <v>37.282613470107158</v>
      </c>
      <c r="AL12" s="1" t="s">
        <v>35</v>
      </c>
      <c r="AM12" s="72">
        <f>AM1</f>
        <v>359</v>
      </c>
      <c r="AN12" s="42"/>
      <c r="AO12" s="42"/>
      <c r="AP12" s="42"/>
      <c r="AQ12" s="42"/>
      <c r="AR12" s="42"/>
      <c r="AS12" s="42"/>
      <c r="AT12" s="42"/>
      <c r="AU12" s="42"/>
      <c r="AV12" s="42"/>
      <c r="AW12" s="42"/>
      <c r="AX12" s="42"/>
      <c r="AY12" s="42"/>
      <c r="AZ12" s="42"/>
      <c r="BA12" s="10"/>
    </row>
    <row r="13" spans="1:53" ht="18.75" x14ac:dyDescent="0.3">
      <c r="A13" s="56" t="s">
        <v>29</v>
      </c>
      <c r="Y13" s="5" t="s">
        <v>19</v>
      </c>
      <c r="Z13" s="37">
        <f>AA13</f>
        <v>476.91205344778899</v>
      </c>
      <c r="AA13" s="38">
        <f t="shared" ref="AA13:AI13" si="10">AB13/(1+$Z10)</f>
        <v>476.91205344778899</v>
      </c>
      <c r="AB13" s="38">
        <f t="shared" si="10"/>
        <v>548.4488614649573</v>
      </c>
      <c r="AC13" s="38">
        <f t="shared" si="10"/>
        <v>630.71619068470079</v>
      </c>
      <c r="AD13" s="38">
        <f t="shared" si="10"/>
        <v>725.32361928740579</v>
      </c>
      <c r="AE13" s="38">
        <f t="shared" si="10"/>
        <v>834.12216218051663</v>
      </c>
      <c r="AF13" s="38">
        <f t="shared" si="10"/>
        <v>959.24048650759403</v>
      </c>
      <c r="AG13" s="38">
        <f t="shared" si="10"/>
        <v>1103.126559483733</v>
      </c>
      <c r="AH13" s="38">
        <f t="shared" si="10"/>
        <v>1268.5955434062928</v>
      </c>
      <c r="AI13" s="38">
        <f t="shared" si="10"/>
        <v>1458.8848749172366</v>
      </c>
      <c r="AJ13" s="39">
        <f>AJ12*$Z11</f>
        <v>1677.7176061548221</v>
      </c>
      <c r="AL13" s="18" t="s">
        <v>36</v>
      </c>
      <c r="AM13" s="68">
        <f>Z9</f>
        <v>0.18899999999999997</v>
      </c>
      <c r="BA13" s="17"/>
    </row>
    <row r="14" spans="1:53" x14ac:dyDescent="0.25">
      <c r="A14" s="43" t="s">
        <v>32</v>
      </c>
      <c r="B14" s="18" t="s">
        <v>0</v>
      </c>
      <c r="C14" t="s">
        <v>1</v>
      </c>
      <c r="D14" t="s">
        <v>2</v>
      </c>
      <c r="E14" t="s">
        <v>3</v>
      </c>
      <c r="AL14" s="18" t="s">
        <v>37</v>
      </c>
      <c r="AM14" s="69">
        <f>AM3</f>
        <v>0.15</v>
      </c>
      <c r="BA14" s="17"/>
    </row>
    <row r="15" spans="1:53" x14ac:dyDescent="0.25">
      <c r="A15" t="s">
        <v>52</v>
      </c>
      <c r="B15" t="s">
        <v>4</v>
      </c>
      <c r="C15" t="s">
        <v>4</v>
      </c>
      <c r="D15" t="s">
        <v>4</v>
      </c>
      <c r="E15" t="s">
        <v>5</v>
      </c>
      <c r="Y15" s="21" t="s">
        <v>61</v>
      </c>
      <c r="Z15" s="22"/>
      <c r="AA15" s="21">
        <v>2021</v>
      </c>
      <c r="AB15" s="23">
        <v>2022</v>
      </c>
      <c r="AC15" s="23">
        <v>2023</v>
      </c>
      <c r="AD15" s="23">
        <v>2024</v>
      </c>
      <c r="AE15" s="23">
        <v>2025</v>
      </c>
      <c r="AF15" s="23">
        <v>2026</v>
      </c>
      <c r="AG15" s="23">
        <v>2027</v>
      </c>
      <c r="AH15" s="23">
        <v>2028</v>
      </c>
      <c r="AI15" s="23">
        <v>2029</v>
      </c>
      <c r="AJ15" s="24">
        <v>2030</v>
      </c>
      <c r="AL15" s="18" t="s">
        <v>38</v>
      </c>
      <c r="AM15" s="69">
        <f t="shared" ref="AM15:AM17" si="11">AM4</f>
        <v>15</v>
      </c>
      <c r="BA15" s="17"/>
    </row>
    <row r="16" spans="1:53" x14ac:dyDescent="0.25">
      <c r="A16" t="s">
        <v>23</v>
      </c>
      <c r="B16" s="16">
        <f t="shared" ref="B16:D20" si="12">I3</f>
        <v>0.25264545454545451</v>
      </c>
      <c r="C16" s="16">
        <f t="shared" si="12"/>
        <v>0.29537999999999998</v>
      </c>
      <c r="D16" s="16">
        <f t="shared" si="12"/>
        <v>0.31329999999999997</v>
      </c>
      <c r="Y16" s="1" t="s">
        <v>13</v>
      </c>
      <c r="Z16" s="60">
        <f>MAX(Table120[Growth rate])</f>
        <v>0.254</v>
      </c>
      <c r="AA16" s="8">
        <f>Z16</f>
        <v>0.254</v>
      </c>
      <c r="AB16" s="9">
        <f t="shared" ref="AB16:AJ17" si="13">AA16</f>
        <v>0.254</v>
      </c>
      <c r="AC16" s="9">
        <f t="shared" si="13"/>
        <v>0.254</v>
      </c>
      <c r="AD16" s="9">
        <f t="shared" si="13"/>
        <v>0.254</v>
      </c>
      <c r="AE16" s="9">
        <f t="shared" si="13"/>
        <v>0.254</v>
      </c>
      <c r="AF16" s="9">
        <f t="shared" si="13"/>
        <v>0.254</v>
      </c>
      <c r="AG16" s="9">
        <f t="shared" si="13"/>
        <v>0.254</v>
      </c>
      <c r="AH16" s="9">
        <f t="shared" si="13"/>
        <v>0.254</v>
      </c>
      <c r="AI16" s="9">
        <f t="shared" si="13"/>
        <v>0.254</v>
      </c>
      <c r="AJ16" s="25">
        <f t="shared" si="13"/>
        <v>0.254</v>
      </c>
      <c r="AL16" s="18" t="s">
        <v>39</v>
      </c>
      <c r="AM16" s="69">
        <f t="shared" si="11"/>
        <v>460</v>
      </c>
      <c r="BA16" s="17"/>
    </row>
    <row r="17" spans="1:53" x14ac:dyDescent="0.25">
      <c r="A17" t="s">
        <v>24</v>
      </c>
      <c r="B17" s="16">
        <f t="shared" si="12"/>
        <v>0.1368</v>
      </c>
      <c r="C17" s="16">
        <f t="shared" si="12"/>
        <v>0.18940000000000001</v>
      </c>
      <c r="D17" s="16">
        <f t="shared" si="12"/>
        <v>0.28999999999999998</v>
      </c>
      <c r="Y17" s="18" t="s">
        <v>14</v>
      </c>
      <c r="Z17">
        <f>Z3</f>
        <v>0.15</v>
      </c>
      <c r="AA17" s="26">
        <f t="shared" ref="AA17:AJ18" si="14">Z17</f>
        <v>0.15</v>
      </c>
      <c r="AB17" s="27">
        <f t="shared" si="13"/>
        <v>0.15</v>
      </c>
      <c r="AC17" s="27">
        <f t="shared" si="13"/>
        <v>0.15</v>
      </c>
      <c r="AD17" s="27">
        <f t="shared" si="13"/>
        <v>0.15</v>
      </c>
      <c r="AE17" s="27">
        <f t="shared" si="13"/>
        <v>0.15</v>
      </c>
      <c r="AF17" s="27">
        <f t="shared" si="13"/>
        <v>0.15</v>
      </c>
      <c r="AG17" s="27">
        <f t="shared" si="13"/>
        <v>0.15</v>
      </c>
      <c r="AH17" s="27">
        <f t="shared" si="13"/>
        <v>0.15</v>
      </c>
      <c r="AI17" s="27">
        <f t="shared" si="13"/>
        <v>0.15</v>
      </c>
      <c r="AJ17" s="28">
        <f t="shared" si="13"/>
        <v>0.15</v>
      </c>
      <c r="AL17" s="5" t="s">
        <v>40</v>
      </c>
      <c r="AM17" s="70">
        <f t="shared" si="11"/>
        <v>38</v>
      </c>
      <c r="BA17" s="17"/>
    </row>
    <row r="18" spans="1:53" x14ac:dyDescent="0.25">
      <c r="A18" t="s">
        <v>25</v>
      </c>
      <c r="B18" s="16">
        <f t="shared" si="12"/>
        <v>0.26490000000000002</v>
      </c>
      <c r="C18" s="16">
        <f t="shared" si="12"/>
        <v>0.25719999999999998</v>
      </c>
      <c r="D18" s="16">
        <f t="shared" si="12"/>
        <v>0.45400000000000001</v>
      </c>
      <c r="Y18" s="5" t="s">
        <v>15</v>
      </c>
      <c r="Z18" s="7">
        <f>Z4</f>
        <v>45</v>
      </c>
      <c r="AA18" s="30">
        <f t="shared" si="14"/>
        <v>45</v>
      </c>
      <c r="AB18" s="31">
        <f t="shared" si="14"/>
        <v>45</v>
      </c>
      <c r="AC18" s="31">
        <f t="shared" si="14"/>
        <v>45</v>
      </c>
      <c r="AD18" s="31">
        <f t="shared" si="14"/>
        <v>45</v>
      </c>
      <c r="AE18" s="31">
        <f t="shared" si="14"/>
        <v>45</v>
      </c>
      <c r="AF18" s="31">
        <f t="shared" si="14"/>
        <v>45</v>
      </c>
      <c r="AG18" s="31">
        <f t="shared" si="14"/>
        <v>45</v>
      </c>
      <c r="AH18" s="31">
        <f t="shared" si="14"/>
        <v>45</v>
      </c>
      <c r="AI18" s="31">
        <f t="shared" si="14"/>
        <v>45</v>
      </c>
      <c r="AJ18" s="32">
        <f t="shared" si="14"/>
        <v>45</v>
      </c>
      <c r="AL18" s="18"/>
      <c r="BA18" s="17"/>
    </row>
    <row r="19" spans="1:53" x14ac:dyDescent="0.25">
      <c r="A19" t="s">
        <v>26</v>
      </c>
      <c r="B19" s="16">
        <f t="shared" si="12"/>
        <v>0.17029999999999998</v>
      </c>
      <c r="C19" s="16">
        <f t="shared" si="12"/>
        <v>0.18240000000000001</v>
      </c>
      <c r="D19" s="16">
        <f t="shared" si="12"/>
        <v>0.34799999999999998</v>
      </c>
      <c r="Y19" s="1" t="s">
        <v>16</v>
      </c>
      <c r="Z19">
        <f>Z5</f>
        <v>7.85</v>
      </c>
      <c r="AA19" s="34">
        <f>Z19</f>
        <v>7.85</v>
      </c>
      <c r="AB19" s="35">
        <f t="shared" ref="AB19:AJ19" si="15">AA19*(1+$Z16)</f>
        <v>9.8438999999999997</v>
      </c>
      <c r="AC19" s="35">
        <f t="shared" si="15"/>
        <v>12.344250599999999</v>
      </c>
      <c r="AD19" s="35">
        <f t="shared" si="15"/>
        <v>15.479690252399999</v>
      </c>
      <c r="AE19" s="35">
        <f t="shared" si="15"/>
        <v>19.411531576509599</v>
      </c>
      <c r="AF19" s="35">
        <f t="shared" si="15"/>
        <v>24.342060596943039</v>
      </c>
      <c r="AG19" s="35">
        <f t="shared" si="15"/>
        <v>30.524943988566569</v>
      </c>
      <c r="AH19" s="35">
        <f t="shared" si="15"/>
        <v>38.278279761662475</v>
      </c>
      <c r="AI19" s="35">
        <f t="shared" si="15"/>
        <v>48.000962821124745</v>
      </c>
      <c r="AJ19" s="36">
        <f t="shared" si="15"/>
        <v>60.193207377690428</v>
      </c>
      <c r="AL19" s="21"/>
      <c r="AM19" s="24"/>
      <c r="AN19" s="21">
        <v>1</v>
      </c>
      <c r="AO19" s="23">
        <v>2</v>
      </c>
      <c r="AP19" s="23">
        <v>3</v>
      </c>
      <c r="AQ19" s="23">
        <v>4</v>
      </c>
      <c r="AR19" s="23">
        <v>5</v>
      </c>
      <c r="AS19" s="23">
        <v>6</v>
      </c>
      <c r="AT19" s="23">
        <v>7</v>
      </c>
      <c r="AU19" s="23">
        <v>8</v>
      </c>
      <c r="AV19" s="23">
        <v>9</v>
      </c>
      <c r="AW19" s="23">
        <v>10</v>
      </c>
      <c r="AX19" s="24">
        <v>10</v>
      </c>
      <c r="AY19" s="46" t="s">
        <v>41</v>
      </c>
      <c r="AZ19" s="46" t="s">
        <v>62</v>
      </c>
      <c r="BA19" s="47" t="s">
        <v>63</v>
      </c>
    </row>
    <row r="20" spans="1:53" x14ac:dyDescent="0.25">
      <c r="A20" t="s">
        <v>27</v>
      </c>
      <c r="B20" s="16">
        <f t="shared" si="12"/>
        <v>0.26880000000000004</v>
      </c>
      <c r="C20" s="16">
        <f t="shared" si="12"/>
        <v>0.39720000000000005</v>
      </c>
      <c r="D20" s="16">
        <f t="shared" si="12"/>
        <v>0.55400000000000005</v>
      </c>
      <c r="Y20" s="5" t="s">
        <v>19</v>
      </c>
      <c r="Z20" s="37">
        <f>AA20</f>
        <v>769.97998429267363</v>
      </c>
      <c r="AA20" s="38">
        <f t="shared" ref="AA20:AI20" si="16">AB20/(1+$Z17)</f>
        <v>769.97998429267363</v>
      </c>
      <c r="AB20" s="38">
        <f t="shared" si="16"/>
        <v>885.47698193657459</v>
      </c>
      <c r="AC20" s="38">
        <f t="shared" si="16"/>
        <v>1018.2985292270607</v>
      </c>
      <c r="AD20" s="38">
        <f t="shared" si="16"/>
        <v>1171.0433086111198</v>
      </c>
      <c r="AE20" s="38">
        <f t="shared" si="16"/>
        <v>1346.6998049027877</v>
      </c>
      <c r="AF20" s="38">
        <f t="shared" si="16"/>
        <v>1548.7047756382058</v>
      </c>
      <c r="AG20" s="38">
        <f t="shared" si="16"/>
        <v>1781.0104919839366</v>
      </c>
      <c r="AH20" s="38">
        <f t="shared" si="16"/>
        <v>2048.162065781527</v>
      </c>
      <c r="AI20" s="38">
        <f t="shared" si="16"/>
        <v>2355.3863756487558</v>
      </c>
      <c r="AJ20" s="39">
        <f>AJ19*$Z18</f>
        <v>2708.6943319960692</v>
      </c>
      <c r="AL20" s="1" t="s">
        <v>42</v>
      </c>
      <c r="AM20" s="10"/>
      <c r="AN20" s="48">
        <f>$AM12</f>
        <v>359</v>
      </c>
      <c r="AO20" s="49">
        <f t="shared" ref="AO20:AW20" si="17">AN20+AN20*$AM13</f>
        <v>426.851</v>
      </c>
      <c r="AP20" s="49">
        <f t="shared" si="17"/>
        <v>507.52583900000002</v>
      </c>
      <c r="AQ20" s="49">
        <f t="shared" si="17"/>
        <v>603.44822257099997</v>
      </c>
      <c r="AR20" s="49">
        <f t="shared" si="17"/>
        <v>717.49993663691896</v>
      </c>
      <c r="AS20" s="49">
        <f t="shared" si="17"/>
        <v>853.10742466129659</v>
      </c>
      <c r="AT20" s="49">
        <f t="shared" si="17"/>
        <v>1014.3447279222817</v>
      </c>
      <c r="AU20" s="49">
        <f t="shared" si="17"/>
        <v>1206.0558814995929</v>
      </c>
      <c r="AV20" s="49">
        <f t="shared" si="17"/>
        <v>1434.0004431030161</v>
      </c>
      <c r="AW20" s="49">
        <f t="shared" si="17"/>
        <v>1705.0265268494861</v>
      </c>
      <c r="AX20" s="50">
        <f>$AM15*AW20</f>
        <v>25575.39790274229</v>
      </c>
      <c r="AY20" s="51"/>
      <c r="AZ20" s="49"/>
      <c r="BA20" s="10"/>
    </row>
    <row r="21" spans="1:53" x14ac:dyDescent="0.25">
      <c r="A21" t="s">
        <v>28</v>
      </c>
      <c r="E21" s="57">
        <f>L8</f>
        <v>1</v>
      </c>
      <c r="AL21" s="5" t="s">
        <v>43</v>
      </c>
      <c r="AM21" s="7"/>
      <c r="AN21" s="52">
        <f>AN20/(1+$AM14)</f>
        <v>312.17391304347831</v>
      </c>
      <c r="AO21" s="53">
        <f t="shared" ref="AO21:AW21" si="18">(1+$AM13)*AN21/(1+$AM14)</f>
        <v>322.76068052930066</v>
      </c>
      <c r="AP21" s="53">
        <f t="shared" si="18"/>
        <v>333.70647752116395</v>
      </c>
      <c r="AQ21" s="53">
        <f t="shared" si="18"/>
        <v>345.0234798023165</v>
      </c>
      <c r="AR21" s="53">
        <f t="shared" si="18"/>
        <v>356.72427607387334</v>
      </c>
      <c r="AS21" s="53">
        <f t="shared" si="18"/>
        <v>368.82188195811779</v>
      </c>
      <c r="AT21" s="53">
        <f t="shared" si="18"/>
        <v>381.32975447669747</v>
      </c>
      <c r="AU21" s="53">
        <f t="shared" si="18"/>
        <v>394.26180701982031</v>
      </c>
      <c r="AV21" s="53">
        <f t="shared" si="18"/>
        <v>407.63242482310119</v>
      </c>
      <c r="AW21" s="53">
        <f t="shared" si="18"/>
        <v>421.45648096927596</v>
      </c>
      <c r="AX21" s="54">
        <f>AX20/(1+AM14)^AX19</f>
        <v>6321.8472145391379</v>
      </c>
      <c r="AY21" s="53">
        <f>SUM(AN21:AX21)</f>
        <v>9965.7383907562835</v>
      </c>
      <c r="AZ21" s="53">
        <f>AY21+AM16</f>
        <v>10425.738390756283</v>
      </c>
      <c r="BA21" s="55">
        <f>AZ21/AM17</f>
        <v>274.36153659884957</v>
      </c>
    </row>
    <row r="22" spans="1:53" x14ac:dyDescent="0.25">
      <c r="AN22" s="75"/>
      <c r="AO22" s="75"/>
      <c r="AP22" s="75"/>
      <c r="AQ22" s="75"/>
      <c r="AR22" s="75"/>
      <c r="AS22" s="75"/>
      <c r="AT22" s="75"/>
      <c r="AU22" s="75"/>
      <c r="AV22" s="75"/>
      <c r="AW22" s="75"/>
      <c r="AX22" s="75"/>
      <c r="AY22" s="75"/>
      <c r="AZ22" s="75"/>
      <c r="BA22" s="76"/>
    </row>
    <row r="23" spans="1:53" ht="18.75" x14ac:dyDescent="0.3">
      <c r="A23" s="56" t="s">
        <v>30</v>
      </c>
      <c r="AL23" s="1" t="s">
        <v>35</v>
      </c>
      <c r="AM23" s="22">
        <f>AM1</f>
        <v>359</v>
      </c>
      <c r="AN23" s="42"/>
      <c r="AO23" s="42"/>
      <c r="AP23" s="42"/>
      <c r="AQ23" s="42"/>
      <c r="AR23" s="42"/>
      <c r="AS23" s="42"/>
      <c r="AT23" s="42"/>
      <c r="AU23" s="42"/>
      <c r="AV23" s="42"/>
      <c r="AW23" s="42"/>
      <c r="AX23" s="42"/>
      <c r="AY23" s="42"/>
      <c r="AZ23" s="42"/>
      <c r="BA23" s="10"/>
    </row>
    <row r="24" spans="1:53" x14ac:dyDescent="0.25">
      <c r="A24" t="s">
        <v>107</v>
      </c>
      <c r="B24" t="s">
        <v>104</v>
      </c>
      <c r="C24" t="s">
        <v>105</v>
      </c>
      <c r="D24" t="s">
        <v>106</v>
      </c>
      <c r="AL24" s="18" t="s">
        <v>36</v>
      </c>
      <c r="AM24" s="71">
        <f>Z16</f>
        <v>0.254</v>
      </c>
      <c r="BA24" s="17"/>
    </row>
    <row r="25" spans="1:53" x14ac:dyDescent="0.25">
      <c r="A25" s="16">
        <f>B17</f>
        <v>0.1368</v>
      </c>
      <c r="B25" s="86">
        <v>0.13600000000000001</v>
      </c>
      <c r="C25" s="85">
        <v>0.17699999999999999</v>
      </c>
      <c r="D25" s="86">
        <v>0.254</v>
      </c>
      <c r="AL25" s="18" t="s">
        <v>37</v>
      </c>
      <c r="AM25" s="69">
        <f>AM3</f>
        <v>0.15</v>
      </c>
      <c r="BA25" s="17"/>
    </row>
    <row r="26" spans="1:53" x14ac:dyDescent="0.25">
      <c r="AL26" s="18" t="s">
        <v>38</v>
      </c>
      <c r="AM26" s="69">
        <f>AM4</f>
        <v>15</v>
      </c>
      <c r="BA26" s="17"/>
    </row>
    <row r="27" spans="1:53" ht="30" x14ac:dyDescent="0.25">
      <c r="A27" t="s">
        <v>18</v>
      </c>
      <c r="B27" s="41" t="s">
        <v>20</v>
      </c>
      <c r="C27" s="41" t="s">
        <v>31</v>
      </c>
      <c r="D27" s="41" t="s">
        <v>21</v>
      </c>
      <c r="E27" s="41" t="s">
        <v>22</v>
      </c>
      <c r="F27" t="s">
        <v>126</v>
      </c>
      <c r="AL27" s="18" t="s">
        <v>39</v>
      </c>
      <c r="AM27" s="69">
        <f>AM5</f>
        <v>460</v>
      </c>
      <c r="BA27" s="17"/>
    </row>
    <row r="28" spans="1:53" x14ac:dyDescent="0.25">
      <c r="A28" s="16">
        <f>B25</f>
        <v>0.13600000000000001</v>
      </c>
      <c r="B28" s="73">
        <f>Z6</f>
        <v>316.37822831126056</v>
      </c>
      <c r="C28" s="63">
        <f>1-$B$6/Table120[[#This Row],[Fair Value
Method 1]]</f>
        <v>-5.8859207184190021E-2</v>
      </c>
      <c r="D28" s="66">
        <f>BA10</f>
        <v>200.26319861119919</v>
      </c>
      <c r="E28" s="63">
        <f>1-$B$6/Table120[[#This Row],[Fair Value 
Method 2]]</f>
        <v>-0.67279860864694108</v>
      </c>
      <c r="F28" s="63">
        <f>AVERAGE(Table120[[#This Row],[MOS
Method 1]],Table120[[#This Row],[MOS 
Method 2]])</f>
        <v>-0.36582890791556555</v>
      </c>
      <c r="AL28" s="5" t="s">
        <v>40</v>
      </c>
      <c r="AM28" s="70">
        <f>AM6</f>
        <v>38</v>
      </c>
      <c r="BA28" s="17"/>
    </row>
    <row r="29" spans="1:53" x14ac:dyDescent="0.25">
      <c r="A29" s="61">
        <f>C25</f>
        <v>0.17699999999999999</v>
      </c>
      <c r="B29" s="73">
        <f>Z13</f>
        <v>476.91205344778899</v>
      </c>
      <c r="C29" s="63">
        <f>1-$B$6/Table120[[#This Row],[Fair Value
Method 1]]</f>
        <v>0.29756440924872773</v>
      </c>
      <c r="D29" s="66">
        <f>BA21</f>
        <v>274.36153659884957</v>
      </c>
      <c r="E29" s="63">
        <f>1-$B$6/Table120[[#This Row],[Fair Value 
Method 2]]</f>
        <v>-0.22101663430253837</v>
      </c>
      <c r="F29" s="63">
        <f>AVERAGE(Table120[[#This Row],[MOS
Method 1]],Table120[[#This Row],[MOS 
Method 2]])</f>
        <v>3.8273887473094681E-2</v>
      </c>
      <c r="AL29" s="18"/>
      <c r="BA29" s="17"/>
    </row>
    <row r="30" spans="1:53" x14ac:dyDescent="0.25">
      <c r="A30" s="61">
        <f>D25</f>
        <v>0.254</v>
      </c>
      <c r="B30" s="73">
        <f>Z20</f>
        <v>769.97998429267363</v>
      </c>
      <c r="C30" s="63">
        <f>1-$B$6/Table120[[#This Row],[Fair Value
Method 1]]</f>
        <v>0.5649237553782116</v>
      </c>
      <c r="D30" s="66">
        <f>BA32</f>
        <v>405.77326958054692</v>
      </c>
      <c r="E30" s="63">
        <f>1-$B$6/Table120[[#This Row],[Fair Value 
Method 2]]</f>
        <v>0.17441580036483473</v>
      </c>
      <c r="F30" s="63">
        <f>AVERAGE(Table120[[#This Row],[MOS
Method 1]],Table120[[#This Row],[MOS 
Method 2]])</f>
        <v>0.36966977787152316</v>
      </c>
      <c r="AL30" s="21"/>
      <c r="AM30" s="24"/>
      <c r="AN30" s="21">
        <v>1</v>
      </c>
      <c r="AO30" s="23">
        <v>2</v>
      </c>
      <c r="AP30" s="23">
        <v>3</v>
      </c>
      <c r="AQ30" s="23">
        <v>4</v>
      </c>
      <c r="AR30" s="23">
        <v>5</v>
      </c>
      <c r="AS30" s="23">
        <v>6</v>
      </c>
      <c r="AT30" s="23">
        <v>7</v>
      </c>
      <c r="AU30" s="23">
        <v>8</v>
      </c>
      <c r="AV30" s="23">
        <v>9</v>
      </c>
      <c r="AW30" s="23">
        <v>10</v>
      </c>
      <c r="AX30" s="24">
        <v>10</v>
      </c>
      <c r="AY30" s="46" t="s">
        <v>41</v>
      </c>
      <c r="AZ30" s="46" t="s">
        <v>62</v>
      </c>
      <c r="BA30" s="47" t="s">
        <v>63</v>
      </c>
    </row>
    <row r="31" spans="1:53" x14ac:dyDescent="0.25">
      <c r="AL31" s="1" t="s">
        <v>42</v>
      </c>
      <c r="AM31" s="10"/>
      <c r="AN31" s="48">
        <f>$AM23</f>
        <v>359</v>
      </c>
      <c r="AO31" s="49">
        <f t="shared" ref="AO31:AW31" si="19">AN31+AN31*$AM24</f>
        <v>450.18600000000004</v>
      </c>
      <c r="AP31" s="49">
        <f t="shared" si="19"/>
        <v>564.53324400000008</v>
      </c>
      <c r="AQ31" s="49">
        <f t="shared" si="19"/>
        <v>707.92468797600009</v>
      </c>
      <c r="AR31" s="49">
        <f t="shared" si="19"/>
        <v>887.73755872190418</v>
      </c>
      <c r="AS31" s="49">
        <f t="shared" si="19"/>
        <v>1113.2228986372679</v>
      </c>
      <c r="AT31" s="49">
        <f t="shared" si="19"/>
        <v>1395.9815148911339</v>
      </c>
      <c r="AU31" s="49">
        <f t="shared" si="19"/>
        <v>1750.560819673482</v>
      </c>
      <c r="AV31" s="49">
        <f t="shared" si="19"/>
        <v>2195.2032678705464</v>
      </c>
      <c r="AW31" s="49">
        <f t="shared" si="19"/>
        <v>2752.7848979096652</v>
      </c>
      <c r="AX31" s="50">
        <f>$AM26*AW31</f>
        <v>41291.773468644977</v>
      </c>
      <c r="AY31" s="51"/>
      <c r="AZ31" s="49"/>
      <c r="BA31" s="10"/>
    </row>
    <row r="32" spans="1:53" ht="18.75" x14ac:dyDescent="0.3">
      <c r="A32" s="56" t="s">
        <v>64</v>
      </c>
      <c r="AL32" s="5" t="s">
        <v>43</v>
      </c>
      <c r="AM32" s="7"/>
      <c r="AN32" s="52">
        <f>AN31/(1+$AM25)</f>
        <v>312.17391304347831</v>
      </c>
      <c r="AO32" s="53">
        <f t="shared" ref="AO32:AW32" si="20">(1+$AM24)*AN32/(1+$AM25)</f>
        <v>340.40529300567113</v>
      </c>
      <c r="AP32" s="53">
        <f t="shared" si="20"/>
        <v>371.18977167748841</v>
      </c>
      <c r="AQ32" s="53">
        <f t="shared" si="20"/>
        <v>404.75823798571349</v>
      </c>
      <c r="AR32" s="53">
        <f t="shared" si="20"/>
        <v>441.36246124703018</v>
      </c>
      <c r="AS32" s="53">
        <f t="shared" si="20"/>
        <v>481.27697948154423</v>
      </c>
      <c r="AT32" s="53">
        <f t="shared" si="20"/>
        <v>524.80115849552737</v>
      </c>
      <c r="AU32" s="53">
        <f t="shared" si="20"/>
        <v>572.26143717686205</v>
      </c>
      <c r="AV32" s="53">
        <f t="shared" si="20"/>
        <v>624.01377584329134</v>
      </c>
      <c r="AW32" s="53">
        <f t="shared" si="20"/>
        <v>680.44632600651084</v>
      </c>
      <c r="AX32" s="54">
        <f>AX31/(1+AM25)^AX30</f>
        <v>10206.694890097666</v>
      </c>
      <c r="AY32" s="53">
        <f>SUM(AN32:AX32)</f>
        <v>14959.384244060784</v>
      </c>
      <c r="AZ32" s="53">
        <f>AY32+AM27</f>
        <v>15419.384244060784</v>
      </c>
      <c r="BA32" s="55">
        <f>AZ32/AM28</f>
        <v>405.77326958054692</v>
      </c>
    </row>
    <row r="33" spans="1:7" x14ac:dyDescent="0.25">
      <c r="A33" s="77" t="s">
        <v>66</v>
      </c>
    </row>
    <row r="36" spans="1:7" x14ac:dyDescent="0.25">
      <c r="D36" s="78"/>
      <c r="E36" s="78"/>
      <c r="G36" s="79"/>
    </row>
    <row r="39" spans="1:7" x14ac:dyDescent="0.25">
      <c r="D39" s="41"/>
    </row>
  </sheetData>
  <mergeCells count="11">
    <mergeCell ref="R1:R2"/>
    <mergeCell ref="M1:M2"/>
    <mergeCell ref="N1:N2"/>
    <mergeCell ref="O1:O2"/>
    <mergeCell ref="P1:P2"/>
    <mergeCell ref="Q1:Q2"/>
    <mergeCell ref="S1:S2"/>
    <mergeCell ref="T1:T2"/>
    <mergeCell ref="U1:U2"/>
    <mergeCell ref="V1:V2"/>
    <mergeCell ref="W1:W2"/>
  </mergeCells>
  <conditionalFormatting sqref="L8">
    <cfRule type="cellIs" dxfId="390" priority="23" operator="greaterThan">
      <formula>3</formula>
    </cfRule>
    <cfRule type="cellIs" dxfId="389" priority="24" operator="lessThan">
      <formula>3</formula>
    </cfRule>
  </conditionalFormatting>
  <conditionalFormatting sqref="I3:K7">
    <cfRule type="cellIs" dxfId="388" priority="20" operator="between">
      <formula>0.05</formula>
      <formula>0.1</formula>
    </cfRule>
    <cfRule type="cellIs" dxfId="387" priority="21" operator="lessThan">
      <formula>0.05</formula>
    </cfRule>
    <cfRule type="cellIs" dxfId="386"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{6DF5023C-2A83-491F-B360-D70CF1E976C8}</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{A1CC8780-B886-462E-B08A-E363450A7E0D}</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{099CB8DD-D90F-49DD-8589-1D163B5573A6}</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{EB78C9CF-65CB-4CA8-AF90-B705CCEAED20}</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{C28066CC-81EE-4C7A-B14F-F9037FF282CA}</x14:id>
        </ext>
      </extLst>
    </cfRule>
  </conditionalFormatting>
  <conditionalFormatting sqref="E21">
    <cfRule type="cellIs" dxfId="385" priority="13" operator="greaterThan">
      <formula>3</formula>
    </cfRule>
    <cfRule type="cellIs" dxfId="384" priority="14" operator="lessThan">
      <formula>3</formula>
    </cfRule>
  </conditionalFormatting>
  <conditionalFormatting sqref="B16:D20">
    <cfRule type="cellIs" dxfId="383" priority="10" operator="between">
      <formula>0.05</formula>
      <formula>0.1</formula>
    </cfRule>
    <cfRule type="cellIs" dxfId="382" priority="11" operator="lessThan">
      <formula>0.05</formula>
    </cfRule>
    <cfRule type="cellIs" dxfId="381" priority="12" operator="greaterThan">
      <formula>0.1</formula>
    </cfRule>
  </conditionalFormatting>
  <conditionalFormatting sqref="C28:C30">
    <cfRule type="cellIs" dxfId="380" priority="7" operator="lessThan">
      <formula>0</formula>
    </cfRule>
    <cfRule type="cellIs" dxfId="379" priority="8" operator="between">
      <formula>0</formula>
      <formula>0.3</formula>
    </cfRule>
    <cfRule type="cellIs" dxfId="378" priority="9" operator="greaterThan">
      <formula>0.3</formula>
    </cfRule>
  </conditionalFormatting>
  <conditionalFormatting sqref="E28:E30">
    <cfRule type="cellIs" dxfId="377" priority="4" operator="lessThan">
      <formula>0</formula>
    </cfRule>
    <cfRule type="cellIs" dxfId="376" priority="5" operator="between">
      <formula>0</formula>
      <formula>0.3</formula>
    </cfRule>
    <cfRule type="cellIs" dxfId="375" priority="6" operator="greaterThan">
      <formula>0.3</formula>
    </cfRule>
  </conditionalFormatting>
  <conditionalFormatting sqref="F28:F30">
    <cfRule type="cellIs" dxfId="374" priority="1" operator="lessThan">
      <formula>0</formula>
    </cfRule>
    <cfRule type="cellIs" dxfId="373" priority="2" operator="between">
      <formula>0</formula>
      <formula>0.3</formula>
    </cfRule>
    <cfRule type="cellIs" dxfId="372" priority="3" operator="greaterThan">
      <formula>0.3</formula>
    </cfRule>
  </conditionalFormatting>
  <hyperlinks>
    <hyperlink ref="B4" r:id="rId1" xr:uid="{68166E52-2F56-43CC-871E-A56DCC3DAC13}"/>
    <hyperlink ref="A33" r:id="rId2" xr:uid="{CD08107C-7026-440C-8125-F4FF73D89612}"/>
  </hyperlinks>
  <pageMargins left="0.7" right="0.7" top="0.75" bottom="0.75" header="0.3" footer="0.3"/>
  <pageSetup paperSize="9" orientation="portrait" r:id="rId3"/>
  <legacyDrawing r:id="rId4"/>
  <tableParts count="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dataBar" id="{6DF5023C-2A83-491F-B360-D70CF1E976C8}">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A1CC8780-B886-462E-B08A-E363450A7E0D}">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099CB8DD-D90F-49DD-8589-1D163B5573A6}">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EB78C9CF-65CB-4CA8-AF90-B705CCEAED20}">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C28066CC-81EE-4C7A-B14F-F9037FF282CA}">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F4C06-E557-48CC-A46B-8ED9176C7F31}">
  <dimension ref="A1:BA39"/>
  <sheetViews>
    <sheetView topLeftCell="A4" zoomScaleNormal="100" workbookViewId="0">
      <selection activeCell="D35" sqref="D35"/>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39" max="39" width="9.5703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56118</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MIN(Table1543[])</f>
        <v>0.10780000000000001</v>
      </c>
      <c r="AA2" s="8">
        <f>Z2</f>
        <v>0.10780000000000001</v>
      </c>
      <c r="AB2" s="9">
        <f t="shared" ref="AB2:AJ3" si="1">AA2</f>
        <v>0.10780000000000001</v>
      </c>
      <c r="AC2" s="9">
        <f t="shared" si="1"/>
        <v>0.10780000000000001</v>
      </c>
      <c r="AD2" s="9">
        <f t="shared" si="1"/>
        <v>0.10780000000000001</v>
      </c>
      <c r="AE2" s="9">
        <f t="shared" si="1"/>
        <v>0.10780000000000001</v>
      </c>
      <c r="AF2" s="9">
        <f t="shared" si="1"/>
        <v>0.10780000000000001</v>
      </c>
      <c r="AG2" s="9">
        <f t="shared" si="1"/>
        <v>0.10780000000000001</v>
      </c>
      <c r="AH2" s="9">
        <f t="shared" si="1"/>
        <v>0.10780000000000001</v>
      </c>
      <c r="AI2" s="9">
        <f t="shared" si="1"/>
        <v>0.10780000000000001</v>
      </c>
      <c r="AJ2" s="25">
        <f t="shared" si="1"/>
        <v>0.10780000000000001</v>
      </c>
      <c r="AL2" s="18" t="s">
        <v>36</v>
      </c>
      <c r="AM2" s="67">
        <f>Z2</f>
        <v>0.10780000000000001</v>
      </c>
      <c r="BA2" s="17"/>
    </row>
    <row r="3" spans="1:53" x14ac:dyDescent="0.25">
      <c r="A3" t="s">
        <v>49</v>
      </c>
      <c r="B3" s="58" t="s">
        <v>139</v>
      </c>
      <c r="H3" s="2" t="s">
        <v>6</v>
      </c>
      <c r="I3" s="8">
        <f>AVERAGE(M3:W3)</f>
        <v>0.21787272727272725</v>
      </c>
      <c r="J3" s="9">
        <f>AVERAGE(S3:W3)</f>
        <v>0.21048</v>
      </c>
      <c r="K3" s="9">
        <f>W3</f>
        <v>0.308</v>
      </c>
      <c r="L3" s="10" t="s">
        <v>7</v>
      </c>
      <c r="M3" s="11">
        <v>0.37709999999999999</v>
      </c>
      <c r="N3" s="12">
        <v>0.23250000000000001</v>
      </c>
      <c r="O3" s="12">
        <v>0.25700000000000001</v>
      </c>
      <c r="P3" s="12">
        <v>0.21789999999999998</v>
      </c>
      <c r="Q3" s="12">
        <v>0.1116</v>
      </c>
      <c r="R3" s="12">
        <v>0.14810000000000001</v>
      </c>
      <c r="S3" s="12">
        <v>0.1636</v>
      </c>
      <c r="T3" s="12">
        <v>0.1149</v>
      </c>
      <c r="U3" s="12">
        <v>0.22690000000000002</v>
      </c>
      <c r="V3" s="12">
        <v>0.23899999999999999</v>
      </c>
      <c r="W3" s="13">
        <v>0.308</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94</v>
      </c>
      <c r="H4" s="14" t="s">
        <v>8</v>
      </c>
      <c r="I4" s="15">
        <f>AVERAGE(M4:W4)</f>
        <v>0.10780000000000001</v>
      </c>
      <c r="J4" s="16">
        <f>AVERAGE(S4:W4)</f>
        <v>0.13780000000000001</v>
      </c>
      <c r="K4" s="16">
        <f>W4</f>
        <v>0.183</v>
      </c>
      <c r="L4" s="17" t="s">
        <v>7</v>
      </c>
      <c r="M4" s="18" t="s">
        <v>7</v>
      </c>
      <c r="N4" s="12">
        <v>0.20100000000000001</v>
      </c>
      <c r="O4" s="12">
        <v>0.125</v>
      </c>
      <c r="P4" s="12">
        <v>0.152</v>
      </c>
      <c r="Q4" s="12">
        <v>5.8000000000000003E-2</v>
      </c>
      <c r="R4" s="12">
        <v>-0.14699999999999999</v>
      </c>
      <c r="S4" s="12">
        <v>-5.5E-2</v>
      </c>
      <c r="T4" s="12">
        <v>0.14000000000000001</v>
      </c>
      <c r="U4" s="12">
        <v>0.20300000000000001</v>
      </c>
      <c r="V4" s="12">
        <v>0.218</v>
      </c>
      <c r="W4" s="13">
        <v>0.183</v>
      </c>
      <c r="Y4" s="5" t="s">
        <v>15</v>
      </c>
      <c r="Z4" s="29">
        <v>27</v>
      </c>
      <c r="AA4" s="30">
        <f t="shared" si="2"/>
        <v>27</v>
      </c>
      <c r="AB4" s="31">
        <f t="shared" si="2"/>
        <v>27</v>
      </c>
      <c r="AC4" s="31">
        <f t="shared" si="2"/>
        <v>27</v>
      </c>
      <c r="AD4" s="31">
        <f t="shared" si="2"/>
        <v>27</v>
      </c>
      <c r="AE4" s="31">
        <f t="shared" si="2"/>
        <v>27</v>
      </c>
      <c r="AF4" s="31">
        <f t="shared" si="2"/>
        <v>27</v>
      </c>
      <c r="AG4" s="31">
        <f t="shared" si="2"/>
        <v>27</v>
      </c>
      <c r="AH4" s="31">
        <f t="shared" si="2"/>
        <v>27</v>
      </c>
      <c r="AI4" s="31">
        <f t="shared" si="2"/>
        <v>27</v>
      </c>
      <c r="AJ4" s="32">
        <f t="shared" si="2"/>
        <v>27</v>
      </c>
      <c r="AL4" s="18" t="s">
        <v>38</v>
      </c>
      <c r="AM4" s="64">
        <v>15</v>
      </c>
      <c r="BA4" s="17"/>
    </row>
    <row r="5" spans="1:53" x14ac:dyDescent="0.25">
      <c r="A5" t="s">
        <v>34</v>
      </c>
      <c r="B5" s="92">
        <v>44595</v>
      </c>
      <c r="H5" s="14" t="s">
        <v>9</v>
      </c>
      <c r="I5" s="15">
        <f>AVERAGE(M5:W5)</f>
        <v>0.21820000000000001</v>
      </c>
      <c r="J5" s="16">
        <f>AVERAGE(S5:W5)</f>
        <v>0.36740000000000006</v>
      </c>
      <c r="K5" s="16">
        <f>W5</f>
        <v>0.39800000000000002</v>
      </c>
      <c r="L5" s="17" t="s">
        <v>7</v>
      </c>
      <c r="M5" s="18" t="s">
        <v>7</v>
      </c>
      <c r="N5" s="12">
        <v>-0.25700000000000001</v>
      </c>
      <c r="O5" s="12">
        <v>0.28999999999999998</v>
      </c>
      <c r="P5" s="12">
        <v>1.9E-2</v>
      </c>
      <c r="Q5" s="12">
        <v>-0.437</v>
      </c>
      <c r="R5" s="12">
        <v>0.73</v>
      </c>
      <c r="S5" s="12">
        <v>0.27</v>
      </c>
      <c r="T5" s="12">
        <v>-0.34499999999999997</v>
      </c>
      <c r="U5" s="12">
        <v>1.3759999999999999</v>
      </c>
      <c r="V5" s="12">
        <v>0.13800000000000001</v>
      </c>
      <c r="W5" s="13">
        <v>0.39800000000000002</v>
      </c>
      <c r="Y5" s="1" t="s">
        <v>16</v>
      </c>
      <c r="Z5" s="33">
        <v>8.0500000000000007</v>
      </c>
      <c r="AA5" s="34">
        <f>Z5</f>
        <v>8.0500000000000007</v>
      </c>
      <c r="AB5" s="35">
        <f t="shared" ref="AB5:AJ5" si="3">AA5*(1+$Z2)</f>
        <v>8.9177900000000019</v>
      </c>
      <c r="AC5" s="35">
        <f t="shared" si="3"/>
        <v>9.8791277620000031</v>
      </c>
      <c r="AD5" s="35">
        <f t="shared" si="3"/>
        <v>10.944097734743604</v>
      </c>
      <c r="AE5" s="35">
        <f t="shared" si="3"/>
        <v>12.123871470548966</v>
      </c>
      <c r="AF5" s="35">
        <f t="shared" si="3"/>
        <v>13.430824815074146</v>
      </c>
      <c r="AG5" s="35">
        <f t="shared" si="3"/>
        <v>14.87866773013914</v>
      </c>
      <c r="AH5" s="35">
        <f t="shared" si="3"/>
        <v>16.482588111448141</v>
      </c>
      <c r="AI5" s="35">
        <f t="shared" si="3"/>
        <v>18.259411109862253</v>
      </c>
      <c r="AJ5" s="36">
        <f t="shared" si="3"/>
        <v>20.227775627505405</v>
      </c>
      <c r="AL5" s="18" t="s">
        <v>39</v>
      </c>
      <c r="AM5" s="40">
        <v>14224</v>
      </c>
      <c r="BA5" s="17"/>
    </row>
    <row r="6" spans="1:53" x14ac:dyDescent="0.25">
      <c r="A6" t="s">
        <v>44</v>
      </c>
      <c r="B6" s="62">
        <v>106.32</v>
      </c>
      <c r="H6" s="14" t="s">
        <v>10</v>
      </c>
      <c r="I6" s="15">
        <f>AVERAGE(M6:W6)</f>
        <v>9.3100000000000002E-2</v>
      </c>
      <c r="J6" s="16">
        <f>AVERAGE(S6:W6)</f>
        <v>0.13079999999999997</v>
      </c>
      <c r="K6" s="16">
        <f>W6</f>
        <v>0.17499999999999999</v>
      </c>
      <c r="L6" s="17" t="s">
        <v>7</v>
      </c>
      <c r="M6" s="18" t="s">
        <v>7</v>
      </c>
      <c r="N6" s="12">
        <v>5.3999999999999999E-2</v>
      </c>
      <c r="O6" s="12">
        <v>5.6000000000000001E-2</v>
      </c>
      <c r="P6" s="12">
        <v>0.115</v>
      </c>
      <c r="Q6" s="12">
        <v>7.8E-2</v>
      </c>
      <c r="R6" s="12">
        <v>-2.5999999999999999E-2</v>
      </c>
      <c r="S6" s="12">
        <v>5.8999999999999997E-2</v>
      </c>
      <c r="T6" s="12">
        <v>0.14299999999999999</v>
      </c>
      <c r="U6" s="12">
        <v>0.14000000000000001</v>
      </c>
      <c r="V6" s="12">
        <v>0.13700000000000001</v>
      </c>
      <c r="W6" s="13">
        <v>0.17499999999999999</v>
      </c>
      <c r="Y6" s="5" t="s">
        <v>19</v>
      </c>
      <c r="Z6" s="37">
        <f>AA6</f>
        <v>155.24989983220203</v>
      </c>
      <c r="AA6" s="38">
        <f t="shared" ref="AA6:AI6" si="4">AB6/(1+$Z3)</f>
        <v>155.24989983220203</v>
      </c>
      <c r="AB6" s="38">
        <f t="shared" si="4"/>
        <v>178.53738480703234</v>
      </c>
      <c r="AC6" s="38">
        <f t="shared" si="4"/>
        <v>205.31799252808719</v>
      </c>
      <c r="AD6" s="38">
        <f t="shared" si="4"/>
        <v>236.11569140730023</v>
      </c>
      <c r="AE6" s="38">
        <f t="shared" si="4"/>
        <v>271.53304511839525</v>
      </c>
      <c r="AF6" s="38">
        <f t="shared" si="4"/>
        <v>312.26300188615454</v>
      </c>
      <c r="AG6" s="38">
        <f t="shared" si="4"/>
        <v>359.10245216907771</v>
      </c>
      <c r="AH6" s="38">
        <f t="shared" si="4"/>
        <v>412.96781999443931</v>
      </c>
      <c r="AI6" s="38">
        <f t="shared" si="4"/>
        <v>474.9129929936052</v>
      </c>
      <c r="AJ6" s="39">
        <f>AJ5*$Z4</f>
        <v>546.14994194264591</v>
      </c>
      <c r="AL6" s="5" t="s">
        <v>40</v>
      </c>
      <c r="AM6" s="45">
        <v>7608</v>
      </c>
      <c r="BA6" s="17"/>
    </row>
    <row r="7" spans="1:53" x14ac:dyDescent="0.25">
      <c r="A7" t="s">
        <v>45</v>
      </c>
      <c r="B7" s="58" t="s">
        <v>55</v>
      </c>
      <c r="H7" s="14" t="s">
        <v>11</v>
      </c>
      <c r="I7" s="15">
        <f>AVERAGE(M7:W7)</f>
        <v>9.5400000000000013E-2</v>
      </c>
      <c r="J7" s="16">
        <f>AVERAGE(S7:W7)</f>
        <v>0.17860000000000001</v>
      </c>
      <c r="K7" s="16">
        <f>W7</f>
        <v>0.24099999999999999</v>
      </c>
      <c r="L7" s="17" t="s">
        <v>7</v>
      </c>
      <c r="M7" s="18" t="s">
        <v>7</v>
      </c>
      <c r="N7" s="12">
        <v>0.19</v>
      </c>
      <c r="O7" s="12">
        <v>-0.16200000000000001</v>
      </c>
      <c r="P7" s="12">
        <v>8.7999999999999995E-2</v>
      </c>
      <c r="Q7" s="12">
        <v>-0.13500000000000001</v>
      </c>
      <c r="R7" s="12">
        <v>0.08</v>
      </c>
      <c r="S7" s="12">
        <v>0.25600000000000001</v>
      </c>
      <c r="T7" s="12">
        <v>2.8000000000000001E-2</v>
      </c>
      <c r="U7" s="12">
        <v>0.186</v>
      </c>
      <c r="V7" s="12">
        <v>0.182</v>
      </c>
      <c r="W7" s="13">
        <v>0.24099999999999999</v>
      </c>
      <c r="AL7" s="18"/>
      <c r="BA7" s="17"/>
    </row>
    <row r="8" spans="1:53" x14ac:dyDescent="0.25">
      <c r="A8" t="s">
        <v>46</v>
      </c>
      <c r="B8" s="58" t="s">
        <v>70</v>
      </c>
      <c r="H8" s="19" t="s">
        <v>12</v>
      </c>
      <c r="I8" s="5" t="s">
        <v>7</v>
      </c>
      <c r="J8" s="6" t="s">
        <v>7</v>
      </c>
      <c r="K8" s="6" t="s">
        <v>7</v>
      </c>
      <c r="L8" s="20">
        <f>50074/56118</f>
        <v>0.89229837128906941</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47</v>
      </c>
      <c r="B9" s="58" t="s">
        <v>140</v>
      </c>
      <c r="Y9" s="1" t="s">
        <v>13</v>
      </c>
      <c r="Z9" s="65">
        <f>AVERAGE(Table1543[])</f>
        <v>0.13553333333333331</v>
      </c>
      <c r="AA9" s="8">
        <f>Z9</f>
        <v>0.13553333333333331</v>
      </c>
      <c r="AB9" s="9">
        <f t="shared" ref="AB9:AJ10" si="5">AA9</f>
        <v>0.13553333333333331</v>
      </c>
      <c r="AC9" s="9">
        <f t="shared" si="5"/>
        <v>0.13553333333333331</v>
      </c>
      <c r="AD9" s="9">
        <f t="shared" si="5"/>
        <v>0.13553333333333331</v>
      </c>
      <c r="AE9" s="9">
        <f t="shared" si="5"/>
        <v>0.13553333333333331</v>
      </c>
      <c r="AF9" s="9">
        <f t="shared" si="5"/>
        <v>0.13553333333333331</v>
      </c>
      <c r="AG9" s="9">
        <f t="shared" si="5"/>
        <v>0.13553333333333331</v>
      </c>
      <c r="AH9" s="9">
        <f t="shared" si="5"/>
        <v>0.13553333333333331</v>
      </c>
      <c r="AI9" s="9">
        <f t="shared" si="5"/>
        <v>0.13553333333333331</v>
      </c>
      <c r="AJ9" s="25">
        <f t="shared" si="5"/>
        <v>0.13553333333333331</v>
      </c>
      <c r="AL9" s="1" t="s">
        <v>42</v>
      </c>
      <c r="AM9" s="10"/>
      <c r="AN9" s="48">
        <f>$AM1</f>
        <v>56118</v>
      </c>
      <c r="AO9" s="49">
        <f t="shared" ref="AO9:AW9" si="6">AN9+AN9*$AM2</f>
        <v>62167.520400000001</v>
      </c>
      <c r="AP9" s="49">
        <f t="shared" si="6"/>
        <v>68869.179099119996</v>
      </c>
      <c r="AQ9" s="49">
        <f t="shared" si="6"/>
        <v>76293.276606005136</v>
      </c>
      <c r="AR9" s="49">
        <f t="shared" si="6"/>
        <v>84517.691824132489</v>
      </c>
      <c r="AS9" s="49">
        <f t="shared" si="6"/>
        <v>93628.699002773967</v>
      </c>
      <c r="AT9" s="49">
        <f t="shared" si="6"/>
        <v>103721.872755273</v>
      </c>
      <c r="AU9" s="49">
        <f t="shared" si="6"/>
        <v>114903.09063829143</v>
      </c>
      <c r="AV9" s="49">
        <f t="shared" si="6"/>
        <v>127289.64380909925</v>
      </c>
      <c r="AW9" s="49">
        <f t="shared" si="6"/>
        <v>141011.46741172014</v>
      </c>
      <c r="AX9" s="50">
        <f>$AM4*AW9</f>
        <v>2115172.011175802</v>
      </c>
      <c r="AY9" s="51"/>
      <c r="AZ9" s="49"/>
      <c r="BA9" s="10"/>
    </row>
    <row r="10" spans="1:53" x14ac:dyDescent="0.25">
      <c r="A10" t="s">
        <v>48</v>
      </c>
      <c r="B10" s="58" t="s">
        <v>142</v>
      </c>
      <c r="Y10" s="18" t="s">
        <v>14</v>
      </c>
      <c r="Z10">
        <f>Z3</f>
        <v>0.15</v>
      </c>
      <c r="AA10" s="26">
        <f t="shared" ref="AA10:AJ11" si="7">Z10</f>
        <v>0.15</v>
      </c>
      <c r="AB10" s="27">
        <f t="shared" si="5"/>
        <v>0.15</v>
      </c>
      <c r="AC10" s="27">
        <f t="shared" si="5"/>
        <v>0.15</v>
      </c>
      <c r="AD10" s="27">
        <f t="shared" si="5"/>
        <v>0.15</v>
      </c>
      <c r="AE10" s="27">
        <f t="shared" si="5"/>
        <v>0.15</v>
      </c>
      <c r="AF10" s="27">
        <f t="shared" si="5"/>
        <v>0.15</v>
      </c>
      <c r="AG10" s="27">
        <f t="shared" si="5"/>
        <v>0.15</v>
      </c>
      <c r="AH10" s="27">
        <f t="shared" si="5"/>
        <v>0.15</v>
      </c>
      <c r="AI10" s="27">
        <f t="shared" si="5"/>
        <v>0.15</v>
      </c>
      <c r="AJ10" s="28">
        <f t="shared" si="5"/>
        <v>0.15</v>
      </c>
      <c r="AL10" s="5" t="s">
        <v>43</v>
      </c>
      <c r="AM10" s="7"/>
      <c r="AN10" s="52">
        <f>AN9/(1+$AM3)</f>
        <v>48798.260869565223</v>
      </c>
      <c r="AO10" s="53">
        <f t="shared" ref="AO10:AW10" si="8">(1+$AM2)*AN10/(1+$AM3)</f>
        <v>47007.576862003792</v>
      </c>
      <c r="AP10" s="53">
        <f t="shared" si="8"/>
        <v>45282.603171937226</v>
      </c>
      <c r="AQ10" s="53">
        <f t="shared" si="8"/>
        <v>43620.928516410495</v>
      </c>
      <c r="AR10" s="53">
        <f t="shared" si="8"/>
        <v>42020.230096069179</v>
      </c>
      <c r="AS10" s="53">
        <f t="shared" si="8"/>
        <v>40478.270348196042</v>
      </c>
      <c r="AT10" s="53">
        <f t="shared" si="8"/>
        <v>38992.893818897028</v>
      </c>
      <c r="AU10" s="53">
        <f t="shared" si="8"/>
        <v>37562.02415006447</v>
      </c>
      <c r="AV10" s="53">
        <f t="shared" si="8"/>
        <v>36183.661176905589</v>
      </c>
      <c r="AW10" s="53">
        <f t="shared" si="8"/>
        <v>34855.878131979145</v>
      </c>
      <c r="AX10" s="54">
        <f>AX9/(1+AM3)^AX8</f>
        <v>522838.17197968659</v>
      </c>
      <c r="AY10" s="53">
        <f>SUM(AN10:AX10)</f>
        <v>937640.49912171473</v>
      </c>
      <c r="AZ10" s="53">
        <f>AY10+AM5</f>
        <v>951864.49912171473</v>
      </c>
      <c r="BA10" s="55">
        <f>AZ10/AM6</f>
        <v>125.11363027362181</v>
      </c>
    </row>
    <row r="11" spans="1:53" x14ac:dyDescent="0.25">
      <c r="A11" t="s">
        <v>65</v>
      </c>
      <c r="B11" s="92" t="s">
        <v>143</v>
      </c>
      <c r="Y11" s="5" t="s">
        <v>15</v>
      </c>
      <c r="Z11" s="7">
        <f>Z4</f>
        <v>27</v>
      </c>
      <c r="AA11" s="30">
        <f t="shared" si="7"/>
        <v>27</v>
      </c>
      <c r="AB11" s="31">
        <f t="shared" si="7"/>
        <v>27</v>
      </c>
      <c r="AC11" s="31">
        <f t="shared" si="7"/>
        <v>27</v>
      </c>
      <c r="AD11" s="31">
        <f t="shared" si="7"/>
        <v>27</v>
      </c>
      <c r="AE11" s="31">
        <f t="shared" si="7"/>
        <v>27</v>
      </c>
      <c r="AF11" s="31">
        <f t="shared" si="7"/>
        <v>27</v>
      </c>
      <c r="AG11" s="31">
        <f t="shared" si="7"/>
        <v>27</v>
      </c>
      <c r="AH11" s="31">
        <f t="shared" si="7"/>
        <v>27</v>
      </c>
      <c r="AI11" s="31">
        <f t="shared" si="7"/>
        <v>27</v>
      </c>
      <c r="AJ11" s="32">
        <f t="shared" si="7"/>
        <v>27</v>
      </c>
    </row>
    <row r="12" spans="1:53" x14ac:dyDescent="0.25">
      <c r="Y12" s="1" t="s">
        <v>16</v>
      </c>
      <c r="Z12">
        <f>Z5</f>
        <v>8.0500000000000007</v>
      </c>
      <c r="AA12" s="34">
        <f>Z12</f>
        <v>8.0500000000000007</v>
      </c>
      <c r="AB12" s="35">
        <f t="shared" ref="AB12:AJ12" si="9">AA12*(1+$Z9)</f>
        <v>9.1410433333333341</v>
      </c>
      <c r="AC12" s="35">
        <f t="shared" si="9"/>
        <v>10.379959406444446</v>
      </c>
      <c r="AD12" s="35">
        <f t="shared" si="9"/>
        <v>11.786789904664548</v>
      </c>
      <c r="AE12" s="35">
        <f t="shared" si="9"/>
        <v>13.384292829743416</v>
      </c>
      <c r="AF12" s="35">
        <f t="shared" si="9"/>
        <v>15.198310651267972</v>
      </c>
      <c r="AG12" s="35">
        <f t="shared" si="9"/>
        <v>17.258188354869823</v>
      </c>
      <c r="AH12" s="35">
        <f t="shared" si="9"/>
        <v>19.597248149899844</v>
      </c>
      <c r="AI12" s="35">
        <f t="shared" si="9"/>
        <v>22.253328515816268</v>
      </c>
      <c r="AJ12" s="36">
        <f t="shared" si="9"/>
        <v>25.269396307326566</v>
      </c>
      <c r="AL12" s="1" t="s">
        <v>35</v>
      </c>
      <c r="AM12" s="72">
        <f>AM1</f>
        <v>56118</v>
      </c>
      <c r="AN12" s="42"/>
      <c r="AO12" s="42"/>
      <c r="AP12" s="42"/>
      <c r="AQ12" s="42"/>
      <c r="AR12" s="42"/>
      <c r="AS12" s="42"/>
      <c r="AT12" s="42"/>
      <c r="AU12" s="42"/>
      <c r="AV12" s="42"/>
      <c r="AW12" s="42"/>
      <c r="AX12" s="42"/>
      <c r="AY12" s="42"/>
      <c r="AZ12" s="42"/>
      <c r="BA12" s="10"/>
    </row>
    <row r="13" spans="1:53" ht="18.75" x14ac:dyDescent="0.3">
      <c r="A13" s="56" t="s">
        <v>29</v>
      </c>
      <c r="Y13" s="5" t="s">
        <v>19</v>
      </c>
      <c r="Z13" s="37">
        <f>AA13</f>
        <v>193.944767718213</v>
      </c>
      <c r="AA13" s="38">
        <f t="shared" ref="AA13:AI13" si="10">AB13/(1+$Z10)</f>
        <v>193.944767718213</v>
      </c>
      <c r="AB13" s="38">
        <f t="shared" si="10"/>
        <v>223.03648287594493</v>
      </c>
      <c r="AC13" s="38">
        <f t="shared" si="10"/>
        <v>256.49195530733664</v>
      </c>
      <c r="AD13" s="38">
        <f t="shared" si="10"/>
        <v>294.96574860343713</v>
      </c>
      <c r="AE13" s="38">
        <f t="shared" si="10"/>
        <v>339.21061089395266</v>
      </c>
      <c r="AF13" s="38">
        <f t="shared" si="10"/>
        <v>390.09220252804556</v>
      </c>
      <c r="AG13" s="38">
        <f t="shared" si="10"/>
        <v>448.60603290725237</v>
      </c>
      <c r="AH13" s="38">
        <f t="shared" si="10"/>
        <v>515.8969378433402</v>
      </c>
      <c r="AI13" s="38">
        <f t="shared" si="10"/>
        <v>593.28147851984113</v>
      </c>
      <c r="AJ13" s="39">
        <f>AJ12*$Z11</f>
        <v>682.2737002978173</v>
      </c>
      <c r="AL13" s="18" t="s">
        <v>36</v>
      </c>
      <c r="AM13" s="68">
        <f>Z9</f>
        <v>0.13553333333333331</v>
      </c>
      <c r="BA13" s="17"/>
    </row>
    <row r="14" spans="1:53" x14ac:dyDescent="0.25">
      <c r="A14" s="43" t="s">
        <v>32</v>
      </c>
      <c r="B14" s="18" t="s">
        <v>0</v>
      </c>
      <c r="C14" t="s">
        <v>1</v>
      </c>
      <c r="D14" t="s">
        <v>2</v>
      </c>
      <c r="E14" t="s">
        <v>3</v>
      </c>
      <c r="AL14" s="18" t="s">
        <v>37</v>
      </c>
      <c r="AM14" s="69">
        <f>AM3</f>
        <v>0.15</v>
      </c>
      <c r="BA14" s="17"/>
    </row>
    <row r="15" spans="1:53" x14ac:dyDescent="0.25">
      <c r="A15" t="s">
        <v>52</v>
      </c>
      <c r="B15" t="s">
        <v>4</v>
      </c>
      <c r="C15" t="s">
        <v>4</v>
      </c>
      <c r="D15" t="s">
        <v>4</v>
      </c>
      <c r="E15" t="s">
        <v>5</v>
      </c>
      <c r="Y15" s="21" t="s">
        <v>61</v>
      </c>
      <c r="Z15" s="22"/>
      <c r="AA15" s="21">
        <v>2021</v>
      </c>
      <c r="AB15" s="23">
        <v>2022</v>
      </c>
      <c r="AC15" s="23">
        <v>2023</v>
      </c>
      <c r="AD15" s="23">
        <v>2024</v>
      </c>
      <c r="AE15" s="23">
        <v>2025</v>
      </c>
      <c r="AF15" s="23">
        <v>2026</v>
      </c>
      <c r="AG15" s="23">
        <v>2027</v>
      </c>
      <c r="AH15" s="23">
        <v>2028</v>
      </c>
      <c r="AI15" s="23">
        <v>2029</v>
      </c>
      <c r="AJ15" s="24">
        <v>2030</v>
      </c>
      <c r="AL15" s="18" t="s">
        <v>38</v>
      </c>
      <c r="AM15" s="69">
        <f t="shared" ref="AM15:AM17" si="11">AM4</f>
        <v>15</v>
      </c>
      <c r="BA15" s="17"/>
    </row>
    <row r="16" spans="1:53" x14ac:dyDescent="0.25">
      <c r="A16" t="s">
        <v>23</v>
      </c>
      <c r="B16" s="16">
        <f t="shared" ref="B16:D20" si="12">I3</f>
        <v>0.21787272727272725</v>
      </c>
      <c r="C16" s="16">
        <f t="shared" si="12"/>
        <v>0.21048</v>
      </c>
      <c r="D16" s="16">
        <f t="shared" si="12"/>
        <v>0.308</v>
      </c>
      <c r="Y16" s="1" t="s">
        <v>13</v>
      </c>
      <c r="Z16" s="60">
        <f>MAX(Table1543[])</f>
        <v>0.17399999999999999</v>
      </c>
      <c r="AA16" s="8">
        <f>Z16</f>
        <v>0.17399999999999999</v>
      </c>
      <c r="AB16" s="9">
        <f t="shared" ref="AB16:AJ17" si="13">AA16</f>
        <v>0.17399999999999999</v>
      </c>
      <c r="AC16" s="9">
        <f t="shared" si="13"/>
        <v>0.17399999999999999</v>
      </c>
      <c r="AD16" s="9">
        <f t="shared" si="13"/>
        <v>0.17399999999999999</v>
      </c>
      <c r="AE16" s="9">
        <f t="shared" si="13"/>
        <v>0.17399999999999999</v>
      </c>
      <c r="AF16" s="9">
        <f t="shared" si="13"/>
        <v>0.17399999999999999</v>
      </c>
      <c r="AG16" s="9">
        <f t="shared" si="13"/>
        <v>0.17399999999999999</v>
      </c>
      <c r="AH16" s="9">
        <f t="shared" si="13"/>
        <v>0.17399999999999999</v>
      </c>
      <c r="AI16" s="9">
        <f t="shared" si="13"/>
        <v>0.17399999999999999</v>
      </c>
      <c r="AJ16" s="25">
        <f t="shared" si="13"/>
        <v>0.17399999999999999</v>
      </c>
      <c r="AL16" s="18" t="s">
        <v>39</v>
      </c>
      <c r="AM16" s="69">
        <f t="shared" si="11"/>
        <v>14224</v>
      </c>
      <c r="BA16" s="17"/>
    </row>
    <row r="17" spans="1:53" x14ac:dyDescent="0.25">
      <c r="A17" t="s">
        <v>24</v>
      </c>
      <c r="B17" s="16">
        <f t="shared" si="12"/>
        <v>0.10780000000000001</v>
      </c>
      <c r="C17" s="16">
        <f t="shared" si="12"/>
        <v>0.13780000000000001</v>
      </c>
      <c r="D17" s="16">
        <f t="shared" si="12"/>
        <v>0.183</v>
      </c>
      <c r="Y17" s="18" t="s">
        <v>14</v>
      </c>
      <c r="Z17">
        <f>Z3</f>
        <v>0.15</v>
      </c>
      <c r="AA17" s="26">
        <f t="shared" ref="AA17:AJ18" si="14">Z17</f>
        <v>0.15</v>
      </c>
      <c r="AB17" s="27">
        <f t="shared" si="13"/>
        <v>0.15</v>
      </c>
      <c r="AC17" s="27">
        <f t="shared" si="13"/>
        <v>0.15</v>
      </c>
      <c r="AD17" s="27">
        <f t="shared" si="13"/>
        <v>0.15</v>
      </c>
      <c r="AE17" s="27">
        <f t="shared" si="13"/>
        <v>0.15</v>
      </c>
      <c r="AF17" s="27">
        <f t="shared" si="13"/>
        <v>0.15</v>
      </c>
      <c r="AG17" s="27">
        <f t="shared" si="13"/>
        <v>0.15</v>
      </c>
      <c r="AH17" s="27">
        <f t="shared" si="13"/>
        <v>0.15</v>
      </c>
      <c r="AI17" s="27">
        <f t="shared" si="13"/>
        <v>0.15</v>
      </c>
      <c r="AJ17" s="28">
        <f t="shared" si="13"/>
        <v>0.15</v>
      </c>
      <c r="AL17" s="5" t="s">
        <v>40</v>
      </c>
      <c r="AM17" s="70">
        <f t="shared" si="11"/>
        <v>7608</v>
      </c>
      <c r="BA17" s="17"/>
    </row>
    <row r="18" spans="1:53" x14ac:dyDescent="0.25">
      <c r="A18" t="s">
        <v>25</v>
      </c>
      <c r="B18" s="16">
        <f t="shared" si="12"/>
        <v>0.21820000000000001</v>
      </c>
      <c r="C18" s="16">
        <f t="shared" si="12"/>
        <v>0.36740000000000006</v>
      </c>
      <c r="D18" s="16">
        <f t="shared" si="12"/>
        <v>0.39800000000000002</v>
      </c>
      <c r="Y18" s="5" t="s">
        <v>15</v>
      </c>
      <c r="Z18" s="7">
        <f>Z4</f>
        <v>27</v>
      </c>
      <c r="AA18" s="30">
        <f t="shared" si="14"/>
        <v>27</v>
      </c>
      <c r="AB18" s="31">
        <f t="shared" si="14"/>
        <v>27</v>
      </c>
      <c r="AC18" s="31">
        <f t="shared" si="14"/>
        <v>27</v>
      </c>
      <c r="AD18" s="31">
        <f t="shared" si="14"/>
        <v>27</v>
      </c>
      <c r="AE18" s="31">
        <f t="shared" si="14"/>
        <v>27</v>
      </c>
      <c r="AF18" s="31">
        <f t="shared" si="14"/>
        <v>27</v>
      </c>
      <c r="AG18" s="31">
        <f t="shared" si="14"/>
        <v>27</v>
      </c>
      <c r="AH18" s="31">
        <f t="shared" si="14"/>
        <v>27</v>
      </c>
      <c r="AI18" s="31">
        <f t="shared" si="14"/>
        <v>27</v>
      </c>
      <c r="AJ18" s="32">
        <f t="shared" si="14"/>
        <v>27</v>
      </c>
      <c r="AL18" s="18"/>
      <c r="BA18" s="17"/>
    </row>
    <row r="19" spans="1:53" x14ac:dyDescent="0.25">
      <c r="A19" t="s">
        <v>26</v>
      </c>
      <c r="B19" s="16">
        <f t="shared" si="12"/>
        <v>9.3100000000000002E-2</v>
      </c>
      <c r="C19" s="16">
        <f t="shared" si="12"/>
        <v>0.13079999999999997</v>
      </c>
      <c r="D19" s="16">
        <f t="shared" si="12"/>
        <v>0.17499999999999999</v>
      </c>
      <c r="Y19" s="1" t="s">
        <v>16</v>
      </c>
      <c r="Z19">
        <f>Z5</f>
        <v>8.0500000000000007</v>
      </c>
      <c r="AA19" s="34">
        <f>Z19</f>
        <v>8.0500000000000007</v>
      </c>
      <c r="AB19" s="35">
        <f t="shared" ref="AB19:AJ19" si="15">AA19*(1+$Z16)</f>
        <v>9.4506999999999994</v>
      </c>
      <c r="AC19" s="35">
        <f t="shared" si="15"/>
        <v>11.095121799999999</v>
      </c>
      <c r="AD19" s="35">
        <f t="shared" si="15"/>
        <v>13.025672993199999</v>
      </c>
      <c r="AE19" s="35">
        <f t="shared" si="15"/>
        <v>15.292140094016798</v>
      </c>
      <c r="AF19" s="35">
        <f t="shared" si="15"/>
        <v>17.95297247037572</v>
      </c>
      <c r="AG19" s="35">
        <f t="shared" si="15"/>
        <v>21.076789680221093</v>
      </c>
      <c r="AH19" s="35">
        <f t="shared" si="15"/>
        <v>24.744151084579563</v>
      </c>
      <c r="AI19" s="35">
        <f t="shared" si="15"/>
        <v>29.049633373296405</v>
      </c>
      <c r="AJ19" s="36">
        <f t="shared" si="15"/>
        <v>34.104269580249976</v>
      </c>
      <c r="AL19" s="21"/>
      <c r="AM19" s="24"/>
      <c r="AN19" s="21">
        <v>1</v>
      </c>
      <c r="AO19" s="23">
        <v>2</v>
      </c>
      <c r="AP19" s="23">
        <v>3</v>
      </c>
      <c r="AQ19" s="23">
        <v>4</v>
      </c>
      <c r="AR19" s="23">
        <v>5</v>
      </c>
      <c r="AS19" s="23">
        <v>6</v>
      </c>
      <c r="AT19" s="23">
        <v>7</v>
      </c>
      <c r="AU19" s="23">
        <v>8</v>
      </c>
      <c r="AV19" s="23">
        <v>9</v>
      </c>
      <c r="AW19" s="23">
        <v>10</v>
      </c>
      <c r="AX19" s="24">
        <v>10</v>
      </c>
      <c r="AY19" s="46" t="s">
        <v>41</v>
      </c>
      <c r="AZ19" s="46" t="s">
        <v>62</v>
      </c>
      <c r="BA19" s="47" t="s">
        <v>63</v>
      </c>
    </row>
    <row r="20" spans="1:53" x14ac:dyDescent="0.25">
      <c r="A20" t="s">
        <v>27</v>
      </c>
      <c r="B20" s="16">
        <f t="shared" si="12"/>
        <v>9.5400000000000013E-2</v>
      </c>
      <c r="C20" s="16">
        <f t="shared" si="12"/>
        <v>0.17860000000000001</v>
      </c>
      <c r="D20" s="16">
        <f t="shared" si="12"/>
        <v>0.24099999999999999</v>
      </c>
      <c r="Y20" s="5" t="s">
        <v>19</v>
      </c>
      <c r="Z20" s="37">
        <f>AA20</f>
        <v>261.75317215722913</v>
      </c>
      <c r="AA20" s="38">
        <f t="shared" ref="AA20:AI20" si="16">AB20/(1+$Z17)</f>
        <v>261.75317215722913</v>
      </c>
      <c r="AB20" s="38">
        <f t="shared" si="16"/>
        <v>301.01614798081346</v>
      </c>
      <c r="AC20" s="38">
        <f t="shared" si="16"/>
        <v>346.16857017793546</v>
      </c>
      <c r="AD20" s="38">
        <f t="shared" si="16"/>
        <v>398.09385570462575</v>
      </c>
      <c r="AE20" s="38">
        <f t="shared" si="16"/>
        <v>457.80793406031955</v>
      </c>
      <c r="AF20" s="38">
        <f t="shared" si="16"/>
        <v>526.47912416936742</v>
      </c>
      <c r="AG20" s="38">
        <f t="shared" si="16"/>
        <v>605.45099279477245</v>
      </c>
      <c r="AH20" s="38">
        <f t="shared" si="16"/>
        <v>696.26864171398825</v>
      </c>
      <c r="AI20" s="38">
        <f t="shared" si="16"/>
        <v>800.70893797108647</v>
      </c>
      <c r="AJ20" s="39">
        <f>AJ19*$Z18</f>
        <v>920.81527866674935</v>
      </c>
      <c r="AL20" s="1" t="s">
        <v>42</v>
      </c>
      <c r="AM20" s="10"/>
      <c r="AN20" s="48">
        <f>$AM12</f>
        <v>56118</v>
      </c>
      <c r="AO20" s="49">
        <f t="shared" ref="AO20:AW20" si="17">AN20+AN20*$AM13</f>
        <v>63723.859599999996</v>
      </c>
      <c r="AP20" s="49">
        <f t="shared" si="17"/>
        <v>72360.566704453333</v>
      </c>
      <c r="AQ20" s="49">
        <f t="shared" si="17"/>
        <v>82167.835511796904</v>
      </c>
      <c r="AR20" s="49">
        <f t="shared" si="17"/>
        <v>93304.316151495776</v>
      </c>
      <c r="AS20" s="49">
        <f t="shared" si="17"/>
        <v>105950.16113389516</v>
      </c>
      <c r="AT20" s="49">
        <f t="shared" si="17"/>
        <v>120309.93963957575</v>
      </c>
      <c r="AU20" s="49">
        <f t="shared" si="17"/>
        <v>136615.94679205958</v>
      </c>
      <c r="AV20" s="49">
        <f t="shared" si="17"/>
        <v>155131.96144727673</v>
      </c>
      <c r="AW20" s="49">
        <f t="shared" si="17"/>
        <v>176157.51328876428</v>
      </c>
      <c r="AX20" s="50">
        <f>$AM15*AW20</f>
        <v>2642362.6993314642</v>
      </c>
      <c r="AY20" s="51"/>
      <c r="AZ20" s="49"/>
      <c r="BA20" s="10"/>
    </row>
    <row r="21" spans="1:53" x14ac:dyDescent="0.25">
      <c r="A21" t="s">
        <v>28</v>
      </c>
      <c r="E21" s="57">
        <f>L8</f>
        <v>0.89229837128906941</v>
      </c>
      <c r="AL21" s="5" t="s">
        <v>43</v>
      </c>
      <c r="AM21" s="7"/>
      <c r="AN21" s="52">
        <f>AN20/(1+$AM14)</f>
        <v>48798.260869565223</v>
      </c>
      <c r="AO21" s="53">
        <f t="shared" ref="AO21:AW21" si="18">(1+$AM13)*AN21/(1+$AM14)</f>
        <v>48184.392892249532</v>
      </c>
      <c r="AP21" s="53">
        <f t="shared" si="18"/>
        <v>47578.247196155724</v>
      </c>
      <c r="AQ21" s="53">
        <f t="shared" si="18"/>
        <v>46979.726637224376</v>
      </c>
      <c r="AR21" s="53">
        <f t="shared" si="18"/>
        <v>46388.735293440164</v>
      </c>
      <c r="AS21" s="53">
        <f t="shared" si="18"/>
        <v>45805.178449458916</v>
      </c>
      <c r="AT21" s="53">
        <f t="shared" si="18"/>
        <v>45228.962581428044</v>
      </c>
      <c r="AU21" s="53">
        <f t="shared" si="18"/>
        <v>44659.995341997907</v>
      </c>
      <c r="AV21" s="53">
        <f t="shared" si="18"/>
        <v>44098.185545521759</v>
      </c>
      <c r="AW21" s="53">
        <f t="shared" si="18"/>
        <v>43543.443153441869</v>
      </c>
      <c r="AX21" s="54">
        <f>AX20/(1+AM14)^AX19</f>
        <v>653151.64730162825</v>
      </c>
      <c r="AY21" s="53">
        <f>SUM(AN21:AX21)</f>
        <v>1114416.7752621118</v>
      </c>
      <c r="AZ21" s="53">
        <f>AY21+AM16</f>
        <v>1128640.7752621118</v>
      </c>
      <c r="BA21" s="55">
        <f>AZ21/AM17</f>
        <v>148.34920810490428</v>
      </c>
    </row>
    <row r="22" spans="1:53" x14ac:dyDescent="0.25">
      <c r="AN22" s="75"/>
      <c r="AO22" s="75"/>
      <c r="AP22" s="75"/>
      <c r="AQ22" s="75"/>
      <c r="AR22" s="75"/>
      <c r="AS22" s="75"/>
      <c r="AT22" s="75"/>
      <c r="AU22" s="75"/>
      <c r="AV22" s="75"/>
      <c r="AW22" s="75"/>
      <c r="AX22" s="75"/>
      <c r="AY22" s="75"/>
      <c r="AZ22" s="75"/>
      <c r="BA22" s="76"/>
    </row>
    <row r="23" spans="1:53" ht="18.75" x14ac:dyDescent="0.3">
      <c r="A23" s="56" t="s">
        <v>30</v>
      </c>
      <c r="AL23" s="1" t="s">
        <v>35</v>
      </c>
      <c r="AM23" s="22">
        <f>AM1</f>
        <v>56118</v>
      </c>
      <c r="AN23" s="42"/>
      <c r="AO23" s="42"/>
      <c r="AP23" s="42"/>
      <c r="AQ23" s="42"/>
      <c r="AR23" s="42"/>
      <c r="AS23" s="42"/>
      <c r="AT23" s="42"/>
      <c r="AU23" s="42"/>
      <c r="AV23" s="42"/>
      <c r="AW23" s="42"/>
      <c r="AX23" s="42"/>
      <c r="AY23" s="42"/>
      <c r="AZ23" s="42"/>
      <c r="BA23" s="10"/>
    </row>
    <row r="24" spans="1:53" x14ac:dyDescent="0.25">
      <c r="A24" t="s">
        <v>107</v>
      </c>
      <c r="B24" t="s">
        <v>137</v>
      </c>
      <c r="C24" t="s">
        <v>138</v>
      </c>
      <c r="AL24" s="18" t="s">
        <v>36</v>
      </c>
      <c r="AM24" s="71">
        <f>Z16</f>
        <v>0.17399999999999999</v>
      </c>
      <c r="BA24" s="17"/>
    </row>
    <row r="25" spans="1:53" x14ac:dyDescent="0.25">
      <c r="A25" s="16">
        <f>B17</f>
        <v>0.10780000000000001</v>
      </c>
      <c r="B25" s="86">
        <v>0.17399999999999999</v>
      </c>
      <c r="C25" s="85">
        <v>0.12479999999999999</v>
      </c>
      <c r="AL25" s="18" t="s">
        <v>37</v>
      </c>
      <c r="AM25" s="69">
        <f>AM3</f>
        <v>0.15</v>
      </c>
      <c r="BA25" s="17"/>
    </row>
    <row r="26" spans="1:53" x14ac:dyDescent="0.25">
      <c r="AL26" s="18" t="s">
        <v>38</v>
      </c>
      <c r="AM26" s="69">
        <f>AM4</f>
        <v>15</v>
      </c>
      <c r="BA26" s="17"/>
    </row>
    <row r="27" spans="1:53" ht="30" x14ac:dyDescent="0.25">
      <c r="A27" t="s">
        <v>18</v>
      </c>
      <c r="B27" s="41" t="s">
        <v>20</v>
      </c>
      <c r="C27" s="41" t="s">
        <v>31</v>
      </c>
      <c r="D27" s="41" t="s">
        <v>21</v>
      </c>
      <c r="E27" s="41" t="s">
        <v>22</v>
      </c>
      <c r="F27" t="s">
        <v>126</v>
      </c>
      <c r="AL27" s="18" t="s">
        <v>39</v>
      </c>
      <c r="AM27" s="69">
        <f>AM5</f>
        <v>14224</v>
      </c>
      <c r="BA27" s="17"/>
    </row>
    <row r="28" spans="1:53" x14ac:dyDescent="0.25">
      <c r="A28" s="16">
        <f>MIN(Table1543[])</f>
        <v>0.10780000000000001</v>
      </c>
      <c r="B28" s="73">
        <f>Z6</f>
        <v>155.24989983220203</v>
      </c>
      <c r="C28" s="63">
        <f>1-$B$6/Table140[[#This Row],[Fair Value
Method 1]]</f>
        <v>0.31516864027021396</v>
      </c>
      <c r="D28" s="66">
        <f>BA10</f>
        <v>125.11363027362181</v>
      </c>
      <c r="E28" s="63">
        <f>1-$B$6/Table140[[#This Row],[Fair Value 
Method 2]]</f>
        <v>0.15021249269580306</v>
      </c>
      <c r="F28" s="63">
        <f>AVERAGE(Table140[[#This Row],[MOS
Method 1]],Table140[[#This Row],[MOS 
Method 2]])</f>
        <v>0.23269056648300851</v>
      </c>
      <c r="AL28" s="5" t="s">
        <v>40</v>
      </c>
      <c r="AM28" s="70">
        <f>AM6</f>
        <v>7608</v>
      </c>
      <c r="BA28" s="17"/>
    </row>
    <row r="29" spans="1:53" x14ac:dyDescent="0.25">
      <c r="A29" s="61">
        <f>AVERAGE(Table1543[])</f>
        <v>0.13553333333333331</v>
      </c>
      <c r="B29" s="73">
        <f>Z13</f>
        <v>193.944767718213</v>
      </c>
      <c r="C29" s="63">
        <f>1-$B$6/Table140[[#This Row],[Fair Value
Method 1]]</f>
        <v>0.45180268975095594</v>
      </c>
      <c r="D29" s="66">
        <f>BA21</f>
        <v>148.34920810490428</v>
      </c>
      <c r="E29" s="63">
        <f>1-$B$6/Table140[[#This Row],[Fair Value 
Method 2]]</f>
        <v>0.28331265560368601</v>
      </c>
      <c r="F29" s="63">
        <f>AVERAGE(Table140[[#This Row],[MOS
Method 1]],Table140[[#This Row],[MOS 
Method 2]])</f>
        <v>0.36755767267732098</v>
      </c>
      <c r="AL29" s="18"/>
      <c r="BA29" s="17"/>
    </row>
    <row r="30" spans="1:53" x14ac:dyDescent="0.25">
      <c r="A30" s="61">
        <f>MAX(Table1543[])</f>
        <v>0.17399999999999999</v>
      </c>
      <c r="B30" s="73">
        <f>Z20</f>
        <v>261.75317215722913</v>
      </c>
      <c r="C30" s="63">
        <f>1-$B$6/Table140[[#This Row],[Fair Value
Method 1]]</f>
        <v>0.59381581081227164</v>
      </c>
      <c r="D30" s="66">
        <f>BA32</f>
        <v>188.24813911964364</v>
      </c>
      <c r="E30" s="63">
        <f>1-$B$6/Table140[[#This Row],[Fair Value 
Method 2]]</f>
        <v>0.43521354050449934</v>
      </c>
      <c r="F30" s="63">
        <f>AVERAGE(Table140[[#This Row],[MOS
Method 1]],Table140[[#This Row],[MOS 
Method 2]])</f>
        <v>0.51451467565838549</v>
      </c>
      <c r="AL30" s="21"/>
      <c r="AM30" s="24"/>
      <c r="AN30" s="21">
        <v>1</v>
      </c>
      <c r="AO30" s="23">
        <v>2</v>
      </c>
      <c r="AP30" s="23">
        <v>3</v>
      </c>
      <c r="AQ30" s="23">
        <v>4</v>
      </c>
      <c r="AR30" s="23">
        <v>5</v>
      </c>
      <c r="AS30" s="23">
        <v>6</v>
      </c>
      <c r="AT30" s="23">
        <v>7</v>
      </c>
      <c r="AU30" s="23">
        <v>8</v>
      </c>
      <c r="AV30" s="23">
        <v>9</v>
      </c>
      <c r="AW30" s="23">
        <v>10</v>
      </c>
      <c r="AX30" s="24">
        <v>10</v>
      </c>
      <c r="AY30" s="46" t="s">
        <v>41</v>
      </c>
      <c r="AZ30" s="46" t="s">
        <v>62</v>
      </c>
      <c r="BA30" s="47" t="s">
        <v>63</v>
      </c>
    </row>
    <row r="31" spans="1:53" x14ac:dyDescent="0.25">
      <c r="AL31" s="1" t="s">
        <v>42</v>
      </c>
      <c r="AM31" s="10"/>
      <c r="AN31" s="48">
        <f>$AM23</f>
        <v>56118</v>
      </c>
      <c r="AO31" s="49">
        <f t="shared" ref="AO31:AW31" si="19">AN31+AN31*$AM24</f>
        <v>65882.532000000007</v>
      </c>
      <c r="AP31" s="49">
        <f t="shared" si="19"/>
        <v>77346.092568000007</v>
      </c>
      <c r="AQ31" s="49">
        <f t="shared" si="19"/>
        <v>90804.312674832006</v>
      </c>
      <c r="AR31" s="49">
        <f t="shared" si="19"/>
        <v>106604.26308025277</v>
      </c>
      <c r="AS31" s="49">
        <f t="shared" si="19"/>
        <v>125153.40485621674</v>
      </c>
      <c r="AT31" s="49">
        <f t="shared" si="19"/>
        <v>146930.09730119846</v>
      </c>
      <c r="AU31" s="49">
        <f t="shared" si="19"/>
        <v>172495.93423160698</v>
      </c>
      <c r="AV31" s="49">
        <f t="shared" si="19"/>
        <v>202510.22678790661</v>
      </c>
      <c r="AW31" s="49">
        <f t="shared" si="19"/>
        <v>237747.00624900236</v>
      </c>
      <c r="AX31" s="50">
        <f>$AM26*AW31</f>
        <v>3566205.0937350355</v>
      </c>
      <c r="AY31" s="51"/>
      <c r="AZ31" s="49"/>
      <c r="BA31" s="10"/>
    </row>
    <row r="32" spans="1:53" ht="18.75" x14ac:dyDescent="0.3">
      <c r="A32" s="56" t="s">
        <v>64</v>
      </c>
      <c r="AL32" s="5" t="s">
        <v>43</v>
      </c>
      <c r="AM32" s="7"/>
      <c r="AN32" s="52">
        <f>AN31/(1+$AM25)</f>
        <v>48798.260869565223</v>
      </c>
      <c r="AO32" s="53">
        <f t="shared" ref="AO32:AW32" si="20">(1+$AM24)*AN32/(1+$AM25)</f>
        <v>49816.659357277887</v>
      </c>
      <c r="AP32" s="53">
        <f t="shared" si="20"/>
        <v>50856.311378647166</v>
      </c>
      <c r="AQ32" s="53">
        <f t="shared" si="20"/>
        <v>51917.660485679808</v>
      </c>
      <c r="AR32" s="53">
        <f t="shared" si="20"/>
        <v>53001.15948712008</v>
      </c>
      <c r="AS32" s="53">
        <f t="shared" si="20"/>
        <v>54107.270641633892</v>
      </c>
      <c r="AT32" s="53">
        <f t="shared" si="20"/>
        <v>55236.465855024515</v>
      </c>
      <c r="AU32" s="53">
        <f t="shared" si="20"/>
        <v>56389.226881564158</v>
      </c>
      <c r="AV32" s="53">
        <f t="shared" si="20"/>
        <v>57566.04552952724</v>
      </c>
      <c r="AW32" s="53">
        <f t="shared" si="20"/>
        <v>58767.423871013023</v>
      </c>
      <c r="AX32" s="54">
        <f>AX31/(1+AM25)^AX30</f>
        <v>881511.35806519585</v>
      </c>
      <c r="AY32" s="53">
        <f>SUM(AN32:AX32)</f>
        <v>1417967.8424222488</v>
      </c>
      <c r="AZ32" s="53">
        <f>AY32+AM27</f>
        <v>1432191.8424222488</v>
      </c>
      <c r="BA32" s="55">
        <f>AZ32/AM28</f>
        <v>188.24813911964364</v>
      </c>
    </row>
    <row r="33" spans="1:7" x14ac:dyDescent="0.25">
      <c r="A33" s="77" t="s">
        <v>66</v>
      </c>
    </row>
    <row r="36" spans="1:7" x14ac:dyDescent="0.25">
      <c r="D36" s="78"/>
      <c r="E36" s="78"/>
      <c r="G36" s="79"/>
    </row>
    <row r="39" spans="1:7" x14ac:dyDescent="0.25">
      <c r="D39" s="41"/>
    </row>
  </sheetData>
  <mergeCells count="11">
    <mergeCell ref="S1:S2"/>
    <mergeCell ref="T1:T2"/>
    <mergeCell ref="U1:U2"/>
    <mergeCell ref="V1:V2"/>
    <mergeCell ref="W1:W2"/>
    <mergeCell ref="R1:R2"/>
    <mergeCell ref="M1:M2"/>
    <mergeCell ref="N1:N2"/>
    <mergeCell ref="O1:O2"/>
    <mergeCell ref="P1:P2"/>
    <mergeCell ref="Q1:Q2"/>
  </mergeCells>
  <conditionalFormatting sqref="L8">
    <cfRule type="cellIs" dxfId="352" priority="23" operator="greaterThan">
      <formula>3</formula>
    </cfRule>
    <cfRule type="cellIs" dxfId="351" priority="24" operator="lessThan">
      <formula>3</formula>
    </cfRule>
  </conditionalFormatting>
  <conditionalFormatting sqref="I3:K7">
    <cfRule type="cellIs" dxfId="350" priority="20" operator="between">
      <formula>0.05</formula>
      <formula>0.1</formula>
    </cfRule>
    <cfRule type="cellIs" dxfId="349" priority="21" operator="lessThan">
      <formula>0.05</formula>
    </cfRule>
    <cfRule type="cellIs" dxfId="348"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{BFD1914A-732C-468B-A096-EEBBCE8CDFD7}</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{65842F59-9B78-4925-88F9-610B79E4A9CD}</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{BAA53118-AD33-4B94-8016-C797986631FA}</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{29CDE1C9-9074-41A7-8218-7D001F868D15}</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{068A61A9-5211-412F-850D-96E4A1981A85}</x14:id>
        </ext>
      </extLst>
    </cfRule>
  </conditionalFormatting>
  <conditionalFormatting sqref="E21">
    <cfRule type="cellIs" dxfId="347" priority="13" operator="greaterThan">
      <formula>3</formula>
    </cfRule>
    <cfRule type="cellIs" dxfId="346" priority="14" operator="lessThan">
      <formula>3</formula>
    </cfRule>
  </conditionalFormatting>
  <conditionalFormatting sqref="B16:D20">
    <cfRule type="cellIs" dxfId="345" priority="10" operator="between">
      <formula>0.05</formula>
      <formula>0.1</formula>
    </cfRule>
    <cfRule type="cellIs" dxfId="344" priority="11" operator="lessThan">
      <formula>0.05</formula>
    </cfRule>
    <cfRule type="cellIs" dxfId="343" priority="12" operator="greaterThan">
      <formula>0.1</formula>
    </cfRule>
  </conditionalFormatting>
  <conditionalFormatting sqref="C28:C30">
    <cfRule type="cellIs" dxfId="342" priority="7" operator="lessThan">
      <formula>0</formula>
    </cfRule>
    <cfRule type="cellIs" dxfId="341" priority="8" operator="between">
      <formula>0</formula>
      <formula>0.3</formula>
    </cfRule>
    <cfRule type="cellIs" dxfId="340" priority="9" operator="greaterThan">
      <formula>0.3</formula>
    </cfRule>
  </conditionalFormatting>
  <conditionalFormatting sqref="E28:E30">
    <cfRule type="cellIs" dxfId="339" priority="4" operator="lessThan">
      <formula>0</formula>
    </cfRule>
    <cfRule type="cellIs" dxfId="338" priority="5" operator="between">
      <formula>0</formula>
      <formula>0.3</formula>
    </cfRule>
    <cfRule type="cellIs" dxfId="337" priority="6" operator="greaterThan">
      <formula>0.3</formula>
    </cfRule>
  </conditionalFormatting>
  <conditionalFormatting sqref="F28:F30">
    <cfRule type="cellIs" dxfId="336" priority="1" operator="lessThan">
      <formula>0</formula>
    </cfRule>
    <cfRule type="cellIs" dxfId="335" priority="2" operator="between">
      <formula>0</formula>
      <formula>0.3</formula>
    </cfRule>
    <cfRule type="cellIs" dxfId="334" priority="3" operator="greaterThan">
      <formula>0.3</formula>
    </cfRule>
  </conditionalFormatting>
  <hyperlinks>
    <hyperlink ref="B4" r:id="rId1" display="THO" xr:uid="{DDF217DD-81D6-4F7B-9E0C-1532B573C247}"/>
    <hyperlink ref="A33" r:id="rId2" xr:uid="{086BA461-24CD-4129-B31C-6080463C05C1}"/>
  </hyperlinks>
  <pageMargins left="0.7" right="0.7" top="0.75" bottom="0.75" header="0.3" footer="0.3"/>
  <pageSetup paperSize="9" orientation="portrait" r:id="rId3"/>
  <drawing r:id="rId4"/>
  <legacyDrawing r:id="rId5"/>
  <tableParts count="4">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dataBar" id="{BFD1914A-732C-468B-A096-EEBBCE8CDFD7}">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65842F59-9B78-4925-88F9-610B79E4A9CD}">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BAA53118-AD33-4B94-8016-C797986631FA}">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29CDE1C9-9074-41A7-8218-7D001F868D15}">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068A61A9-5211-412F-850D-96E4A1981A85}">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2676A-67BA-452E-ACD0-05F08D3EB1DF}">
  <dimension ref="A1:BA45"/>
  <sheetViews>
    <sheetView workbookViewId="0">
      <selection activeCell="E29" sqref="E29"/>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8132</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MIN(Table1583[])</f>
        <v>0.1203</v>
      </c>
      <c r="AA2" s="8">
        <f>Z2</f>
        <v>0.1203</v>
      </c>
      <c r="AB2" s="9">
        <f t="shared" ref="AB2:AJ3" si="1">AA2</f>
        <v>0.1203</v>
      </c>
      <c r="AC2" s="9">
        <f t="shared" si="1"/>
        <v>0.1203</v>
      </c>
      <c r="AD2" s="9">
        <f t="shared" si="1"/>
        <v>0.1203</v>
      </c>
      <c r="AE2" s="9">
        <f t="shared" si="1"/>
        <v>0.1203</v>
      </c>
      <c r="AF2" s="9">
        <f t="shared" si="1"/>
        <v>0.1203</v>
      </c>
      <c r="AG2" s="9">
        <f t="shared" si="1"/>
        <v>0.1203</v>
      </c>
      <c r="AH2" s="9">
        <f t="shared" si="1"/>
        <v>0.1203</v>
      </c>
      <c r="AI2" s="9">
        <f t="shared" si="1"/>
        <v>0.1203</v>
      </c>
      <c r="AJ2" s="25">
        <f t="shared" si="1"/>
        <v>0.1203</v>
      </c>
      <c r="AL2" s="18" t="s">
        <v>36</v>
      </c>
      <c r="AM2" s="67">
        <f>Z2</f>
        <v>0.1203</v>
      </c>
      <c r="BA2" s="17"/>
    </row>
    <row r="3" spans="1:53" x14ac:dyDescent="0.25">
      <c r="A3" t="s">
        <v>49</v>
      </c>
      <c r="B3" s="58" t="s">
        <v>165</v>
      </c>
      <c r="H3" s="2" t="s">
        <v>6</v>
      </c>
      <c r="I3" s="8">
        <f>AVERAGE(M3:W3)</f>
        <v>0.20657272727272727</v>
      </c>
      <c r="J3" s="9">
        <f>AVERAGE(S3:W3)</f>
        <v>0.29636000000000001</v>
      </c>
      <c r="K3" s="9">
        <f>W3</f>
        <v>0.32219999999999999</v>
      </c>
      <c r="L3" s="10" t="s">
        <v>7</v>
      </c>
      <c r="M3" s="11">
        <v>0.15379999999999999</v>
      </c>
      <c r="N3" s="12">
        <v>0.1217</v>
      </c>
      <c r="O3" s="12">
        <v>8.1299999999999997E-2</v>
      </c>
      <c r="P3" s="12">
        <v>0.1109</v>
      </c>
      <c r="Q3" s="12">
        <v>9.3399999999999997E-2</v>
      </c>
      <c r="R3" s="12">
        <v>0.22939999999999999</v>
      </c>
      <c r="S3" s="12">
        <v>0.33679999999999999</v>
      </c>
      <c r="T3" s="12">
        <v>0.39300000000000002</v>
      </c>
      <c r="U3" s="12">
        <v>0.2039</v>
      </c>
      <c r="V3" s="12">
        <v>0.22589999999999999</v>
      </c>
      <c r="W3" s="13">
        <v>0.32219999999999999</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166</v>
      </c>
      <c r="H4" s="14" t="s">
        <v>8</v>
      </c>
      <c r="I4" s="15">
        <f>AVERAGE(M4:W4)</f>
        <v>0.20129999999999998</v>
      </c>
      <c r="J4" s="16">
        <f>AVERAGE(S4:W4)</f>
        <v>0.33960000000000001</v>
      </c>
      <c r="K4" s="16">
        <f>W4</f>
        <v>0.53700000000000003</v>
      </c>
      <c r="L4" s="17" t="s">
        <v>7</v>
      </c>
      <c r="M4" s="18" t="s">
        <v>7</v>
      </c>
      <c r="N4" s="12">
        <v>0.13</v>
      </c>
      <c r="O4" s="12">
        <v>-5.0000000000000001E-3</v>
      </c>
      <c r="P4" s="12">
        <v>1.6E-2</v>
      </c>
      <c r="Q4" s="12">
        <v>7.2999999999999995E-2</v>
      </c>
      <c r="R4" s="12">
        <v>0.10100000000000001</v>
      </c>
      <c r="S4" s="12">
        <v>0.14899999999999999</v>
      </c>
      <c r="T4" s="12">
        <v>0.49199999999999999</v>
      </c>
      <c r="U4" s="12">
        <v>0.17100000000000001</v>
      </c>
      <c r="V4" s="12">
        <v>0.34899999999999998</v>
      </c>
      <c r="W4" s="13">
        <v>0.53700000000000003</v>
      </c>
      <c r="Y4" s="5" t="s">
        <v>15</v>
      </c>
      <c r="Z4" s="29">
        <v>37</v>
      </c>
      <c r="AA4" s="30">
        <f t="shared" si="2"/>
        <v>37</v>
      </c>
      <c r="AB4" s="31">
        <f t="shared" si="2"/>
        <v>37</v>
      </c>
      <c r="AC4" s="31">
        <f t="shared" si="2"/>
        <v>37</v>
      </c>
      <c r="AD4" s="31">
        <f t="shared" si="2"/>
        <v>37</v>
      </c>
      <c r="AE4" s="31">
        <f t="shared" si="2"/>
        <v>37</v>
      </c>
      <c r="AF4" s="31">
        <f t="shared" si="2"/>
        <v>37</v>
      </c>
      <c r="AG4" s="31">
        <f t="shared" si="2"/>
        <v>37</v>
      </c>
      <c r="AH4" s="31">
        <f t="shared" si="2"/>
        <v>37</v>
      </c>
      <c r="AI4" s="31">
        <f t="shared" si="2"/>
        <v>37</v>
      </c>
      <c r="AJ4" s="32">
        <f t="shared" si="2"/>
        <v>37</v>
      </c>
      <c r="AL4" s="18" t="s">
        <v>38</v>
      </c>
      <c r="AM4" s="64">
        <v>15</v>
      </c>
      <c r="BA4" s="17"/>
    </row>
    <row r="5" spans="1:53" x14ac:dyDescent="0.25">
      <c r="A5" t="s">
        <v>34</v>
      </c>
      <c r="B5" s="92">
        <v>44924</v>
      </c>
      <c r="H5" s="14" t="s">
        <v>9</v>
      </c>
      <c r="I5" s="15">
        <f>AVERAGE(M5:W5)</f>
        <v>0.43730000000000002</v>
      </c>
      <c r="J5" s="16">
        <f>AVERAGE(S5:W5)</f>
        <v>0.54</v>
      </c>
      <c r="K5" s="16">
        <f>W5</f>
        <v>1.2250000000000001</v>
      </c>
      <c r="L5" s="17" t="s">
        <v>7</v>
      </c>
      <c r="M5" s="18" t="s">
        <v>7</v>
      </c>
      <c r="N5" s="12">
        <v>0</v>
      </c>
      <c r="O5" s="12">
        <v>-0.217</v>
      </c>
      <c r="P5" s="12">
        <v>0.55600000000000005</v>
      </c>
      <c r="Q5" s="12">
        <v>-3.5999999999999997E-2</v>
      </c>
      <c r="R5" s="12">
        <v>1.37</v>
      </c>
      <c r="S5" s="12">
        <v>0.89100000000000001</v>
      </c>
      <c r="T5" s="12">
        <v>0.372</v>
      </c>
      <c r="U5" s="12">
        <v>-0.31900000000000001</v>
      </c>
      <c r="V5" s="12">
        <v>0.53100000000000003</v>
      </c>
      <c r="W5" s="13">
        <v>1.2250000000000001</v>
      </c>
      <c r="Y5" s="1" t="s">
        <v>16</v>
      </c>
      <c r="Z5" s="33">
        <v>3.85</v>
      </c>
      <c r="AA5" s="34">
        <f>Z5</f>
        <v>3.85</v>
      </c>
      <c r="AB5" s="35">
        <f t="shared" ref="AB5:AJ5" si="3">AA5*(1+$Z2)</f>
        <v>4.3131550000000001</v>
      </c>
      <c r="AC5" s="35">
        <f t="shared" si="3"/>
        <v>4.8320275465</v>
      </c>
      <c r="AD5" s="35">
        <f t="shared" si="3"/>
        <v>5.4133204603439502</v>
      </c>
      <c r="AE5" s="35">
        <f t="shared" si="3"/>
        <v>6.0645429117233274</v>
      </c>
      <c r="AF5" s="35">
        <f t="shared" si="3"/>
        <v>6.7941074240036441</v>
      </c>
      <c r="AG5" s="35">
        <f t="shared" si="3"/>
        <v>7.6114385471112831</v>
      </c>
      <c r="AH5" s="35">
        <f t="shared" si="3"/>
        <v>8.5270946043287719</v>
      </c>
      <c r="AI5" s="35">
        <f t="shared" si="3"/>
        <v>9.5529040852295246</v>
      </c>
      <c r="AJ5" s="36">
        <f t="shared" si="3"/>
        <v>10.702118446682638</v>
      </c>
      <c r="AL5" s="18" t="s">
        <v>39</v>
      </c>
      <c r="AM5" s="40">
        <v>1990</v>
      </c>
      <c r="BA5" s="17"/>
    </row>
    <row r="6" spans="1:53" x14ac:dyDescent="0.25">
      <c r="A6" t="s">
        <v>44</v>
      </c>
      <c r="B6" s="62">
        <v>152.06</v>
      </c>
      <c r="H6" s="14" t="s">
        <v>10</v>
      </c>
      <c r="I6" s="15">
        <f>AVERAGE(M6:W6)</f>
        <v>0.23039999999999999</v>
      </c>
      <c r="J6" s="16">
        <f>AVERAGE(S6:W6)</f>
        <v>0.33700000000000002</v>
      </c>
      <c r="K6" s="16">
        <f>W6</f>
        <v>0.61399999999999999</v>
      </c>
      <c r="L6" s="17" t="s">
        <v>7</v>
      </c>
      <c r="M6" s="18" t="s">
        <v>7</v>
      </c>
      <c r="N6" s="12">
        <v>7.0999999999999994E-2</v>
      </c>
      <c r="O6" s="12">
        <v>-3.5000000000000003E-2</v>
      </c>
      <c r="P6" s="12">
        <v>0.13400000000000001</v>
      </c>
      <c r="Q6" s="12">
        <v>7.0000000000000007E-2</v>
      </c>
      <c r="R6" s="12">
        <v>0.379</v>
      </c>
      <c r="S6" s="12">
        <v>0.40600000000000003</v>
      </c>
      <c r="T6" s="12">
        <v>0.20599999999999999</v>
      </c>
      <c r="U6" s="12">
        <v>-6.8000000000000005E-2</v>
      </c>
      <c r="V6" s="12">
        <v>0.52700000000000002</v>
      </c>
      <c r="W6" s="13">
        <v>0.61399999999999999</v>
      </c>
      <c r="Y6" s="5" t="s">
        <v>19</v>
      </c>
      <c r="Z6" s="37">
        <f>AA6</f>
        <v>112.56177013295373</v>
      </c>
      <c r="AA6" s="38">
        <f t="shared" ref="AA6:AI6" si="4">AB6/(1+$Z3)</f>
        <v>112.56177013295373</v>
      </c>
      <c r="AB6" s="38">
        <f t="shared" si="4"/>
        <v>129.44603565289677</v>
      </c>
      <c r="AC6" s="38">
        <f t="shared" si="4"/>
        <v>148.86294100083128</v>
      </c>
      <c r="AD6" s="38">
        <f t="shared" si="4"/>
        <v>171.19238215095595</v>
      </c>
      <c r="AE6" s="38">
        <f t="shared" si="4"/>
        <v>196.87123947359933</v>
      </c>
      <c r="AF6" s="38">
        <f t="shared" si="4"/>
        <v>226.40192539463922</v>
      </c>
      <c r="AG6" s="38">
        <f t="shared" si="4"/>
        <v>260.36221420383509</v>
      </c>
      <c r="AH6" s="38">
        <f t="shared" si="4"/>
        <v>299.41654633441033</v>
      </c>
      <c r="AI6" s="38">
        <f t="shared" si="4"/>
        <v>344.32902828457185</v>
      </c>
      <c r="AJ6" s="39">
        <f>AJ5*$Z4</f>
        <v>395.97838252725762</v>
      </c>
      <c r="AL6" s="5" t="s">
        <v>40</v>
      </c>
      <c r="AM6" s="45">
        <v>2460</v>
      </c>
      <c r="BA6" s="17"/>
    </row>
    <row r="7" spans="1:53" x14ac:dyDescent="0.25">
      <c r="A7" t="s">
        <v>45</v>
      </c>
      <c r="B7" s="58"/>
      <c r="H7" s="14" t="s">
        <v>11</v>
      </c>
      <c r="I7" s="15">
        <f>AVERAGE(M7:W7)</f>
        <v>0.30670000000000003</v>
      </c>
      <c r="J7" s="16">
        <f>AVERAGE(S7:W7)</f>
        <v>0.44299999999999995</v>
      </c>
      <c r="K7" s="16">
        <f>W7</f>
        <v>0.73199999999999998</v>
      </c>
      <c r="L7" s="17" t="s">
        <v>7</v>
      </c>
      <c r="M7" s="18" t="s">
        <v>7</v>
      </c>
      <c r="N7" s="12">
        <v>-0.16800000000000001</v>
      </c>
      <c r="O7" s="12">
        <v>-9.5000000000000001E-2</v>
      </c>
      <c r="P7" s="12">
        <v>0.35</v>
      </c>
      <c r="Q7" s="12">
        <v>0.39100000000000001</v>
      </c>
      <c r="R7" s="12">
        <v>0.374</v>
      </c>
      <c r="S7" s="12">
        <v>0.94499999999999995</v>
      </c>
      <c r="T7" s="12">
        <v>0.08</v>
      </c>
      <c r="U7" s="12">
        <v>0.35899999999999999</v>
      </c>
      <c r="V7" s="12">
        <v>9.9000000000000005E-2</v>
      </c>
      <c r="W7" s="13">
        <v>0.73199999999999998</v>
      </c>
      <c r="AL7" s="18"/>
      <c r="BA7" s="17"/>
    </row>
    <row r="8" spans="1:53" x14ac:dyDescent="0.25">
      <c r="A8" t="s">
        <v>46</v>
      </c>
      <c r="B8" s="58"/>
      <c r="H8" s="19" t="s">
        <v>12</v>
      </c>
      <c r="I8" s="5" t="s">
        <v>7</v>
      </c>
      <c r="J8" s="6" t="s">
        <v>7</v>
      </c>
      <c r="K8" s="6" t="s">
        <v>7</v>
      </c>
      <c r="L8" s="20">
        <v>1.35</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82</v>
      </c>
      <c r="B9" s="58"/>
      <c r="H9" s="43"/>
      <c r="Y9" s="1"/>
      <c r="AA9" s="1"/>
      <c r="AB9" s="42"/>
      <c r="AC9" s="42"/>
      <c r="AD9" s="42"/>
      <c r="AE9" s="42"/>
      <c r="AF9" s="42"/>
      <c r="AG9" s="42"/>
      <c r="AH9" s="42"/>
      <c r="AI9" s="42"/>
      <c r="AJ9" s="10"/>
      <c r="AL9" s="1"/>
      <c r="AM9" s="10"/>
      <c r="AN9" s="1"/>
      <c r="AO9" s="42"/>
      <c r="AP9" s="42"/>
      <c r="AQ9" s="42"/>
      <c r="AR9" s="42"/>
      <c r="AS9" s="42"/>
      <c r="AT9" s="42"/>
      <c r="AU9" s="42"/>
      <c r="AV9" s="42"/>
      <c r="AW9" s="42"/>
      <c r="AX9" s="10"/>
      <c r="AY9" s="93"/>
      <c r="AZ9" s="93"/>
      <c r="BA9" s="94"/>
    </row>
    <row r="10" spans="1:53" ht="15.75" thickBot="1" x14ac:dyDescent="0.3">
      <c r="A10" t="s">
        <v>47</v>
      </c>
      <c r="B10" s="58"/>
      <c r="Y10" s="1" t="s">
        <v>13</v>
      </c>
      <c r="Z10" s="65">
        <f>AVERAGE(Table1583[])</f>
        <v>0.1782</v>
      </c>
      <c r="AA10" s="8">
        <f>Z10</f>
        <v>0.1782</v>
      </c>
      <c r="AB10" s="9">
        <f t="shared" ref="AB10:AJ11" si="5">AA10</f>
        <v>0.1782</v>
      </c>
      <c r="AC10" s="9">
        <f t="shared" si="5"/>
        <v>0.1782</v>
      </c>
      <c r="AD10" s="9">
        <f t="shared" si="5"/>
        <v>0.1782</v>
      </c>
      <c r="AE10" s="9">
        <f t="shared" si="5"/>
        <v>0.1782</v>
      </c>
      <c r="AF10" s="9">
        <f t="shared" si="5"/>
        <v>0.1782</v>
      </c>
      <c r="AG10" s="9">
        <f t="shared" si="5"/>
        <v>0.1782</v>
      </c>
      <c r="AH10" s="9">
        <f t="shared" si="5"/>
        <v>0.1782</v>
      </c>
      <c r="AI10" s="9">
        <f t="shared" si="5"/>
        <v>0.1782</v>
      </c>
      <c r="AJ10" s="25">
        <f t="shared" si="5"/>
        <v>0.1782</v>
      </c>
      <c r="AL10" s="1" t="s">
        <v>42</v>
      </c>
      <c r="AM10" s="10"/>
      <c r="AN10" s="48">
        <f>$AM1</f>
        <v>8132</v>
      </c>
      <c r="AO10" s="49">
        <f t="shared" ref="AO10:AW10" si="6">AN10+AN10*$AM2</f>
        <v>9110.2795999999998</v>
      </c>
      <c r="AP10" s="49">
        <f t="shared" si="6"/>
        <v>10206.24623588</v>
      </c>
      <c r="AQ10" s="49">
        <f t="shared" si="6"/>
        <v>11434.057658056365</v>
      </c>
      <c r="AR10" s="49">
        <f t="shared" si="6"/>
        <v>12809.574794320546</v>
      </c>
      <c r="AS10" s="49">
        <f t="shared" si="6"/>
        <v>14350.566642077309</v>
      </c>
      <c r="AT10" s="49">
        <f t="shared" si="6"/>
        <v>16076.939809119209</v>
      </c>
      <c r="AU10" s="49">
        <f t="shared" si="6"/>
        <v>18010.995668156251</v>
      </c>
      <c r="AV10" s="49">
        <f t="shared" si="6"/>
        <v>20177.718447035448</v>
      </c>
      <c r="AW10" s="49">
        <f t="shared" si="6"/>
        <v>22605.097976213812</v>
      </c>
      <c r="AX10" s="50">
        <f>$AM4*AW10</f>
        <v>339076.46964320721</v>
      </c>
      <c r="AY10" s="51"/>
      <c r="AZ10" s="49"/>
      <c r="BA10" s="10"/>
    </row>
    <row r="11" spans="1:53" ht="15.75" thickBot="1" x14ac:dyDescent="0.3">
      <c r="A11" t="s">
        <v>48</v>
      </c>
      <c r="B11" s="58"/>
      <c r="N11" s="102"/>
      <c r="O11" s="103"/>
      <c r="P11" s="102"/>
      <c r="Q11" s="103"/>
      <c r="R11" s="102"/>
      <c r="S11" s="102"/>
      <c r="T11" s="102"/>
      <c r="U11" s="103"/>
      <c r="V11" s="102"/>
      <c r="W11" s="104"/>
      <c r="Y11" s="18" t="s">
        <v>14</v>
      </c>
      <c r="Z11">
        <f>Z3</f>
        <v>0.15</v>
      </c>
      <c r="AA11" s="26">
        <f t="shared" ref="AA11:AJ12" si="7">Z11</f>
        <v>0.15</v>
      </c>
      <c r="AB11" s="27">
        <f t="shared" si="5"/>
        <v>0.15</v>
      </c>
      <c r="AC11" s="27">
        <f t="shared" si="5"/>
        <v>0.15</v>
      </c>
      <c r="AD11" s="27">
        <f t="shared" si="5"/>
        <v>0.15</v>
      </c>
      <c r="AE11" s="27">
        <f t="shared" si="5"/>
        <v>0.15</v>
      </c>
      <c r="AF11" s="27">
        <f t="shared" si="5"/>
        <v>0.15</v>
      </c>
      <c r="AG11" s="27">
        <f t="shared" si="5"/>
        <v>0.15</v>
      </c>
      <c r="AH11" s="27">
        <f t="shared" si="5"/>
        <v>0.15</v>
      </c>
      <c r="AI11" s="27">
        <f t="shared" si="5"/>
        <v>0.15</v>
      </c>
      <c r="AJ11" s="28">
        <f t="shared" si="5"/>
        <v>0.15</v>
      </c>
      <c r="AL11" s="5" t="s">
        <v>43</v>
      </c>
      <c r="AM11" s="7"/>
      <c r="AN11" s="52">
        <f>AN10/(1+$AM3)</f>
        <v>7071.3043478260879</v>
      </c>
      <c r="AO11" s="53">
        <f t="shared" ref="AO11:AW11" si="8">(1+$AM2)*AN11/(1+$AM3)</f>
        <v>6888.680226843102</v>
      </c>
      <c r="AP11" s="53">
        <f t="shared" si="8"/>
        <v>6710.7725722889809</v>
      </c>
      <c r="AQ11" s="53">
        <f t="shared" si="8"/>
        <v>6537.4595762916051</v>
      </c>
      <c r="AR11" s="53">
        <f t="shared" si="8"/>
        <v>6368.6225767995538</v>
      </c>
      <c r="AS11" s="53">
        <f t="shared" si="8"/>
        <v>6204.1459763378616</v>
      </c>
      <c r="AT11" s="53">
        <f t="shared" si="8"/>
        <v>6043.9171628620061</v>
      </c>
      <c r="AU11" s="53">
        <f t="shared" si="8"/>
        <v>5887.8264326559183</v>
      </c>
      <c r="AV11" s="53">
        <f t="shared" si="8"/>
        <v>5735.7669152212402</v>
      </c>
      <c r="AW11" s="53">
        <f t="shared" si="8"/>
        <v>5587.6345001063964</v>
      </c>
      <c r="AX11" s="54">
        <f>AX10/(1+AM3)^AX8</f>
        <v>83814.517501595939</v>
      </c>
      <c r="AY11" s="53">
        <f>SUM(AN11:AX11)</f>
        <v>146850.6477888287</v>
      </c>
      <c r="AZ11" s="53">
        <f>AY11+AM5</f>
        <v>148840.6477888287</v>
      </c>
      <c r="BA11" s="55">
        <f>AZ11/AM6</f>
        <v>60.504328369442561</v>
      </c>
    </row>
    <row r="12" spans="1:53" x14ac:dyDescent="0.25">
      <c r="A12" t="s">
        <v>65</v>
      </c>
      <c r="B12" s="92"/>
      <c r="Y12" s="5" t="s">
        <v>15</v>
      </c>
      <c r="Z12" s="7">
        <f>Z4</f>
        <v>37</v>
      </c>
      <c r="AA12" s="30">
        <f t="shared" si="7"/>
        <v>37</v>
      </c>
      <c r="AB12" s="31">
        <f t="shared" si="7"/>
        <v>37</v>
      </c>
      <c r="AC12" s="31">
        <f t="shared" si="7"/>
        <v>37</v>
      </c>
      <c r="AD12" s="31">
        <f t="shared" si="7"/>
        <v>37</v>
      </c>
      <c r="AE12" s="31">
        <f t="shared" si="7"/>
        <v>37</v>
      </c>
      <c r="AF12" s="31">
        <f t="shared" si="7"/>
        <v>37</v>
      </c>
      <c r="AG12" s="31">
        <f t="shared" si="7"/>
        <v>37</v>
      </c>
      <c r="AH12" s="31">
        <f t="shared" si="7"/>
        <v>37</v>
      </c>
      <c r="AI12" s="31">
        <f t="shared" si="7"/>
        <v>37</v>
      </c>
      <c r="AJ12" s="32">
        <f t="shared" si="7"/>
        <v>37</v>
      </c>
    </row>
    <row r="13" spans="1:53" x14ac:dyDescent="0.25">
      <c r="Y13" s="1" t="s">
        <v>16</v>
      </c>
      <c r="Z13">
        <f>Z5</f>
        <v>3.85</v>
      </c>
      <c r="AA13" s="34">
        <f>Z13</f>
        <v>3.85</v>
      </c>
      <c r="AB13" s="35">
        <f t="shared" ref="AB13:AJ13" si="9">AA13*(1+$Z10)</f>
        <v>4.5360699999999996</v>
      </c>
      <c r="AC13" s="35">
        <f t="shared" si="9"/>
        <v>5.3443976739999988</v>
      </c>
      <c r="AD13" s="35">
        <f t="shared" si="9"/>
        <v>6.2967693395067981</v>
      </c>
      <c r="AE13" s="35">
        <f t="shared" si="9"/>
        <v>7.4188536358069088</v>
      </c>
      <c r="AF13" s="35">
        <f t="shared" si="9"/>
        <v>8.7408933537076994</v>
      </c>
      <c r="AG13" s="35">
        <f t="shared" si="9"/>
        <v>10.298520549338411</v>
      </c>
      <c r="AH13" s="35">
        <f t="shared" si="9"/>
        <v>12.133716911230515</v>
      </c>
      <c r="AI13" s="35">
        <f t="shared" si="9"/>
        <v>14.295945264811792</v>
      </c>
      <c r="AJ13" s="36">
        <f t="shared" si="9"/>
        <v>16.843482711001251</v>
      </c>
      <c r="AL13" s="1" t="s">
        <v>35</v>
      </c>
      <c r="AM13" s="72">
        <f>AM1</f>
        <v>8132</v>
      </c>
      <c r="AN13" s="42"/>
      <c r="AO13" s="42"/>
      <c r="AP13" s="42"/>
      <c r="AQ13" s="42"/>
      <c r="AR13" s="42"/>
      <c r="AS13" s="42"/>
      <c r="AT13" s="42"/>
      <c r="AU13" s="42"/>
      <c r="AV13" s="42"/>
      <c r="AW13" s="42"/>
      <c r="AX13" s="42"/>
      <c r="AY13" s="42"/>
      <c r="AZ13" s="42"/>
      <c r="BA13" s="10"/>
    </row>
    <row r="14" spans="1:53" ht="18.75" x14ac:dyDescent="0.3">
      <c r="A14" s="56" t="s">
        <v>29</v>
      </c>
      <c r="Y14" s="5" t="s">
        <v>19</v>
      </c>
      <c r="Z14" s="37">
        <f>AA14</f>
        <v>177.15485383567113</v>
      </c>
      <c r="AA14" s="38">
        <f t="shared" ref="AA14:AI14" si="10">AB14/(1+$Z11)</f>
        <v>177.15485383567113</v>
      </c>
      <c r="AB14" s="38">
        <f t="shared" si="10"/>
        <v>203.72808191102177</v>
      </c>
      <c r="AC14" s="38">
        <f t="shared" si="10"/>
        <v>234.28729419767504</v>
      </c>
      <c r="AD14" s="38">
        <f t="shared" si="10"/>
        <v>269.43038832732628</v>
      </c>
      <c r="AE14" s="38">
        <f t="shared" si="10"/>
        <v>309.84494657642523</v>
      </c>
      <c r="AF14" s="38">
        <f t="shared" si="10"/>
        <v>356.32168856288899</v>
      </c>
      <c r="AG14" s="38">
        <f t="shared" si="10"/>
        <v>409.76994184732234</v>
      </c>
      <c r="AH14" s="38">
        <f t="shared" si="10"/>
        <v>471.23543312442064</v>
      </c>
      <c r="AI14" s="38">
        <f t="shared" si="10"/>
        <v>541.92074809308372</v>
      </c>
      <c r="AJ14" s="39">
        <f>AJ13*$Z12</f>
        <v>623.20886030704628</v>
      </c>
      <c r="AL14" s="18" t="s">
        <v>36</v>
      </c>
      <c r="AM14" s="68">
        <f>Z10</f>
        <v>0.1782</v>
      </c>
      <c r="BA14" s="17"/>
    </row>
    <row r="15" spans="1:53" x14ac:dyDescent="0.25">
      <c r="A15" s="43" t="s">
        <v>32</v>
      </c>
      <c r="B15" s="18" t="s">
        <v>0</v>
      </c>
      <c r="C15" t="s">
        <v>1</v>
      </c>
      <c r="D15" t="s">
        <v>2</v>
      </c>
      <c r="E15" t="s">
        <v>3</v>
      </c>
      <c r="AL15" s="18" t="s">
        <v>37</v>
      </c>
      <c r="AM15" s="69">
        <f>AM3</f>
        <v>0.15</v>
      </c>
      <c r="BA15" s="17"/>
    </row>
    <row r="16" spans="1:53" x14ac:dyDescent="0.25">
      <c r="A16" t="s">
        <v>52</v>
      </c>
      <c r="B16" t="s">
        <v>4</v>
      </c>
      <c r="C16" t="s">
        <v>4</v>
      </c>
      <c r="D16" t="s">
        <v>4</v>
      </c>
      <c r="E16" t="s">
        <v>5</v>
      </c>
      <c r="Y16" s="21" t="s">
        <v>61</v>
      </c>
      <c r="Z16" s="22"/>
      <c r="AA16" s="21">
        <v>2021</v>
      </c>
      <c r="AB16" s="23">
        <v>2022</v>
      </c>
      <c r="AC16" s="23">
        <v>2023</v>
      </c>
      <c r="AD16" s="23">
        <v>2024</v>
      </c>
      <c r="AE16" s="23">
        <v>2025</v>
      </c>
      <c r="AF16" s="23">
        <v>2026</v>
      </c>
      <c r="AG16" s="23">
        <v>2027</v>
      </c>
      <c r="AH16" s="23">
        <v>2028</v>
      </c>
      <c r="AI16" s="23">
        <v>2029</v>
      </c>
      <c r="AJ16" s="24">
        <v>2030</v>
      </c>
      <c r="AL16" s="18" t="s">
        <v>38</v>
      </c>
      <c r="AM16" s="69">
        <f>AM4</f>
        <v>15</v>
      </c>
      <c r="BA16" s="17"/>
    </row>
    <row r="17" spans="1:53" x14ac:dyDescent="0.25">
      <c r="A17" t="s">
        <v>23</v>
      </c>
      <c r="B17" s="16">
        <f t="shared" ref="B17:D21" si="11">I3</f>
        <v>0.20657272727272727</v>
      </c>
      <c r="C17" s="16">
        <f t="shared" si="11"/>
        <v>0.29636000000000001</v>
      </c>
      <c r="D17" s="16">
        <f t="shared" si="11"/>
        <v>0.32219999999999999</v>
      </c>
      <c r="Y17" s="1" t="s">
        <v>13</v>
      </c>
      <c r="Z17" s="60">
        <f>MAX(Table1583[])</f>
        <v>0.21299999999999999</v>
      </c>
      <c r="AA17" s="8">
        <f>Z17</f>
        <v>0.21299999999999999</v>
      </c>
      <c r="AB17" s="9">
        <f t="shared" ref="AB17:AJ18" si="12">AA17</f>
        <v>0.21299999999999999</v>
      </c>
      <c r="AC17" s="9">
        <f t="shared" si="12"/>
        <v>0.21299999999999999</v>
      </c>
      <c r="AD17" s="9">
        <f t="shared" si="12"/>
        <v>0.21299999999999999</v>
      </c>
      <c r="AE17" s="9">
        <f t="shared" si="12"/>
        <v>0.21299999999999999</v>
      </c>
      <c r="AF17" s="9">
        <f t="shared" si="12"/>
        <v>0.21299999999999999</v>
      </c>
      <c r="AG17" s="9">
        <f t="shared" si="12"/>
        <v>0.21299999999999999</v>
      </c>
      <c r="AH17" s="9">
        <f t="shared" si="12"/>
        <v>0.21299999999999999</v>
      </c>
      <c r="AI17" s="9">
        <f t="shared" si="12"/>
        <v>0.21299999999999999</v>
      </c>
      <c r="AJ17" s="25">
        <f t="shared" si="12"/>
        <v>0.21299999999999999</v>
      </c>
      <c r="AL17" s="18" t="s">
        <v>39</v>
      </c>
      <c r="AM17" s="69">
        <f>AM5</f>
        <v>1990</v>
      </c>
      <c r="BA17" s="17"/>
    </row>
    <row r="18" spans="1:53" x14ac:dyDescent="0.25">
      <c r="A18" t="s">
        <v>24</v>
      </c>
      <c r="B18" s="16">
        <f t="shared" si="11"/>
        <v>0.20129999999999998</v>
      </c>
      <c r="C18" s="16">
        <f t="shared" si="11"/>
        <v>0.33960000000000001</v>
      </c>
      <c r="D18" s="16">
        <f t="shared" si="11"/>
        <v>0.53700000000000003</v>
      </c>
      <c r="Y18" s="18" t="s">
        <v>14</v>
      </c>
      <c r="Z18">
        <f>Z3</f>
        <v>0.15</v>
      </c>
      <c r="AA18" s="26">
        <f t="shared" ref="AA18:AJ19" si="13">Z18</f>
        <v>0.15</v>
      </c>
      <c r="AB18" s="27">
        <f t="shared" si="12"/>
        <v>0.15</v>
      </c>
      <c r="AC18" s="27">
        <f t="shared" si="12"/>
        <v>0.15</v>
      </c>
      <c r="AD18" s="27">
        <f t="shared" si="12"/>
        <v>0.15</v>
      </c>
      <c r="AE18" s="27">
        <f t="shared" si="12"/>
        <v>0.15</v>
      </c>
      <c r="AF18" s="27">
        <f t="shared" si="12"/>
        <v>0.15</v>
      </c>
      <c r="AG18" s="27">
        <f t="shared" si="12"/>
        <v>0.15</v>
      </c>
      <c r="AH18" s="27">
        <f t="shared" si="12"/>
        <v>0.15</v>
      </c>
      <c r="AI18" s="27">
        <f t="shared" si="12"/>
        <v>0.15</v>
      </c>
      <c r="AJ18" s="28">
        <f t="shared" si="12"/>
        <v>0.15</v>
      </c>
      <c r="AL18" s="5" t="s">
        <v>40</v>
      </c>
      <c r="AM18" s="70">
        <f>AM6</f>
        <v>2460</v>
      </c>
      <c r="BA18" s="17"/>
    </row>
    <row r="19" spans="1:53" x14ac:dyDescent="0.25">
      <c r="A19" t="s">
        <v>25</v>
      </c>
      <c r="B19" s="16">
        <f t="shared" si="11"/>
        <v>0.43730000000000002</v>
      </c>
      <c r="C19" s="16">
        <f t="shared" si="11"/>
        <v>0.54</v>
      </c>
      <c r="D19" s="16">
        <f t="shared" si="11"/>
        <v>1.2250000000000001</v>
      </c>
      <c r="Y19" s="5" t="s">
        <v>15</v>
      </c>
      <c r="Z19" s="7">
        <f>Z4</f>
        <v>37</v>
      </c>
      <c r="AA19" s="30">
        <f t="shared" si="13"/>
        <v>37</v>
      </c>
      <c r="AB19" s="31">
        <f t="shared" si="13"/>
        <v>37</v>
      </c>
      <c r="AC19" s="31">
        <f t="shared" si="13"/>
        <v>37</v>
      </c>
      <c r="AD19" s="31">
        <f t="shared" si="13"/>
        <v>37</v>
      </c>
      <c r="AE19" s="31">
        <f t="shared" si="13"/>
        <v>37</v>
      </c>
      <c r="AF19" s="31">
        <f t="shared" si="13"/>
        <v>37</v>
      </c>
      <c r="AG19" s="31">
        <f t="shared" si="13"/>
        <v>37</v>
      </c>
      <c r="AH19" s="31">
        <f t="shared" si="13"/>
        <v>37</v>
      </c>
      <c r="AI19" s="31">
        <f t="shared" si="13"/>
        <v>37</v>
      </c>
      <c r="AJ19" s="32">
        <f t="shared" si="13"/>
        <v>37</v>
      </c>
      <c r="AL19" s="18"/>
      <c r="BA19" s="17"/>
    </row>
    <row r="20" spans="1:53" x14ac:dyDescent="0.25">
      <c r="A20" t="s">
        <v>26</v>
      </c>
      <c r="B20" s="16">
        <f t="shared" si="11"/>
        <v>0.23039999999999999</v>
      </c>
      <c r="C20" s="16">
        <f t="shared" si="11"/>
        <v>0.33700000000000002</v>
      </c>
      <c r="D20" s="16">
        <f t="shared" si="11"/>
        <v>0.61399999999999999</v>
      </c>
      <c r="Y20" s="1" t="s">
        <v>16</v>
      </c>
      <c r="Z20">
        <f>Z5</f>
        <v>3.85</v>
      </c>
      <c r="AA20" s="34">
        <f>Z20</f>
        <v>3.85</v>
      </c>
      <c r="AB20" s="35">
        <f t="shared" ref="AB20:AJ20" si="14">AA20*(1+$Z17)</f>
        <v>4.6700500000000007</v>
      </c>
      <c r="AC20" s="35">
        <f t="shared" si="14"/>
        <v>5.6647706500000012</v>
      </c>
      <c r="AD20" s="35">
        <f t="shared" si="14"/>
        <v>6.8713667984500022</v>
      </c>
      <c r="AE20" s="35">
        <f t="shared" si="14"/>
        <v>8.3349679265198535</v>
      </c>
      <c r="AF20" s="35">
        <f t="shared" si="14"/>
        <v>10.110316094868583</v>
      </c>
      <c r="AG20" s="35">
        <f t="shared" si="14"/>
        <v>12.263813423075593</v>
      </c>
      <c r="AH20" s="35">
        <f t="shared" si="14"/>
        <v>14.876005682190696</v>
      </c>
      <c r="AI20" s="35">
        <f t="shared" si="14"/>
        <v>18.044594892497315</v>
      </c>
      <c r="AJ20" s="36">
        <f t="shared" si="14"/>
        <v>21.888093604599245</v>
      </c>
      <c r="AL20" s="21"/>
      <c r="AM20" s="24"/>
      <c r="AN20" s="21">
        <v>1</v>
      </c>
      <c r="AO20" s="23">
        <v>2</v>
      </c>
      <c r="AP20" s="23">
        <v>3</v>
      </c>
      <c r="AQ20" s="23">
        <v>4</v>
      </c>
      <c r="AR20" s="23">
        <v>5</v>
      </c>
      <c r="AS20" s="23">
        <v>6</v>
      </c>
      <c r="AT20" s="23">
        <v>7</v>
      </c>
      <c r="AU20" s="23">
        <v>8</v>
      </c>
      <c r="AV20" s="23">
        <v>9</v>
      </c>
      <c r="AW20" s="23">
        <v>10</v>
      </c>
      <c r="AX20" s="24">
        <v>10</v>
      </c>
      <c r="AY20" s="46" t="s">
        <v>41</v>
      </c>
      <c r="AZ20" s="46" t="s">
        <v>62</v>
      </c>
      <c r="BA20" s="47" t="s">
        <v>63</v>
      </c>
    </row>
    <row r="21" spans="1:53" x14ac:dyDescent="0.25">
      <c r="A21" t="s">
        <v>27</v>
      </c>
      <c r="B21" s="16">
        <f t="shared" si="11"/>
        <v>0.30670000000000003</v>
      </c>
      <c r="C21" s="16">
        <f t="shared" si="11"/>
        <v>0.44299999999999995</v>
      </c>
      <c r="D21" s="16">
        <f t="shared" si="11"/>
        <v>0.73199999999999998</v>
      </c>
      <c r="Y21" s="5" t="s">
        <v>19</v>
      </c>
      <c r="Z21" s="37">
        <f>AA21</f>
        <v>230.21260447114318</v>
      </c>
      <c r="AA21" s="38">
        <f t="shared" ref="AA21:AI21" si="15">AB21/(1+$Z18)</f>
        <v>230.21260447114318</v>
      </c>
      <c r="AB21" s="38">
        <f t="shared" si="15"/>
        <v>264.74449514181464</v>
      </c>
      <c r="AC21" s="38">
        <f t="shared" si="15"/>
        <v>304.4561694130868</v>
      </c>
      <c r="AD21" s="38">
        <f t="shared" si="15"/>
        <v>350.12459482504977</v>
      </c>
      <c r="AE21" s="38">
        <f t="shared" si="15"/>
        <v>402.64328404880723</v>
      </c>
      <c r="AF21" s="38">
        <f t="shared" si="15"/>
        <v>463.03977665612825</v>
      </c>
      <c r="AG21" s="38">
        <f t="shared" si="15"/>
        <v>532.49574315454743</v>
      </c>
      <c r="AH21" s="38">
        <f t="shared" si="15"/>
        <v>612.37010462772946</v>
      </c>
      <c r="AI21" s="38">
        <f t="shared" si="15"/>
        <v>704.22562032188887</v>
      </c>
      <c r="AJ21" s="39">
        <f>AJ20*$Z19</f>
        <v>809.85946337017208</v>
      </c>
      <c r="AL21" s="1" t="s">
        <v>42</v>
      </c>
      <c r="AM21" s="10"/>
      <c r="AN21" s="48">
        <f>$AM13</f>
        <v>8132</v>
      </c>
      <c r="AO21" s="49">
        <f t="shared" ref="AO21:AW21" si="16">AN21+AN21*$AM14</f>
        <v>9581.1224000000002</v>
      </c>
      <c r="AP21" s="49">
        <f t="shared" si="16"/>
        <v>11288.47841168</v>
      </c>
      <c r="AQ21" s="49">
        <f t="shared" si="16"/>
        <v>13300.085264641377</v>
      </c>
      <c r="AR21" s="49">
        <f t="shared" si="16"/>
        <v>15670.16045880047</v>
      </c>
      <c r="AS21" s="49">
        <f t="shared" si="16"/>
        <v>18462.583052558715</v>
      </c>
      <c r="AT21" s="49">
        <f t="shared" si="16"/>
        <v>21752.615352524677</v>
      </c>
      <c r="AU21" s="49">
        <f t="shared" si="16"/>
        <v>25628.931408344575</v>
      </c>
      <c r="AV21" s="49">
        <f t="shared" si="16"/>
        <v>30196.006985311578</v>
      </c>
      <c r="AW21" s="49">
        <f t="shared" si="16"/>
        <v>35576.935430094105</v>
      </c>
      <c r="AX21" s="50">
        <f>$AM16*AW21</f>
        <v>533654.03145141155</v>
      </c>
      <c r="AY21" s="51"/>
      <c r="AZ21" s="49"/>
      <c r="BA21" s="10"/>
    </row>
    <row r="22" spans="1:53" x14ac:dyDescent="0.25">
      <c r="A22" t="s">
        <v>28</v>
      </c>
      <c r="E22" s="57">
        <f>L8</f>
        <v>1.35</v>
      </c>
      <c r="AL22" s="5" t="s">
        <v>43</v>
      </c>
      <c r="AM22" s="7"/>
      <c r="AN22" s="52">
        <f>AN21/(1+$AM15)</f>
        <v>7071.3043478260879</v>
      </c>
      <c r="AO22" s="53">
        <f t="shared" ref="AO22:AW22" si="17">(1+$AM14)*AN22/(1+$AM15)</f>
        <v>7244.705028355389</v>
      </c>
      <c r="AP22" s="53">
        <f t="shared" si="17"/>
        <v>7422.3577951376701</v>
      </c>
      <c r="AQ22" s="53">
        <f t="shared" si="17"/>
        <v>7604.3669167227854</v>
      </c>
      <c r="AR22" s="53">
        <f t="shared" si="17"/>
        <v>7790.8392185067705</v>
      </c>
      <c r="AS22" s="53">
        <f t="shared" si="17"/>
        <v>7981.8841454301537</v>
      </c>
      <c r="AT22" s="53">
        <f t="shared" si="17"/>
        <v>8177.6138262137456</v>
      </c>
      <c r="AU22" s="53">
        <f t="shared" si="17"/>
        <v>8378.1431391695969</v>
      </c>
      <c r="AV22" s="53">
        <f t="shared" si="17"/>
        <v>8583.5897796257559</v>
      </c>
      <c r="AW22" s="53">
        <f t="shared" si="17"/>
        <v>8794.0743290044047</v>
      </c>
      <c r="AX22" s="54">
        <f>AX21/(1+AM15)^AX20</f>
        <v>131911.11493506611</v>
      </c>
      <c r="AY22" s="53">
        <f>SUM(AN22:AX22)</f>
        <v>210959.99346105848</v>
      </c>
      <c r="AZ22" s="53">
        <f>AY22+AM17</f>
        <v>212949.99346105848</v>
      </c>
      <c r="BA22" s="55">
        <f>AZ22/AM18</f>
        <v>86.565037992300191</v>
      </c>
    </row>
    <row r="23" spans="1:53" x14ac:dyDescent="0.25">
      <c r="AN23" s="75"/>
      <c r="AO23" s="75"/>
      <c r="AP23" s="75"/>
      <c r="AQ23" s="75"/>
      <c r="AR23" s="75"/>
      <c r="AS23" s="75"/>
      <c r="AT23" s="75"/>
      <c r="AU23" s="75"/>
      <c r="AV23" s="75"/>
      <c r="AW23" s="75"/>
      <c r="AX23" s="75"/>
      <c r="AY23" s="75"/>
      <c r="AZ23" s="75"/>
      <c r="BA23" s="76"/>
    </row>
    <row r="24" spans="1:53" ht="18.75" x14ac:dyDescent="0.3">
      <c r="A24" s="56" t="s">
        <v>30</v>
      </c>
      <c r="AL24" s="1" t="s">
        <v>35</v>
      </c>
      <c r="AM24" s="22">
        <f>AM1</f>
        <v>8132</v>
      </c>
      <c r="AN24" s="42"/>
      <c r="AO24" s="42"/>
      <c r="AP24" s="42"/>
      <c r="AQ24" s="42"/>
      <c r="AR24" s="42"/>
      <c r="AS24" s="42"/>
      <c r="AT24" s="42"/>
      <c r="AU24" s="42"/>
      <c r="AV24" s="42"/>
      <c r="AW24" s="42"/>
      <c r="AX24" s="42"/>
      <c r="AY24" s="42"/>
      <c r="AZ24" s="42"/>
      <c r="BA24" s="10"/>
    </row>
    <row r="25" spans="1:53" x14ac:dyDescent="0.25">
      <c r="A25" t="s">
        <v>107</v>
      </c>
      <c r="B25" t="s">
        <v>137</v>
      </c>
      <c r="C25" t="s">
        <v>138</v>
      </c>
      <c r="AL25" s="18" t="s">
        <v>36</v>
      </c>
      <c r="AM25" s="71">
        <f>Z17</f>
        <v>0.21299999999999999</v>
      </c>
      <c r="BA25" s="17"/>
    </row>
    <row r="26" spans="1:53" x14ac:dyDescent="0.25">
      <c r="A26" s="16">
        <f>B18</f>
        <v>0.20129999999999998</v>
      </c>
      <c r="B26" s="86">
        <v>0.21299999999999999</v>
      </c>
      <c r="C26" s="85">
        <v>0.1203</v>
      </c>
      <c r="AL26" s="18" t="s">
        <v>37</v>
      </c>
      <c r="AM26" s="69">
        <f>AM3</f>
        <v>0.15</v>
      </c>
      <c r="BA26" s="17"/>
    </row>
    <row r="27" spans="1:53" x14ac:dyDescent="0.25">
      <c r="AL27" s="18" t="s">
        <v>38</v>
      </c>
      <c r="AM27" s="69">
        <f>AM4</f>
        <v>15</v>
      </c>
      <c r="BA27" s="17"/>
    </row>
    <row r="28" spans="1:53" ht="30" x14ac:dyDescent="0.25">
      <c r="A28" t="s">
        <v>18</v>
      </c>
      <c r="B28" s="41" t="s">
        <v>20</v>
      </c>
      <c r="C28" s="41" t="s">
        <v>31</v>
      </c>
      <c r="D28" s="41" t="s">
        <v>21</v>
      </c>
      <c r="E28" s="41" t="s">
        <v>22</v>
      </c>
      <c r="F28" t="s">
        <v>126</v>
      </c>
      <c r="AL28" s="18" t="s">
        <v>39</v>
      </c>
      <c r="AM28" s="69">
        <f>AM5</f>
        <v>1990</v>
      </c>
      <c r="BA28" s="17"/>
    </row>
    <row r="29" spans="1:53" x14ac:dyDescent="0.25">
      <c r="A29" s="16">
        <f>MIN(Table1583[])</f>
        <v>0.1203</v>
      </c>
      <c r="B29" s="73">
        <f>Z6</f>
        <v>112.56177013295373</v>
      </c>
      <c r="C29" s="63">
        <f>1-$B$6/Table180[[#This Row],[Fair Value
Method 1]]</f>
        <v>-0.35090270720149874</v>
      </c>
      <c r="D29" s="66">
        <f>BA11</f>
        <v>60.504328369442561</v>
      </c>
      <c r="E29" s="63">
        <f>1-$B$6/Table180[[#This Row],[Fair Value 
Method 2]]</f>
        <v>-1.5132086265219535</v>
      </c>
      <c r="F29" s="63">
        <f>AVERAGE(Table180[[#This Row],[MOS
Method 1]],Table180[[#This Row],[MOS 
Method 2]])</f>
        <v>-0.93205566686172614</v>
      </c>
      <c r="AL29" s="5" t="s">
        <v>40</v>
      </c>
      <c r="AM29" s="70">
        <f>AM6</f>
        <v>2460</v>
      </c>
      <c r="BA29" s="17"/>
    </row>
    <row r="30" spans="1:53" x14ac:dyDescent="0.25">
      <c r="A30" s="61">
        <f>AVERAGE(Table1583[])</f>
        <v>0.1782</v>
      </c>
      <c r="B30" s="73">
        <f>Z14</f>
        <v>177.15485383567113</v>
      </c>
      <c r="C30" s="63">
        <f>1-$B$6/Table180[[#This Row],[Fair Value
Method 1]]</f>
        <v>0.14165490412669768</v>
      </c>
      <c r="D30" s="66">
        <f>BA22</f>
        <v>86.565037992300191</v>
      </c>
      <c r="E30" s="63">
        <f>1-$B$6/Table180[[#This Row],[Fair Value 
Method 2]]</f>
        <v>-0.75659831644185815</v>
      </c>
      <c r="F30" s="63">
        <f>AVERAGE(Table180[[#This Row],[MOS
Method 1]],Table180[[#This Row],[MOS 
Method 2]])</f>
        <v>-0.30747170615758024</v>
      </c>
      <c r="AL30" s="18"/>
      <c r="BA30" s="17"/>
    </row>
    <row r="31" spans="1:53" x14ac:dyDescent="0.25">
      <c r="A31" s="61">
        <f>MAX(Table1583[])</f>
        <v>0.21299999999999999</v>
      </c>
      <c r="B31" s="73">
        <f>Z21</f>
        <v>230.21260447114318</v>
      </c>
      <c r="C31" s="63">
        <f>1-$B$6/Table180[[#This Row],[Fair Value
Method 1]]</f>
        <v>0.339480128165352</v>
      </c>
      <c r="D31" s="66">
        <f>BA33</f>
        <v>107.46395402633111</v>
      </c>
      <c r="E31" s="63">
        <f>1-$B$6/Table180[[#This Row],[Fair Value 
Method 2]]</f>
        <v>-0.4149860888493071</v>
      </c>
      <c r="F31" s="63">
        <f>AVERAGE(Table180[[#This Row],[MOS
Method 1]],Table180[[#This Row],[MOS 
Method 2]])</f>
        <v>-3.7752980341977549E-2</v>
      </c>
      <c r="AL31" s="21"/>
      <c r="AM31" s="24"/>
      <c r="AN31" s="21">
        <v>1</v>
      </c>
      <c r="AO31" s="23">
        <v>2</v>
      </c>
      <c r="AP31" s="23">
        <v>3</v>
      </c>
      <c r="AQ31" s="23">
        <v>4</v>
      </c>
      <c r="AR31" s="23">
        <v>5</v>
      </c>
      <c r="AS31" s="23">
        <v>6</v>
      </c>
      <c r="AT31" s="23">
        <v>7</v>
      </c>
      <c r="AU31" s="23">
        <v>8</v>
      </c>
      <c r="AV31" s="23">
        <v>9</v>
      </c>
      <c r="AW31" s="23">
        <v>10</v>
      </c>
      <c r="AX31" s="24">
        <v>10</v>
      </c>
      <c r="AY31" s="46" t="s">
        <v>41</v>
      </c>
      <c r="AZ31" s="46" t="s">
        <v>62</v>
      </c>
      <c r="BA31" s="47" t="s">
        <v>63</v>
      </c>
    </row>
    <row r="32" spans="1:53" x14ac:dyDescent="0.25">
      <c r="AL32" s="1" t="s">
        <v>42</v>
      </c>
      <c r="AM32" s="10"/>
      <c r="AN32" s="48">
        <f>$AM24</f>
        <v>8132</v>
      </c>
      <c r="AO32" s="49">
        <f t="shared" ref="AO32:AW32" si="18">AN32+AN32*$AM25</f>
        <v>9864.116</v>
      </c>
      <c r="AP32" s="49">
        <f t="shared" si="18"/>
        <v>11965.172708</v>
      </c>
      <c r="AQ32" s="49">
        <f t="shared" si="18"/>
        <v>14513.754494803999</v>
      </c>
      <c r="AR32" s="49">
        <f t="shared" si="18"/>
        <v>17605.184202197252</v>
      </c>
      <c r="AS32" s="49">
        <f t="shared" si="18"/>
        <v>21355.088437265265</v>
      </c>
      <c r="AT32" s="49">
        <f t="shared" si="18"/>
        <v>25903.722274402768</v>
      </c>
      <c r="AU32" s="49">
        <f t="shared" si="18"/>
        <v>31421.215118850556</v>
      </c>
      <c r="AV32" s="49">
        <f t="shared" si="18"/>
        <v>38113.933939165727</v>
      </c>
      <c r="AW32" s="49">
        <f t="shared" si="18"/>
        <v>46232.201868208023</v>
      </c>
      <c r="AX32" s="50">
        <f>$AM27*AW32</f>
        <v>693483.02802312037</v>
      </c>
      <c r="AY32" s="51"/>
      <c r="AZ32" s="49"/>
      <c r="BA32" s="10"/>
    </row>
    <row r="33" spans="1:53" ht="18.75" x14ac:dyDescent="0.3">
      <c r="A33" s="56" t="s">
        <v>64</v>
      </c>
      <c r="AL33" s="5" t="s">
        <v>43</v>
      </c>
      <c r="AM33" s="7"/>
      <c r="AN33" s="52">
        <f>AN32/(1+$AM26)</f>
        <v>7071.3043478260879</v>
      </c>
      <c r="AO33" s="53">
        <f t="shared" ref="AO33:AW33" si="19">(1+$AM25)*AN33/(1+$AM26)</f>
        <v>7458.6888468809102</v>
      </c>
      <c r="AP33" s="53">
        <f t="shared" si="19"/>
        <v>7867.2952793622135</v>
      </c>
      <c r="AQ33" s="53">
        <f t="shared" si="19"/>
        <v>8298.2862381446666</v>
      </c>
      <c r="AR33" s="53">
        <f t="shared" si="19"/>
        <v>8752.888005973462</v>
      </c>
      <c r="AS33" s="53">
        <f t="shared" si="19"/>
        <v>9232.3940445615754</v>
      </c>
      <c r="AT33" s="53">
        <f t="shared" si="19"/>
        <v>9738.168674828863</v>
      </c>
      <c r="AU33" s="53">
        <f t="shared" si="19"/>
        <v>10271.650958754271</v>
      </c>
      <c r="AV33" s="53">
        <f t="shared" si="19"/>
        <v>10834.358793886029</v>
      </c>
      <c r="AW33" s="53">
        <f t="shared" si="19"/>
        <v>11427.893232159788</v>
      </c>
      <c r="AX33" s="54">
        <f>AX32/(1+AM26)^AX31</f>
        <v>171418.39848239667</v>
      </c>
      <c r="AY33" s="53">
        <f>SUM(AN33:AX33)</f>
        <v>262371.32690477453</v>
      </c>
      <c r="AZ33" s="53">
        <f>AY33+AM28</f>
        <v>264361.32690477453</v>
      </c>
      <c r="BA33" s="55">
        <f>AZ33/AM29</f>
        <v>107.46395402633111</v>
      </c>
    </row>
    <row r="34" spans="1:53" x14ac:dyDescent="0.25">
      <c r="A34" s="77" t="s">
        <v>66</v>
      </c>
    </row>
    <row r="37" spans="1:53" x14ac:dyDescent="0.25">
      <c r="D37" s="78"/>
      <c r="E37" s="78"/>
      <c r="G37" s="79"/>
    </row>
    <row r="40" spans="1:53" x14ac:dyDescent="0.25">
      <c r="A40" t="s">
        <v>154</v>
      </c>
      <c r="D40" s="41"/>
    </row>
    <row r="41" spans="1:53" x14ac:dyDescent="0.25">
      <c r="A41" t="s">
        <v>155</v>
      </c>
    </row>
    <row r="42" spans="1:53" x14ac:dyDescent="0.25">
      <c r="A42" t="s">
        <v>163</v>
      </c>
    </row>
    <row r="43" spans="1:53" x14ac:dyDescent="0.25">
      <c r="A43" t="s">
        <v>157</v>
      </c>
    </row>
    <row r="44" spans="1:53" x14ac:dyDescent="0.25">
      <c r="A44" t="s">
        <v>158</v>
      </c>
    </row>
    <row r="45" spans="1:53" x14ac:dyDescent="0.25">
      <c r="A45" t="s">
        <v>159</v>
      </c>
    </row>
  </sheetData>
  <mergeCells count="11">
    <mergeCell ref="S1:S2"/>
    <mergeCell ref="T1:T2"/>
    <mergeCell ref="U1:U2"/>
    <mergeCell ref="V1:V2"/>
    <mergeCell ref="W1:W2"/>
    <mergeCell ref="R1:R2"/>
    <mergeCell ref="M1:M2"/>
    <mergeCell ref="N1:N2"/>
    <mergeCell ref="O1:O2"/>
    <mergeCell ref="P1:P2"/>
    <mergeCell ref="Q1:Q2"/>
  </mergeCells>
  <conditionalFormatting sqref="L8">
    <cfRule type="cellIs" dxfId="315" priority="25" operator="greaterThan">
      <formula>3</formula>
    </cfRule>
    <cfRule type="cellIs" dxfId="314" priority="26" operator="lessThan">
      <formula>3</formula>
    </cfRule>
  </conditionalFormatting>
  <conditionalFormatting sqref="I3:K7">
    <cfRule type="cellIs" dxfId="313" priority="22" operator="between">
      <formula>0.05</formula>
      <formula>0.1</formula>
    </cfRule>
    <cfRule type="cellIs" dxfId="312" priority="23" operator="lessThan">
      <formula>0.05</formula>
    </cfRule>
    <cfRule type="cellIs" dxfId="311" priority="24" operator="greaterThan">
      <formula>0.1</formula>
    </cfRule>
  </conditionalFormatting>
  <conditionalFormatting sqref="M3:W3">
    <cfRule type="dataBar" priority="21">
      <dataBar>
        <cfvo type="min"/>
        <cfvo type="max"/>
        <color rgb="FF63C384"/>
      </dataBar>
      <extLst>
        <ext xmlns:x14="http://schemas.microsoft.com/office/spreadsheetml/2009/9/main" uri="{B025F937-C7B1-47D3-B67F-A62EFF666E3E}">
          <x14:id>{367CC471-AE18-4C51-A709-9AD2CEA37461}</x14:id>
        </ext>
      </extLst>
    </cfRule>
  </conditionalFormatting>
  <conditionalFormatting sqref="N4:W4">
    <cfRule type="dataBar" priority="20">
      <dataBar>
        <cfvo type="min"/>
        <cfvo type="max"/>
        <color rgb="FF63C384"/>
      </dataBar>
      <extLst>
        <ext xmlns:x14="http://schemas.microsoft.com/office/spreadsheetml/2009/9/main" uri="{B025F937-C7B1-47D3-B67F-A62EFF666E3E}">
          <x14:id>{934CC274-5634-4121-AD1D-32B82B2B7AA3}</x14:id>
        </ext>
      </extLst>
    </cfRule>
  </conditionalFormatting>
  <conditionalFormatting sqref="N5:W5">
    <cfRule type="dataBar" priority="19">
      <dataBar>
        <cfvo type="min"/>
        <cfvo type="max"/>
        <color rgb="FF63C384"/>
      </dataBar>
      <extLst>
        <ext xmlns:x14="http://schemas.microsoft.com/office/spreadsheetml/2009/9/main" uri="{B025F937-C7B1-47D3-B67F-A62EFF666E3E}">
          <x14:id>{F30C92C5-06DC-4D98-A0C7-88F3AFBBA59C}</x14:id>
        </ext>
      </extLst>
    </cfRule>
  </conditionalFormatting>
  <conditionalFormatting sqref="N6:W6">
    <cfRule type="dataBar" priority="18">
      <dataBar>
        <cfvo type="min"/>
        <cfvo type="max"/>
        <color rgb="FF63C384"/>
      </dataBar>
      <extLst>
        <ext xmlns:x14="http://schemas.microsoft.com/office/spreadsheetml/2009/9/main" uri="{B025F937-C7B1-47D3-B67F-A62EFF666E3E}">
          <x14:id>{8A568479-E5A4-48EC-BA19-428141EE40A6}</x14:id>
        </ext>
      </extLst>
    </cfRule>
  </conditionalFormatting>
  <conditionalFormatting sqref="E22">
    <cfRule type="cellIs" dxfId="310" priority="15" operator="greaterThan">
      <formula>3</formula>
    </cfRule>
    <cfRule type="cellIs" dxfId="309" priority="16" operator="lessThan">
      <formula>3</formula>
    </cfRule>
  </conditionalFormatting>
  <conditionalFormatting sqref="B17:D21">
    <cfRule type="cellIs" dxfId="308" priority="12" operator="between">
      <formula>0.05</formula>
      <formula>0.1</formula>
    </cfRule>
    <cfRule type="cellIs" dxfId="307" priority="13" operator="lessThan">
      <formula>0.05</formula>
    </cfRule>
    <cfRule type="cellIs" dxfId="306" priority="14" operator="greaterThan">
      <formula>0.1</formula>
    </cfRule>
  </conditionalFormatting>
  <conditionalFormatting sqref="C29:C31">
    <cfRule type="cellIs" dxfId="305" priority="9" operator="lessThan">
      <formula>0</formula>
    </cfRule>
    <cfRule type="cellIs" dxfId="304" priority="10" operator="between">
      <formula>0</formula>
      <formula>0.3</formula>
    </cfRule>
    <cfRule type="cellIs" dxfId="303" priority="11" operator="greaterThan">
      <formula>0.3</formula>
    </cfRule>
  </conditionalFormatting>
  <conditionalFormatting sqref="E29:E31">
    <cfRule type="cellIs" dxfId="302" priority="6" operator="lessThan">
      <formula>0</formula>
    </cfRule>
    <cfRule type="cellIs" dxfId="301" priority="7" operator="between">
      <formula>0</formula>
      <formula>0.3</formula>
    </cfRule>
    <cfRule type="cellIs" dxfId="300" priority="8" operator="greaterThan">
      <formula>0.3</formula>
    </cfRule>
  </conditionalFormatting>
  <conditionalFormatting sqref="F29:F31">
    <cfRule type="cellIs" dxfId="299" priority="3" operator="lessThan">
      <formula>0</formula>
    </cfRule>
    <cfRule type="cellIs" dxfId="298" priority="4" operator="between">
      <formula>0</formula>
      <formula>0.3</formula>
    </cfRule>
    <cfRule type="cellIs" dxfId="297" priority="5" operator="greaterThan">
      <formula>0.3</formula>
    </cfRule>
  </conditionalFormatting>
  <conditionalFormatting sqref="N12:O12 Q12:W12 P13">
    <cfRule type="dataBar" priority="2">
      <dataBar>
        <cfvo type="min"/>
        <cfvo type="max"/>
        <color rgb="FF63C384"/>
      </dataBar>
      <extLst>
        <ext xmlns:x14="http://schemas.microsoft.com/office/spreadsheetml/2009/9/main" uri="{B025F937-C7B1-47D3-B67F-A62EFF666E3E}">
          <x14:id>{5EEF5BB6-1DB5-40B4-BA53-C34C04D87297}</x14:id>
        </ext>
      </extLst>
    </cfRule>
  </conditionalFormatting>
  <conditionalFormatting sqref="N7:W7">
    <cfRule type="dataBar" priority="1">
      <dataBar>
        <cfvo type="min"/>
        <cfvo type="max"/>
        <color rgb="FF63C384"/>
      </dataBar>
      <extLst>
        <ext xmlns:x14="http://schemas.microsoft.com/office/spreadsheetml/2009/9/main" uri="{B025F937-C7B1-47D3-B67F-A62EFF666E3E}">
          <x14:id>{6B2E4246-D36A-4D84-8B09-25922B97FDC6}</x14:id>
        </ext>
      </extLst>
    </cfRule>
  </conditionalFormatting>
  <hyperlinks>
    <hyperlink ref="B4" r:id="rId1" display="THO" xr:uid="{8332CBDC-C7FB-4908-A63A-1CAAE50E1162}"/>
    <hyperlink ref="A34" r:id="rId2" xr:uid="{1689A473-2BFE-485B-BE32-0BC1483F6588}"/>
  </hyperlinks>
  <pageMargins left="0.7" right="0.7" top="0.75" bottom="0.75" header="0.3" footer="0.3"/>
  <pageSetup paperSize="9" orientation="portrait" r:id="rId3"/>
  <drawing r:id="rId4"/>
  <legacyDrawing r:id="rId5"/>
  <tableParts count="4">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dataBar" id="{367CC471-AE18-4C51-A709-9AD2CEA37461}">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934CC274-5634-4121-AD1D-32B82B2B7AA3}">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F30C92C5-06DC-4D98-A0C7-88F3AFBBA59C}">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8A568479-E5A4-48EC-BA19-428141EE40A6}">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5EEF5BB6-1DB5-40B4-BA53-C34C04D87297}">
            <x14:dataBar minLength="0" maxLength="100" border="1" negativeBarBorderColorSameAsPositive="0">
              <x14:cfvo type="autoMin"/>
              <x14:cfvo type="autoMax"/>
              <x14:borderColor rgb="FF63C384"/>
              <x14:negativeFillColor rgb="FFFF0000"/>
              <x14:negativeBorderColor rgb="FFFF0000"/>
              <x14:axisColor rgb="FF000000"/>
            </x14:dataBar>
          </x14:cfRule>
          <xm:sqref>N12:O12 Q12:W12 P13</xm:sqref>
        </x14:conditionalFormatting>
        <x14:conditionalFormatting xmlns:xm="http://schemas.microsoft.com/office/excel/2006/main">
          <x14:cfRule type="dataBar" id="{6B2E4246-D36A-4D84-8B09-25922B97FDC6}">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5ACC7-824D-4DF1-89DD-324C19D7DB07}">
  <dimension ref="A1:BA40"/>
  <sheetViews>
    <sheetView topLeftCell="H1" zoomScaleNormal="100" workbookViewId="0">
      <selection activeCell="L8" sqref="L8"/>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MIN(Table154751[])</f>
        <v>0.14249999999999999</v>
      </c>
      <c r="AA2" s="8">
        <f>Z2</f>
        <v>0.14249999999999999</v>
      </c>
      <c r="AB2" s="9">
        <f t="shared" ref="AB2:AJ3" si="1">AA2</f>
        <v>0.14249999999999999</v>
      </c>
      <c r="AC2" s="9">
        <f t="shared" si="1"/>
        <v>0.14249999999999999</v>
      </c>
      <c r="AD2" s="9">
        <f t="shared" si="1"/>
        <v>0.14249999999999999</v>
      </c>
      <c r="AE2" s="9">
        <f t="shared" si="1"/>
        <v>0.14249999999999999</v>
      </c>
      <c r="AF2" s="9">
        <f t="shared" si="1"/>
        <v>0.14249999999999999</v>
      </c>
      <c r="AG2" s="9">
        <f t="shared" si="1"/>
        <v>0.14249999999999999</v>
      </c>
      <c r="AH2" s="9">
        <f t="shared" si="1"/>
        <v>0.14249999999999999</v>
      </c>
      <c r="AI2" s="9">
        <f t="shared" si="1"/>
        <v>0.14249999999999999</v>
      </c>
      <c r="AJ2" s="25">
        <f t="shared" si="1"/>
        <v>0.14249999999999999</v>
      </c>
      <c r="AL2" s="18" t="s">
        <v>36</v>
      </c>
      <c r="AM2" s="67">
        <f>Z2</f>
        <v>0.14249999999999999</v>
      </c>
      <c r="BA2" s="17"/>
    </row>
    <row r="3" spans="1:53" x14ac:dyDescent="0.25">
      <c r="A3" t="s">
        <v>49</v>
      </c>
      <c r="B3" s="58" t="s">
        <v>53</v>
      </c>
      <c r="H3" s="2" t="s">
        <v>6</v>
      </c>
      <c r="I3" s="8">
        <f>AVERAGE(M3:W3)</f>
        <v>0.12372727272727274</v>
      </c>
      <c r="J3" s="9">
        <f>AVERAGE(S3:W3)</f>
        <v>0.13724</v>
      </c>
      <c r="K3" s="9">
        <f>W3</f>
        <v>0.1852</v>
      </c>
      <c r="L3" s="10" t="s">
        <v>7</v>
      </c>
      <c r="M3" s="11">
        <v>0.30099999999999999</v>
      </c>
      <c r="N3" s="12">
        <v>2.7300000000000001E-2</v>
      </c>
      <c r="O3" s="12">
        <v>8.9700000000000002E-2</v>
      </c>
      <c r="P3" s="12">
        <v>0.13390000000000002</v>
      </c>
      <c r="Q3" s="12">
        <v>7.17E-2</v>
      </c>
      <c r="R3" s="12">
        <v>5.1200000000000002E-2</v>
      </c>
      <c r="S3" s="12">
        <v>9.5600000000000004E-2</v>
      </c>
      <c r="T3" s="12">
        <v>0.1235</v>
      </c>
      <c r="U3" s="12">
        <v>0.1244</v>
      </c>
      <c r="V3" s="12">
        <v>0.1575</v>
      </c>
      <c r="W3" s="13">
        <v>0.1852</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145</v>
      </c>
      <c r="H4" s="14" t="s">
        <v>8</v>
      </c>
      <c r="I4" s="15">
        <f>AVERAGE(M4:W4)</f>
        <v>0.43719999999999998</v>
      </c>
      <c r="J4" s="16">
        <f>AVERAGE(S4:W4)</f>
        <v>0.42700000000000005</v>
      </c>
      <c r="K4" s="16">
        <f>W4</f>
        <v>0.47899999999999998</v>
      </c>
      <c r="L4" s="17" t="s">
        <v>7</v>
      </c>
      <c r="M4" s="18" t="s">
        <v>7</v>
      </c>
      <c r="N4" s="12">
        <v>0.91</v>
      </c>
      <c r="O4" s="12">
        <v>0.51300000000000001</v>
      </c>
      <c r="P4" s="12">
        <v>0.41199999999999998</v>
      </c>
      <c r="Q4" s="12">
        <v>0.24</v>
      </c>
      <c r="R4" s="12">
        <v>0.16200000000000001</v>
      </c>
      <c r="S4" s="12">
        <v>0.30599999999999999</v>
      </c>
      <c r="T4" s="12">
        <v>0.49399999999999999</v>
      </c>
      <c r="U4" s="12">
        <v>0.36399999999999999</v>
      </c>
      <c r="V4" s="12">
        <v>0.49199999999999999</v>
      </c>
      <c r="W4" s="13">
        <v>0.47899999999999998</v>
      </c>
      <c r="Y4" s="5" t="s">
        <v>15</v>
      </c>
      <c r="Z4" s="29"/>
      <c r="AA4" s="30">
        <f t="shared" si="2"/>
        <v>0</v>
      </c>
      <c r="AB4" s="31">
        <f t="shared" si="2"/>
        <v>0</v>
      </c>
      <c r="AC4" s="31">
        <f t="shared" si="2"/>
        <v>0</v>
      </c>
      <c r="AD4" s="31">
        <f t="shared" si="2"/>
        <v>0</v>
      </c>
      <c r="AE4" s="31">
        <f t="shared" si="2"/>
        <v>0</v>
      </c>
      <c r="AF4" s="31">
        <f t="shared" si="2"/>
        <v>0</v>
      </c>
      <c r="AG4" s="31">
        <f t="shared" si="2"/>
        <v>0</v>
      </c>
      <c r="AH4" s="31">
        <f t="shared" si="2"/>
        <v>0</v>
      </c>
      <c r="AI4" s="31">
        <f t="shared" si="2"/>
        <v>0</v>
      </c>
      <c r="AJ4" s="32">
        <f t="shared" si="2"/>
        <v>0</v>
      </c>
      <c r="AL4" s="18" t="s">
        <v>38</v>
      </c>
      <c r="AM4" s="64">
        <v>15</v>
      </c>
      <c r="BA4" s="17"/>
    </row>
    <row r="5" spans="1:53" x14ac:dyDescent="0.25">
      <c r="A5" t="s">
        <v>34</v>
      </c>
      <c r="B5" s="92">
        <v>44568</v>
      </c>
      <c r="H5" s="14" t="s">
        <v>9</v>
      </c>
      <c r="I5" s="15">
        <f>AVERAGE(M5:W5)</f>
        <v>1.0853999999999999</v>
      </c>
      <c r="J5" s="16">
        <f>AVERAGE(S5:W5)</f>
        <v>0.98260000000000003</v>
      </c>
      <c r="K5" s="16">
        <f>W5</f>
        <v>0.84899999999999998</v>
      </c>
      <c r="L5" s="17" t="s">
        <v>7</v>
      </c>
      <c r="M5" s="18" t="s">
        <v>7</v>
      </c>
      <c r="N5" s="12">
        <v>-0.93200000000000005</v>
      </c>
      <c r="O5" s="12">
        <v>5.5</v>
      </c>
      <c r="P5" s="12">
        <v>1.385</v>
      </c>
      <c r="Q5" s="12">
        <v>-0.54800000000000004</v>
      </c>
      <c r="R5" s="12">
        <v>0.53600000000000003</v>
      </c>
      <c r="S5" s="12">
        <v>1.907</v>
      </c>
      <c r="T5" s="12">
        <v>1.1439999999999999</v>
      </c>
      <c r="U5" s="12">
        <v>0.54100000000000004</v>
      </c>
      <c r="V5" s="12">
        <v>0.47199999999999998</v>
      </c>
      <c r="W5" s="13">
        <v>0.84899999999999998</v>
      </c>
      <c r="Y5" s="1" t="s">
        <v>16</v>
      </c>
      <c r="Z5" s="33"/>
      <c r="AA5" s="34">
        <f>Z5</f>
        <v>0</v>
      </c>
      <c r="AB5" s="35">
        <f t="shared" ref="AB5:AJ5" si="3">AA5*(1+$Z2)</f>
        <v>0</v>
      </c>
      <c r="AC5" s="35">
        <f t="shared" si="3"/>
        <v>0</v>
      </c>
      <c r="AD5" s="35">
        <f t="shared" si="3"/>
        <v>0</v>
      </c>
      <c r="AE5" s="35">
        <f t="shared" si="3"/>
        <v>0</v>
      </c>
      <c r="AF5" s="35">
        <f t="shared" si="3"/>
        <v>0</v>
      </c>
      <c r="AG5" s="35">
        <f t="shared" si="3"/>
        <v>0</v>
      </c>
      <c r="AH5" s="35">
        <f t="shared" si="3"/>
        <v>0</v>
      </c>
      <c r="AI5" s="35">
        <f t="shared" si="3"/>
        <v>0</v>
      </c>
      <c r="AJ5" s="36">
        <f t="shared" si="3"/>
        <v>0</v>
      </c>
      <c r="AL5" s="18" t="s">
        <v>39</v>
      </c>
      <c r="AM5" s="40"/>
      <c r="BA5" s="17"/>
    </row>
    <row r="6" spans="1:53" x14ac:dyDescent="0.25">
      <c r="A6" t="s">
        <v>44</v>
      </c>
      <c r="B6" s="62">
        <v>399.09</v>
      </c>
      <c r="H6" s="14" t="s">
        <v>10</v>
      </c>
      <c r="I6" s="15">
        <f>AVERAGE(M6:W6)</f>
        <v>0.251</v>
      </c>
      <c r="J6" s="16">
        <f>AVERAGE(S6:W6)</f>
        <v>0.27579999999999999</v>
      </c>
      <c r="K6" s="16">
        <f>W6</f>
        <v>0.188</v>
      </c>
      <c r="L6" s="17" t="s">
        <v>7</v>
      </c>
      <c r="M6" s="18" t="s">
        <v>7</v>
      </c>
      <c r="N6" s="12">
        <v>0.126</v>
      </c>
      <c r="O6" s="12">
        <v>0.21199999999999999</v>
      </c>
      <c r="P6" s="12">
        <v>0.25800000000000001</v>
      </c>
      <c r="Q6" s="12">
        <v>0.23200000000000001</v>
      </c>
      <c r="R6" s="12">
        <v>0.30299999999999999</v>
      </c>
      <c r="S6" s="12">
        <v>0.32400000000000001</v>
      </c>
      <c r="T6" s="12">
        <v>0.35099999999999998</v>
      </c>
      <c r="U6" s="12">
        <v>0.27600000000000002</v>
      </c>
      <c r="V6" s="12">
        <v>0.24</v>
      </c>
      <c r="W6" s="13">
        <v>0.188</v>
      </c>
      <c r="Y6" s="5" t="s">
        <v>19</v>
      </c>
      <c r="Z6" s="37">
        <f>AA6</f>
        <v>0</v>
      </c>
      <c r="AA6" s="38">
        <f t="shared" ref="AA6:AI6" si="4">AB6/(1+$Z3)</f>
        <v>0</v>
      </c>
      <c r="AB6" s="38">
        <f t="shared" si="4"/>
        <v>0</v>
      </c>
      <c r="AC6" s="38">
        <f t="shared" si="4"/>
        <v>0</v>
      </c>
      <c r="AD6" s="38">
        <f t="shared" si="4"/>
        <v>0</v>
      </c>
      <c r="AE6" s="38">
        <f t="shared" si="4"/>
        <v>0</v>
      </c>
      <c r="AF6" s="38">
        <f t="shared" si="4"/>
        <v>0</v>
      </c>
      <c r="AG6" s="38">
        <f t="shared" si="4"/>
        <v>0</v>
      </c>
      <c r="AH6" s="38">
        <f t="shared" si="4"/>
        <v>0</v>
      </c>
      <c r="AI6" s="38">
        <f t="shared" si="4"/>
        <v>0</v>
      </c>
      <c r="AJ6" s="39">
        <f>AJ5*$Z4</f>
        <v>0</v>
      </c>
      <c r="AL6" s="5" t="s">
        <v>40</v>
      </c>
      <c r="AM6" s="45"/>
      <c r="BA6" s="17"/>
    </row>
    <row r="7" spans="1:53" x14ac:dyDescent="0.25">
      <c r="A7" t="s">
        <v>45</v>
      </c>
      <c r="B7" s="58" t="s">
        <v>55</v>
      </c>
      <c r="H7" s="14" t="s">
        <v>11</v>
      </c>
      <c r="I7" s="15">
        <f>AVERAGE(M7:W7)</f>
        <v>-0.1</v>
      </c>
      <c r="J7" s="16">
        <f>AVERAGE(S7:W7)</f>
        <v>0</v>
      </c>
      <c r="K7" s="16">
        <f>W7</f>
        <v>-1</v>
      </c>
      <c r="L7" s="17" t="s">
        <v>7</v>
      </c>
      <c r="M7" s="18" t="s">
        <v>7</v>
      </c>
      <c r="N7" s="12">
        <v>-1</v>
      </c>
      <c r="O7" s="12">
        <v>0</v>
      </c>
      <c r="P7" s="12">
        <v>0</v>
      </c>
      <c r="Q7" s="12">
        <v>0</v>
      </c>
      <c r="R7" s="12">
        <v>0</v>
      </c>
      <c r="S7" s="12">
        <v>0</v>
      </c>
      <c r="T7" s="12">
        <v>0</v>
      </c>
      <c r="U7" s="12">
        <v>0</v>
      </c>
      <c r="V7" s="12">
        <v>1</v>
      </c>
      <c r="W7" s="13">
        <v>-1</v>
      </c>
      <c r="AL7" s="18"/>
      <c r="BA7" s="17"/>
    </row>
    <row r="8" spans="1:53" x14ac:dyDescent="0.25">
      <c r="A8" t="s">
        <v>46</v>
      </c>
      <c r="B8" s="58"/>
      <c r="H8" s="19" t="s">
        <v>12</v>
      </c>
      <c r="I8" s="5" t="s">
        <v>7</v>
      </c>
      <c r="J8" s="6" t="s">
        <v>7</v>
      </c>
      <c r="K8" s="6" t="s">
        <v>7</v>
      </c>
      <c r="L8" s="100">
        <f>14639/-1250</f>
        <v>-11.7112</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82</v>
      </c>
      <c r="B9" s="58"/>
      <c r="H9" s="43"/>
      <c r="Y9" s="1"/>
      <c r="AA9" s="1"/>
      <c r="AB9" s="42"/>
      <c r="AC9" s="42"/>
      <c r="AD9" s="42"/>
      <c r="AE9" s="42"/>
      <c r="AF9" s="42"/>
      <c r="AG9" s="42"/>
      <c r="AH9" s="42"/>
      <c r="AI9" s="42"/>
      <c r="AJ9" s="10"/>
      <c r="AL9" s="1"/>
      <c r="AM9" s="10"/>
      <c r="AN9" s="1"/>
      <c r="AO9" s="42"/>
      <c r="AP9" s="42"/>
      <c r="AQ9" s="42"/>
      <c r="AR9" s="42"/>
      <c r="AS9" s="42"/>
      <c r="AT9" s="42"/>
      <c r="AU9" s="42"/>
      <c r="AV9" s="42"/>
      <c r="AW9" s="42"/>
      <c r="AX9" s="10"/>
      <c r="AY9" s="93"/>
      <c r="AZ9" s="93"/>
      <c r="BA9" s="94"/>
    </row>
    <row r="10" spans="1:53" x14ac:dyDescent="0.25">
      <c r="A10" t="s">
        <v>47</v>
      </c>
      <c r="B10" s="58"/>
      <c r="Y10" s="1" t="s">
        <v>13</v>
      </c>
      <c r="Z10" s="65">
        <f>AVERAGE(Table154751[])</f>
        <v>0.25130000000000002</v>
      </c>
      <c r="AA10" s="8">
        <f>Z10</f>
        <v>0.25130000000000002</v>
      </c>
      <c r="AB10" s="9">
        <f t="shared" ref="AB10:AJ11" si="5">AA10</f>
        <v>0.25130000000000002</v>
      </c>
      <c r="AC10" s="9">
        <f t="shared" si="5"/>
        <v>0.25130000000000002</v>
      </c>
      <c r="AD10" s="9">
        <f t="shared" si="5"/>
        <v>0.25130000000000002</v>
      </c>
      <c r="AE10" s="9">
        <f t="shared" si="5"/>
        <v>0.25130000000000002</v>
      </c>
      <c r="AF10" s="9">
        <f t="shared" si="5"/>
        <v>0.25130000000000002</v>
      </c>
      <c r="AG10" s="9">
        <f t="shared" si="5"/>
        <v>0.25130000000000002</v>
      </c>
      <c r="AH10" s="9">
        <f t="shared" si="5"/>
        <v>0.25130000000000002</v>
      </c>
      <c r="AI10" s="9">
        <f t="shared" si="5"/>
        <v>0.25130000000000002</v>
      </c>
      <c r="AJ10" s="25">
        <f t="shared" si="5"/>
        <v>0.25130000000000002</v>
      </c>
      <c r="AL10" s="1" t="s">
        <v>42</v>
      </c>
      <c r="AM10" s="10"/>
      <c r="AN10" s="48">
        <f>$AM1</f>
        <v>0</v>
      </c>
      <c r="AO10" s="49">
        <f t="shared" ref="AO10:AW10" si="6">AN10+AN10*$AM2</f>
        <v>0</v>
      </c>
      <c r="AP10" s="49">
        <f t="shared" si="6"/>
        <v>0</v>
      </c>
      <c r="AQ10" s="49">
        <f t="shared" si="6"/>
        <v>0</v>
      </c>
      <c r="AR10" s="49">
        <f t="shared" si="6"/>
        <v>0</v>
      </c>
      <c r="AS10" s="49">
        <f t="shared" si="6"/>
        <v>0</v>
      </c>
      <c r="AT10" s="49">
        <f t="shared" si="6"/>
        <v>0</v>
      </c>
      <c r="AU10" s="49">
        <f t="shared" si="6"/>
        <v>0</v>
      </c>
      <c r="AV10" s="49">
        <f t="shared" si="6"/>
        <v>0</v>
      </c>
      <c r="AW10" s="49">
        <f t="shared" si="6"/>
        <v>0</v>
      </c>
      <c r="AX10" s="50">
        <f>$AM4*AW10</f>
        <v>0</v>
      </c>
      <c r="AY10" s="51"/>
      <c r="AZ10" s="49"/>
      <c r="BA10" s="10"/>
    </row>
    <row r="11" spans="1:53" x14ac:dyDescent="0.25">
      <c r="A11" t="s">
        <v>48</v>
      </c>
      <c r="B11" s="58" t="s">
        <v>146</v>
      </c>
      <c r="Y11" s="18" t="s">
        <v>14</v>
      </c>
      <c r="Z11">
        <f>Z3</f>
        <v>0.15</v>
      </c>
      <c r="AA11" s="26">
        <f t="shared" ref="AA11:AJ12" si="7">Z11</f>
        <v>0.15</v>
      </c>
      <c r="AB11" s="27">
        <f t="shared" si="5"/>
        <v>0.15</v>
      </c>
      <c r="AC11" s="27">
        <f t="shared" si="5"/>
        <v>0.15</v>
      </c>
      <c r="AD11" s="27">
        <f t="shared" si="5"/>
        <v>0.15</v>
      </c>
      <c r="AE11" s="27">
        <f t="shared" si="5"/>
        <v>0.15</v>
      </c>
      <c r="AF11" s="27">
        <f t="shared" si="5"/>
        <v>0.15</v>
      </c>
      <c r="AG11" s="27">
        <f t="shared" si="5"/>
        <v>0.15</v>
      </c>
      <c r="AH11" s="27">
        <f t="shared" si="5"/>
        <v>0.15</v>
      </c>
      <c r="AI11" s="27">
        <f t="shared" si="5"/>
        <v>0.15</v>
      </c>
      <c r="AJ11" s="28">
        <f t="shared" si="5"/>
        <v>0.15</v>
      </c>
      <c r="AL11" s="5" t="s">
        <v>43</v>
      </c>
      <c r="AM11" s="7"/>
      <c r="AN11" s="52">
        <f>AN10/(1+$AM3)</f>
        <v>0</v>
      </c>
      <c r="AO11" s="53">
        <f t="shared" ref="AO11:AW11" si="8">(1+$AM2)*AN11/(1+$AM3)</f>
        <v>0</v>
      </c>
      <c r="AP11" s="53">
        <f t="shared" si="8"/>
        <v>0</v>
      </c>
      <c r="AQ11" s="53">
        <f t="shared" si="8"/>
        <v>0</v>
      </c>
      <c r="AR11" s="53">
        <f t="shared" si="8"/>
        <v>0</v>
      </c>
      <c r="AS11" s="53">
        <f t="shared" si="8"/>
        <v>0</v>
      </c>
      <c r="AT11" s="53">
        <f t="shared" si="8"/>
        <v>0</v>
      </c>
      <c r="AU11" s="53">
        <f t="shared" si="8"/>
        <v>0</v>
      </c>
      <c r="AV11" s="53">
        <f t="shared" si="8"/>
        <v>0</v>
      </c>
      <c r="AW11" s="53">
        <f t="shared" si="8"/>
        <v>0</v>
      </c>
      <c r="AX11" s="54">
        <f>AX10/(1+AM3)^AX8</f>
        <v>0</v>
      </c>
      <c r="AY11" s="53">
        <f>SUM(AN11:AX11)</f>
        <v>0</v>
      </c>
      <c r="AZ11" s="53">
        <f>AY11+AM5</f>
        <v>0</v>
      </c>
      <c r="BA11" s="55" t="e">
        <f>AZ11/AM6</f>
        <v>#DIV/0!</v>
      </c>
    </row>
    <row r="12" spans="1:53" x14ac:dyDescent="0.25">
      <c r="A12" t="s">
        <v>65</v>
      </c>
      <c r="B12" s="92"/>
      <c r="Y12" s="5" t="s">
        <v>15</v>
      </c>
      <c r="Z12" s="7">
        <f>Z4</f>
        <v>0</v>
      </c>
      <c r="AA12" s="30">
        <f t="shared" si="7"/>
        <v>0</v>
      </c>
      <c r="AB12" s="31">
        <f t="shared" si="7"/>
        <v>0</v>
      </c>
      <c r="AC12" s="31">
        <f t="shared" si="7"/>
        <v>0</v>
      </c>
      <c r="AD12" s="31">
        <f t="shared" si="7"/>
        <v>0</v>
      </c>
      <c r="AE12" s="31">
        <f t="shared" si="7"/>
        <v>0</v>
      </c>
      <c r="AF12" s="31">
        <f t="shared" si="7"/>
        <v>0</v>
      </c>
      <c r="AG12" s="31">
        <f t="shared" si="7"/>
        <v>0</v>
      </c>
      <c r="AH12" s="31">
        <f t="shared" si="7"/>
        <v>0</v>
      </c>
      <c r="AI12" s="31">
        <f t="shared" si="7"/>
        <v>0</v>
      </c>
      <c r="AJ12" s="32">
        <f t="shared" si="7"/>
        <v>0</v>
      </c>
    </row>
    <row r="13" spans="1:53" x14ac:dyDescent="0.25">
      <c r="Y13" s="1" t="s">
        <v>16</v>
      </c>
      <c r="Z13">
        <f>Z5</f>
        <v>0</v>
      </c>
      <c r="AA13" s="34">
        <f>Z13</f>
        <v>0</v>
      </c>
      <c r="AB13" s="35">
        <f t="shared" ref="AB13:AJ13" si="9">AA13*(1+$Z10)</f>
        <v>0</v>
      </c>
      <c r="AC13" s="35">
        <f t="shared" si="9"/>
        <v>0</v>
      </c>
      <c r="AD13" s="35">
        <f t="shared" si="9"/>
        <v>0</v>
      </c>
      <c r="AE13" s="35">
        <f t="shared" si="9"/>
        <v>0</v>
      </c>
      <c r="AF13" s="35">
        <f t="shared" si="9"/>
        <v>0</v>
      </c>
      <c r="AG13" s="35">
        <f t="shared" si="9"/>
        <v>0</v>
      </c>
      <c r="AH13" s="35">
        <f t="shared" si="9"/>
        <v>0</v>
      </c>
      <c r="AI13" s="35">
        <f t="shared" si="9"/>
        <v>0</v>
      </c>
      <c r="AJ13" s="36">
        <f t="shared" si="9"/>
        <v>0</v>
      </c>
      <c r="AL13" s="1" t="s">
        <v>35</v>
      </c>
      <c r="AM13" s="72">
        <f>AM1</f>
        <v>0</v>
      </c>
      <c r="AN13" s="42"/>
      <c r="AO13" s="42"/>
      <c r="AP13" s="42"/>
      <c r="AQ13" s="42"/>
      <c r="AR13" s="42"/>
      <c r="AS13" s="42"/>
      <c r="AT13" s="42"/>
      <c r="AU13" s="42"/>
      <c r="AV13" s="42"/>
      <c r="AW13" s="42"/>
      <c r="AX13" s="42"/>
      <c r="AY13" s="42"/>
      <c r="AZ13" s="42"/>
      <c r="BA13" s="10"/>
    </row>
    <row r="14" spans="1:53" ht="18.75" x14ac:dyDescent="0.3">
      <c r="A14" s="56" t="s">
        <v>29</v>
      </c>
      <c r="Y14" s="5" t="s">
        <v>19</v>
      </c>
      <c r="Z14" s="37">
        <f>AA14</f>
        <v>0</v>
      </c>
      <c r="AA14" s="38">
        <f t="shared" ref="AA14:AI14" si="10">AB14/(1+$Z11)</f>
        <v>0</v>
      </c>
      <c r="AB14" s="38">
        <f t="shared" si="10"/>
        <v>0</v>
      </c>
      <c r="AC14" s="38">
        <f t="shared" si="10"/>
        <v>0</v>
      </c>
      <c r="AD14" s="38">
        <f t="shared" si="10"/>
        <v>0</v>
      </c>
      <c r="AE14" s="38">
        <f t="shared" si="10"/>
        <v>0</v>
      </c>
      <c r="AF14" s="38">
        <f t="shared" si="10"/>
        <v>0</v>
      </c>
      <c r="AG14" s="38">
        <f t="shared" si="10"/>
        <v>0</v>
      </c>
      <c r="AH14" s="38">
        <f t="shared" si="10"/>
        <v>0</v>
      </c>
      <c r="AI14" s="38">
        <f t="shared" si="10"/>
        <v>0</v>
      </c>
      <c r="AJ14" s="39">
        <f>AJ13*$Z12</f>
        <v>0</v>
      </c>
      <c r="AL14" s="18" t="s">
        <v>36</v>
      </c>
      <c r="AM14" s="68">
        <f>Z10</f>
        <v>0.25130000000000002</v>
      </c>
      <c r="BA14" s="17"/>
    </row>
    <row r="15" spans="1:53" x14ac:dyDescent="0.25">
      <c r="A15" s="43" t="s">
        <v>32</v>
      </c>
      <c r="B15" s="18" t="s">
        <v>0</v>
      </c>
      <c r="C15" t="s">
        <v>1</v>
      </c>
      <c r="D15" t="s">
        <v>2</v>
      </c>
      <c r="E15" t="s">
        <v>3</v>
      </c>
      <c r="AL15" s="18" t="s">
        <v>37</v>
      </c>
      <c r="AM15" s="69">
        <f>AM3</f>
        <v>0.15</v>
      </c>
      <c r="BA15" s="17"/>
    </row>
    <row r="16" spans="1:53" x14ac:dyDescent="0.25">
      <c r="A16" t="s">
        <v>52</v>
      </c>
      <c r="B16" t="s">
        <v>4</v>
      </c>
      <c r="C16" t="s">
        <v>4</v>
      </c>
      <c r="D16" t="s">
        <v>4</v>
      </c>
      <c r="E16" t="s">
        <v>5</v>
      </c>
      <c r="Y16" s="21" t="s">
        <v>61</v>
      </c>
      <c r="Z16" s="22"/>
      <c r="AA16" s="21">
        <v>2021</v>
      </c>
      <c r="AB16" s="23">
        <v>2022</v>
      </c>
      <c r="AC16" s="23">
        <v>2023</v>
      </c>
      <c r="AD16" s="23">
        <v>2024</v>
      </c>
      <c r="AE16" s="23">
        <v>2025</v>
      </c>
      <c r="AF16" s="23">
        <v>2026</v>
      </c>
      <c r="AG16" s="23">
        <v>2027</v>
      </c>
      <c r="AH16" s="23">
        <v>2028</v>
      </c>
      <c r="AI16" s="23">
        <v>2029</v>
      </c>
      <c r="AJ16" s="24">
        <v>2030</v>
      </c>
      <c r="AL16" s="18" t="s">
        <v>38</v>
      </c>
      <c r="AM16" s="69">
        <f>AM4</f>
        <v>15</v>
      </c>
      <c r="BA16" s="17"/>
    </row>
    <row r="17" spans="1:53" x14ac:dyDescent="0.25">
      <c r="A17" t="s">
        <v>23</v>
      </c>
      <c r="B17" s="16">
        <f t="shared" ref="B17:D21" si="11">I3</f>
        <v>0.12372727272727274</v>
      </c>
      <c r="C17" s="16">
        <f t="shared" si="11"/>
        <v>0.13724</v>
      </c>
      <c r="D17" s="16">
        <f t="shared" si="11"/>
        <v>0.1852</v>
      </c>
      <c r="Y17" s="1" t="s">
        <v>13</v>
      </c>
      <c r="Z17" s="60">
        <f>MAX(Table154751[])</f>
        <v>0.43719999999999998</v>
      </c>
      <c r="AA17" s="8">
        <f>Z17</f>
        <v>0.43719999999999998</v>
      </c>
      <c r="AB17" s="9">
        <f t="shared" ref="AB17:AJ18" si="12">AA17</f>
        <v>0.43719999999999998</v>
      </c>
      <c r="AC17" s="9">
        <f t="shared" si="12"/>
        <v>0.43719999999999998</v>
      </c>
      <c r="AD17" s="9">
        <f t="shared" si="12"/>
        <v>0.43719999999999998</v>
      </c>
      <c r="AE17" s="9">
        <f t="shared" si="12"/>
        <v>0.43719999999999998</v>
      </c>
      <c r="AF17" s="9">
        <f t="shared" si="12"/>
        <v>0.43719999999999998</v>
      </c>
      <c r="AG17" s="9">
        <f t="shared" si="12"/>
        <v>0.43719999999999998</v>
      </c>
      <c r="AH17" s="9">
        <f t="shared" si="12"/>
        <v>0.43719999999999998</v>
      </c>
      <c r="AI17" s="9">
        <f t="shared" si="12"/>
        <v>0.43719999999999998</v>
      </c>
      <c r="AJ17" s="25">
        <f t="shared" si="12"/>
        <v>0.43719999999999998</v>
      </c>
      <c r="AL17" s="18" t="s">
        <v>39</v>
      </c>
      <c r="AM17" s="69">
        <f>AM5</f>
        <v>0</v>
      </c>
      <c r="BA17" s="17"/>
    </row>
    <row r="18" spans="1:53" ht="15.75" thickBot="1" x14ac:dyDescent="0.3">
      <c r="A18" t="s">
        <v>24</v>
      </c>
      <c r="B18" s="16">
        <f t="shared" si="11"/>
        <v>0.43719999999999998</v>
      </c>
      <c r="C18" s="16">
        <f t="shared" si="11"/>
        <v>0.42700000000000005</v>
      </c>
      <c r="D18" s="16">
        <f t="shared" si="11"/>
        <v>0.47899999999999998</v>
      </c>
      <c r="Y18" s="18" t="s">
        <v>14</v>
      </c>
      <c r="Z18">
        <f>Z3</f>
        <v>0.15</v>
      </c>
      <c r="AA18" s="26">
        <f t="shared" ref="AA18:AJ19" si="13">Z18</f>
        <v>0.15</v>
      </c>
      <c r="AB18" s="27">
        <f t="shared" si="12"/>
        <v>0.15</v>
      </c>
      <c r="AC18" s="27">
        <f t="shared" si="12"/>
        <v>0.15</v>
      </c>
      <c r="AD18" s="27">
        <f t="shared" si="12"/>
        <v>0.15</v>
      </c>
      <c r="AE18" s="27">
        <f t="shared" si="12"/>
        <v>0.15</v>
      </c>
      <c r="AF18" s="27">
        <f t="shared" si="12"/>
        <v>0.15</v>
      </c>
      <c r="AG18" s="27">
        <f t="shared" si="12"/>
        <v>0.15</v>
      </c>
      <c r="AH18" s="27">
        <f t="shared" si="12"/>
        <v>0.15</v>
      </c>
      <c r="AI18" s="27">
        <f t="shared" si="12"/>
        <v>0.15</v>
      </c>
      <c r="AJ18" s="28">
        <f t="shared" si="12"/>
        <v>0.15</v>
      </c>
      <c r="AL18" s="5" t="s">
        <v>40</v>
      </c>
      <c r="AM18" s="70">
        <f>AM6</f>
        <v>0</v>
      </c>
      <c r="BA18" s="17"/>
    </row>
    <row r="19" spans="1:53" ht="15.75" thickBot="1" x14ac:dyDescent="0.3">
      <c r="A19" t="s">
        <v>25</v>
      </c>
      <c r="B19" s="16">
        <f t="shared" si="11"/>
        <v>1.0853999999999999</v>
      </c>
      <c r="C19" s="16">
        <f t="shared" si="11"/>
        <v>0.98260000000000003</v>
      </c>
      <c r="D19" s="16">
        <f t="shared" si="11"/>
        <v>0.84899999999999998</v>
      </c>
      <c r="M19" s="97"/>
      <c r="N19" s="97"/>
      <c r="O19" s="97"/>
      <c r="P19" s="98"/>
      <c r="Q19" s="99"/>
      <c r="Y19" s="5" t="s">
        <v>15</v>
      </c>
      <c r="Z19" s="7">
        <f>Z4</f>
        <v>0</v>
      </c>
      <c r="AA19" s="30">
        <f t="shared" si="13"/>
        <v>0</v>
      </c>
      <c r="AB19" s="31">
        <f t="shared" si="13"/>
        <v>0</v>
      </c>
      <c r="AC19" s="31">
        <f t="shared" si="13"/>
        <v>0</v>
      </c>
      <c r="AD19" s="31">
        <f t="shared" si="13"/>
        <v>0</v>
      </c>
      <c r="AE19" s="31">
        <f t="shared" si="13"/>
        <v>0</v>
      </c>
      <c r="AF19" s="31">
        <f t="shared" si="13"/>
        <v>0</v>
      </c>
      <c r="AG19" s="31">
        <f t="shared" si="13"/>
        <v>0</v>
      </c>
      <c r="AH19" s="31">
        <f t="shared" si="13"/>
        <v>0</v>
      </c>
      <c r="AI19" s="31">
        <f t="shared" si="13"/>
        <v>0</v>
      </c>
      <c r="AJ19" s="32">
        <f t="shared" si="13"/>
        <v>0</v>
      </c>
      <c r="AL19" s="18"/>
      <c r="BA19" s="17"/>
    </row>
    <row r="20" spans="1:53" x14ac:dyDescent="0.25">
      <c r="A20" t="s">
        <v>26</v>
      </c>
      <c r="B20" s="16">
        <f t="shared" si="11"/>
        <v>0.251</v>
      </c>
      <c r="C20" s="16">
        <f t="shared" si="11"/>
        <v>0.27579999999999999</v>
      </c>
      <c r="D20" s="16">
        <f t="shared" si="11"/>
        <v>0.188</v>
      </c>
      <c r="Y20" s="1" t="s">
        <v>16</v>
      </c>
      <c r="Z20">
        <f>Z5</f>
        <v>0</v>
      </c>
      <c r="AA20" s="34">
        <f>Z20</f>
        <v>0</v>
      </c>
      <c r="AB20" s="35">
        <f t="shared" ref="AB20:AJ20" si="14">AA20*(1+$Z17)</f>
        <v>0</v>
      </c>
      <c r="AC20" s="35">
        <f t="shared" si="14"/>
        <v>0</v>
      </c>
      <c r="AD20" s="35">
        <f t="shared" si="14"/>
        <v>0</v>
      </c>
      <c r="AE20" s="35">
        <f t="shared" si="14"/>
        <v>0</v>
      </c>
      <c r="AF20" s="35">
        <f t="shared" si="14"/>
        <v>0</v>
      </c>
      <c r="AG20" s="35">
        <f t="shared" si="14"/>
        <v>0</v>
      </c>
      <c r="AH20" s="35">
        <f t="shared" si="14"/>
        <v>0</v>
      </c>
      <c r="AI20" s="35">
        <f t="shared" si="14"/>
        <v>0</v>
      </c>
      <c r="AJ20" s="36">
        <f t="shared" si="14"/>
        <v>0</v>
      </c>
      <c r="AL20" s="21"/>
      <c r="AM20" s="24"/>
      <c r="AN20" s="21">
        <v>1</v>
      </c>
      <c r="AO20" s="23">
        <v>2</v>
      </c>
      <c r="AP20" s="23">
        <v>3</v>
      </c>
      <c r="AQ20" s="23">
        <v>4</v>
      </c>
      <c r="AR20" s="23">
        <v>5</v>
      </c>
      <c r="AS20" s="23">
        <v>6</v>
      </c>
      <c r="AT20" s="23">
        <v>7</v>
      </c>
      <c r="AU20" s="23">
        <v>8</v>
      </c>
      <c r="AV20" s="23">
        <v>9</v>
      </c>
      <c r="AW20" s="23">
        <v>10</v>
      </c>
      <c r="AX20" s="24">
        <v>10</v>
      </c>
      <c r="AY20" s="46" t="s">
        <v>41</v>
      </c>
      <c r="AZ20" s="46" t="s">
        <v>62</v>
      </c>
      <c r="BA20" s="47" t="s">
        <v>63</v>
      </c>
    </row>
    <row r="21" spans="1:53" x14ac:dyDescent="0.25">
      <c r="A21" t="s">
        <v>27</v>
      </c>
      <c r="B21" s="16">
        <f t="shared" si="11"/>
        <v>-0.1</v>
      </c>
      <c r="C21" s="16">
        <f t="shared" si="11"/>
        <v>0</v>
      </c>
      <c r="D21" s="16">
        <f t="shared" si="11"/>
        <v>-1</v>
      </c>
      <c r="Y21" s="5" t="s">
        <v>19</v>
      </c>
      <c r="Z21" s="37">
        <f>AA21</f>
        <v>0</v>
      </c>
      <c r="AA21" s="38">
        <f t="shared" ref="AA21:AI21" si="15">AB21/(1+$Z18)</f>
        <v>0</v>
      </c>
      <c r="AB21" s="38">
        <f t="shared" si="15"/>
        <v>0</v>
      </c>
      <c r="AC21" s="38">
        <f t="shared" si="15"/>
        <v>0</v>
      </c>
      <c r="AD21" s="38">
        <f t="shared" si="15"/>
        <v>0</v>
      </c>
      <c r="AE21" s="38">
        <f t="shared" si="15"/>
        <v>0</v>
      </c>
      <c r="AF21" s="38">
        <f t="shared" si="15"/>
        <v>0</v>
      </c>
      <c r="AG21" s="38">
        <f t="shared" si="15"/>
        <v>0</v>
      </c>
      <c r="AH21" s="38">
        <f t="shared" si="15"/>
        <v>0</v>
      </c>
      <c r="AI21" s="38">
        <f t="shared" si="15"/>
        <v>0</v>
      </c>
      <c r="AJ21" s="39">
        <f>AJ20*$Z19</f>
        <v>0</v>
      </c>
      <c r="AL21" s="1" t="s">
        <v>42</v>
      </c>
      <c r="AM21" s="10"/>
      <c r="AN21" s="48">
        <f>$AM13</f>
        <v>0</v>
      </c>
      <c r="AO21" s="49">
        <f t="shared" ref="AO21:AW21" si="16">AN21+AN21*$AM14</f>
        <v>0</v>
      </c>
      <c r="AP21" s="49">
        <f t="shared" si="16"/>
        <v>0</v>
      </c>
      <c r="AQ21" s="49">
        <f t="shared" si="16"/>
        <v>0</v>
      </c>
      <c r="AR21" s="49">
        <f t="shared" si="16"/>
        <v>0</v>
      </c>
      <c r="AS21" s="49">
        <f t="shared" si="16"/>
        <v>0</v>
      </c>
      <c r="AT21" s="49">
        <f t="shared" si="16"/>
        <v>0</v>
      </c>
      <c r="AU21" s="49">
        <f t="shared" si="16"/>
        <v>0</v>
      </c>
      <c r="AV21" s="49">
        <f t="shared" si="16"/>
        <v>0</v>
      </c>
      <c r="AW21" s="49">
        <f t="shared" si="16"/>
        <v>0</v>
      </c>
      <c r="AX21" s="50">
        <f>$AM16*AW21</f>
        <v>0</v>
      </c>
      <c r="AY21" s="51"/>
      <c r="AZ21" s="49"/>
      <c r="BA21" s="10"/>
    </row>
    <row r="22" spans="1:53" x14ac:dyDescent="0.25">
      <c r="A22" t="s">
        <v>28</v>
      </c>
      <c r="E22" s="101">
        <f>L8</f>
        <v>-11.7112</v>
      </c>
      <c r="AL22" s="5" t="s">
        <v>43</v>
      </c>
      <c r="AM22" s="7"/>
      <c r="AN22" s="52">
        <f>AN21/(1+$AM15)</f>
        <v>0</v>
      </c>
      <c r="AO22" s="53">
        <f t="shared" ref="AO22:AW22" si="17">(1+$AM14)*AN22/(1+$AM15)</f>
        <v>0</v>
      </c>
      <c r="AP22" s="53">
        <f t="shared" si="17"/>
        <v>0</v>
      </c>
      <c r="AQ22" s="53">
        <f t="shared" si="17"/>
        <v>0</v>
      </c>
      <c r="AR22" s="53">
        <f t="shared" si="17"/>
        <v>0</v>
      </c>
      <c r="AS22" s="53">
        <f t="shared" si="17"/>
        <v>0</v>
      </c>
      <c r="AT22" s="53">
        <f t="shared" si="17"/>
        <v>0</v>
      </c>
      <c r="AU22" s="53">
        <f t="shared" si="17"/>
        <v>0</v>
      </c>
      <c r="AV22" s="53">
        <f t="shared" si="17"/>
        <v>0</v>
      </c>
      <c r="AW22" s="53">
        <f t="shared" si="17"/>
        <v>0</v>
      </c>
      <c r="AX22" s="54">
        <f>AX21/(1+AM15)^AX20</f>
        <v>0</v>
      </c>
      <c r="AY22" s="53">
        <f>SUM(AN22:AX22)</f>
        <v>0</v>
      </c>
      <c r="AZ22" s="53">
        <f>AY22+AM17</f>
        <v>0</v>
      </c>
      <c r="BA22" s="55" t="e">
        <f>AZ22/AM18</f>
        <v>#DIV/0!</v>
      </c>
    </row>
    <row r="23" spans="1:53" x14ac:dyDescent="0.25">
      <c r="AN23" s="75"/>
      <c r="AO23" s="75"/>
      <c r="AP23" s="75"/>
      <c r="AQ23" s="75"/>
      <c r="AR23" s="75"/>
      <c r="AS23" s="75"/>
      <c r="AT23" s="75"/>
      <c r="AU23" s="75"/>
      <c r="AV23" s="75"/>
      <c r="AW23" s="75"/>
      <c r="AX23" s="75"/>
      <c r="AY23" s="75"/>
      <c r="AZ23" s="75"/>
      <c r="BA23" s="76"/>
    </row>
    <row r="24" spans="1:53" ht="18.75" x14ac:dyDescent="0.3">
      <c r="A24" s="56" t="s">
        <v>30</v>
      </c>
      <c r="AL24" s="1" t="s">
        <v>35</v>
      </c>
      <c r="AM24" s="22">
        <f>AM1</f>
        <v>0</v>
      </c>
      <c r="AN24" s="42"/>
      <c r="AO24" s="42"/>
      <c r="AP24" s="42"/>
      <c r="AQ24" s="42"/>
      <c r="AR24" s="42"/>
      <c r="AS24" s="42"/>
      <c r="AT24" s="42"/>
      <c r="AU24" s="42"/>
      <c r="AV24" s="42"/>
      <c r="AW24" s="42"/>
      <c r="AX24" s="42"/>
      <c r="AY24" s="42"/>
      <c r="AZ24" s="42"/>
      <c r="BA24" s="10"/>
    </row>
    <row r="25" spans="1:53" x14ac:dyDescent="0.25">
      <c r="A25" t="s">
        <v>107</v>
      </c>
      <c r="B25" t="s">
        <v>137</v>
      </c>
      <c r="C25" t="s">
        <v>138</v>
      </c>
      <c r="AL25" s="18" t="s">
        <v>36</v>
      </c>
      <c r="AM25" s="71">
        <f>Z17</f>
        <v>0.43719999999999998</v>
      </c>
      <c r="BA25" s="17"/>
    </row>
    <row r="26" spans="1:53" x14ac:dyDescent="0.25">
      <c r="A26" s="16">
        <f>B18</f>
        <v>0.43719999999999998</v>
      </c>
      <c r="B26" s="86">
        <v>0.14249999999999999</v>
      </c>
      <c r="C26" s="85">
        <v>0.17419999999999999</v>
      </c>
      <c r="AL26" s="18" t="s">
        <v>37</v>
      </c>
      <c r="AM26" s="69">
        <f>AM3</f>
        <v>0.15</v>
      </c>
      <c r="BA26" s="17"/>
    </row>
    <row r="27" spans="1:53" x14ac:dyDescent="0.25">
      <c r="AL27" s="18" t="s">
        <v>38</v>
      </c>
      <c r="AM27" s="69">
        <f>AM4</f>
        <v>15</v>
      </c>
      <c r="BA27" s="17"/>
    </row>
    <row r="28" spans="1:53" ht="30" x14ac:dyDescent="0.25">
      <c r="A28" t="s">
        <v>18</v>
      </c>
      <c r="B28" s="41" t="s">
        <v>20</v>
      </c>
      <c r="C28" s="41" t="s">
        <v>31</v>
      </c>
      <c r="D28" s="41" t="s">
        <v>21</v>
      </c>
      <c r="E28" s="41" t="s">
        <v>22</v>
      </c>
      <c r="F28" t="s">
        <v>126</v>
      </c>
      <c r="AL28" s="18" t="s">
        <v>39</v>
      </c>
      <c r="AM28" s="69">
        <f>AM5</f>
        <v>0</v>
      </c>
      <c r="BA28" s="17"/>
    </row>
    <row r="29" spans="1:53" x14ac:dyDescent="0.25">
      <c r="A29" s="16">
        <f>MIN(Table154751[])</f>
        <v>0.14249999999999999</v>
      </c>
      <c r="B29" s="73">
        <f>Z6</f>
        <v>0</v>
      </c>
      <c r="C29" s="63" t="e">
        <f>1-$B$6/Table14448[[#This Row],[Fair Value
Method 1]]</f>
        <v>#DIV/0!</v>
      </c>
      <c r="D29" s="66" t="e">
        <f>BA11</f>
        <v>#DIV/0!</v>
      </c>
      <c r="E29" s="63" t="e">
        <f>1-$B$6/Table14448[[#This Row],[Fair Value 
Method 2]]</f>
        <v>#DIV/0!</v>
      </c>
      <c r="F29" s="63" t="e">
        <f>AVERAGE(Table14448[[#This Row],[MOS
Method 1]],Table14448[[#This Row],[MOS 
Method 2]])</f>
        <v>#DIV/0!</v>
      </c>
      <c r="AL29" s="5" t="s">
        <v>40</v>
      </c>
      <c r="AM29" s="70">
        <f>AM6</f>
        <v>0</v>
      </c>
      <c r="BA29" s="17"/>
    </row>
    <row r="30" spans="1:53" x14ac:dyDescent="0.25">
      <c r="A30" s="61">
        <f>AVERAGE(Table154751[])</f>
        <v>0.25130000000000002</v>
      </c>
      <c r="B30" s="73">
        <f>Z14</f>
        <v>0</v>
      </c>
      <c r="C30" s="63" t="e">
        <f>1-$B$6/Table14448[[#This Row],[Fair Value
Method 1]]</f>
        <v>#DIV/0!</v>
      </c>
      <c r="D30" s="66" t="e">
        <f>BA22</f>
        <v>#DIV/0!</v>
      </c>
      <c r="E30" s="63" t="e">
        <f>1-$B$6/Table14448[[#This Row],[Fair Value 
Method 2]]</f>
        <v>#DIV/0!</v>
      </c>
      <c r="F30" s="63" t="e">
        <f>AVERAGE(Table14448[[#This Row],[MOS
Method 1]],Table14448[[#This Row],[MOS 
Method 2]])</f>
        <v>#DIV/0!</v>
      </c>
      <c r="AL30" s="18"/>
      <c r="BA30" s="17"/>
    </row>
    <row r="31" spans="1:53" x14ac:dyDescent="0.25">
      <c r="A31" s="61">
        <f>MAX(Table154751[])</f>
        <v>0.43719999999999998</v>
      </c>
      <c r="B31" s="73">
        <f>Z21</f>
        <v>0</v>
      </c>
      <c r="C31" s="63" t="e">
        <f>1-$B$6/Table14448[[#This Row],[Fair Value
Method 1]]</f>
        <v>#DIV/0!</v>
      </c>
      <c r="D31" s="66" t="e">
        <f>BA33</f>
        <v>#DIV/0!</v>
      </c>
      <c r="E31" s="63" t="e">
        <f>1-$B$6/Table14448[[#This Row],[Fair Value 
Method 2]]</f>
        <v>#DIV/0!</v>
      </c>
      <c r="F31" s="63" t="e">
        <f>AVERAGE(Table14448[[#This Row],[MOS
Method 1]],Table14448[[#This Row],[MOS 
Method 2]])</f>
        <v>#DIV/0!</v>
      </c>
      <c r="AL31" s="21"/>
      <c r="AM31" s="24"/>
      <c r="AN31" s="21">
        <v>1</v>
      </c>
      <c r="AO31" s="23">
        <v>2</v>
      </c>
      <c r="AP31" s="23">
        <v>3</v>
      </c>
      <c r="AQ31" s="23">
        <v>4</v>
      </c>
      <c r="AR31" s="23">
        <v>5</v>
      </c>
      <c r="AS31" s="23">
        <v>6</v>
      </c>
      <c r="AT31" s="23">
        <v>7</v>
      </c>
      <c r="AU31" s="23">
        <v>8</v>
      </c>
      <c r="AV31" s="23">
        <v>9</v>
      </c>
      <c r="AW31" s="23">
        <v>10</v>
      </c>
      <c r="AX31" s="24">
        <v>10</v>
      </c>
      <c r="AY31" s="46" t="s">
        <v>41</v>
      </c>
      <c r="AZ31" s="46" t="s">
        <v>62</v>
      </c>
      <c r="BA31" s="47" t="s">
        <v>63</v>
      </c>
    </row>
    <row r="32" spans="1:53" x14ac:dyDescent="0.25">
      <c r="AL32" s="1" t="s">
        <v>42</v>
      </c>
      <c r="AM32" s="10"/>
      <c r="AN32" s="48">
        <f>$AM24</f>
        <v>0</v>
      </c>
      <c r="AO32" s="49">
        <f t="shared" ref="AO32:AW32" si="18">AN32+AN32*$AM25</f>
        <v>0</v>
      </c>
      <c r="AP32" s="49">
        <f t="shared" si="18"/>
        <v>0</v>
      </c>
      <c r="AQ32" s="49">
        <f t="shared" si="18"/>
        <v>0</v>
      </c>
      <c r="AR32" s="49">
        <f t="shared" si="18"/>
        <v>0</v>
      </c>
      <c r="AS32" s="49">
        <f t="shared" si="18"/>
        <v>0</v>
      </c>
      <c r="AT32" s="49">
        <f t="shared" si="18"/>
        <v>0</v>
      </c>
      <c r="AU32" s="49">
        <f t="shared" si="18"/>
        <v>0</v>
      </c>
      <c r="AV32" s="49">
        <f t="shared" si="18"/>
        <v>0</v>
      </c>
      <c r="AW32" s="49">
        <f t="shared" si="18"/>
        <v>0</v>
      </c>
      <c r="AX32" s="50">
        <f>$AM27*AW32</f>
        <v>0</v>
      </c>
      <c r="AY32" s="51"/>
      <c r="AZ32" s="49"/>
      <c r="BA32" s="10"/>
    </row>
    <row r="33" spans="1:53" ht="18.75" x14ac:dyDescent="0.3">
      <c r="A33" s="56" t="s">
        <v>64</v>
      </c>
      <c r="AL33" s="5" t="s">
        <v>43</v>
      </c>
      <c r="AM33" s="7"/>
      <c r="AN33" s="52">
        <f>AN32/(1+$AM26)</f>
        <v>0</v>
      </c>
      <c r="AO33" s="53">
        <f t="shared" ref="AO33:AW33" si="19">(1+$AM25)*AN33/(1+$AM26)</f>
        <v>0</v>
      </c>
      <c r="AP33" s="53">
        <f t="shared" si="19"/>
        <v>0</v>
      </c>
      <c r="AQ33" s="53">
        <f t="shared" si="19"/>
        <v>0</v>
      </c>
      <c r="AR33" s="53">
        <f t="shared" si="19"/>
        <v>0</v>
      </c>
      <c r="AS33" s="53">
        <f t="shared" si="19"/>
        <v>0</v>
      </c>
      <c r="AT33" s="53">
        <f t="shared" si="19"/>
        <v>0</v>
      </c>
      <c r="AU33" s="53">
        <f t="shared" si="19"/>
        <v>0</v>
      </c>
      <c r="AV33" s="53">
        <f t="shared" si="19"/>
        <v>0</v>
      </c>
      <c r="AW33" s="53">
        <f t="shared" si="19"/>
        <v>0</v>
      </c>
      <c r="AX33" s="54">
        <f>AX32/(1+AM26)^AX31</f>
        <v>0</v>
      </c>
      <c r="AY33" s="53">
        <f>SUM(AN33:AX33)</f>
        <v>0</v>
      </c>
      <c r="AZ33" s="53">
        <f>AY33+AM28</f>
        <v>0</v>
      </c>
      <c r="BA33" s="55" t="e">
        <f>AZ33/AM29</f>
        <v>#DIV/0!</v>
      </c>
    </row>
    <row r="34" spans="1:53" x14ac:dyDescent="0.25">
      <c r="A34" s="77" t="s">
        <v>66</v>
      </c>
    </row>
    <row r="37" spans="1:53" x14ac:dyDescent="0.25">
      <c r="D37" s="78"/>
      <c r="E37" s="78"/>
      <c r="G37" s="79"/>
    </row>
    <row r="40" spans="1:53" x14ac:dyDescent="0.25">
      <c r="D40" s="41"/>
    </row>
  </sheetData>
  <mergeCells count="11">
    <mergeCell ref="R1:R2"/>
    <mergeCell ref="M1:M2"/>
    <mergeCell ref="N1:N2"/>
    <mergeCell ref="O1:O2"/>
    <mergeCell ref="P1:P2"/>
    <mergeCell ref="Q1:Q2"/>
    <mergeCell ref="S1:S2"/>
    <mergeCell ref="T1:T2"/>
    <mergeCell ref="U1:U2"/>
    <mergeCell ref="V1:V2"/>
    <mergeCell ref="W1:W2"/>
  </mergeCells>
  <conditionalFormatting sqref="L8">
    <cfRule type="cellIs" dxfId="278" priority="23" operator="greaterThan">
      <formula>3</formula>
    </cfRule>
    <cfRule type="cellIs" dxfId="277" priority="24" operator="lessThan">
      <formula>3</formula>
    </cfRule>
  </conditionalFormatting>
  <conditionalFormatting sqref="I3:K7">
    <cfRule type="cellIs" dxfId="276" priority="20" operator="between">
      <formula>0.05</formula>
      <formula>0.1</formula>
    </cfRule>
    <cfRule type="cellIs" dxfId="275" priority="21" operator="lessThan">
      <formula>0.05</formula>
    </cfRule>
    <cfRule type="cellIs" dxfId="274"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{8BD38D66-15EC-42DB-A87C-B76A7F1E22A6}</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{CC662885-B925-4D73-B783-92F069D862BE}</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{5C011F02-B402-4A56-9693-2B2780EAE2A0}</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{620BE633-6185-4DE0-A61D-ACE95FA6B2B2}</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{2175DCEC-CB46-42F4-A236-7F567A2F99CB}</x14:id>
        </ext>
      </extLst>
    </cfRule>
  </conditionalFormatting>
  <conditionalFormatting sqref="B17:D21">
    <cfRule type="cellIs" dxfId="273" priority="10" operator="between">
      <formula>0.05</formula>
      <formula>0.1</formula>
    </cfRule>
    <cfRule type="cellIs" dxfId="272" priority="11" operator="lessThan">
      <formula>0.05</formula>
    </cfRule>
    <cfRule type="cellIs" dxfId="271" priority="12" operator="greaterThan">
      <formula>0.1</formula>
    </cfRule>
  </conditionalFormatting>
  <conditionalFormatting sqref="C29:C31">
    <cfRule type="cellIs" dxfId="270" priority="7" operator="lessThan">
      <formula>0</formula>
    </cfRule>
    <cfRule type="cellIs" dxfId="269" priority="8" operator="between">
      <formula>0</formula>
      <formula>0.3</formula>
    </cfRule>
    <cfRule type="cellIs" dxfId="268" priority="9" operator="greaterThan">
      <formula>0.3</formula>
    </cfRule>
  </conditionalFormatting>
  <conditionalFormatting sqref="E29:E31">
    <cfRule type="cellIs" dxfId="267" priority="4" operator="lessThan">
      <formula>0</formula>
    </cfRule>
    <cfRule type="cellIs" dxfId="266" priority="5" operator="between">
      <formula>0</formula>
      <formula>0.3</formula>
    </cfRule>
    <cfRule type="cellIs" dxfId="265" priority="6" operator="greaterThan">
      <formula>0.3</formula>
    </cfRule>
  </conditionalFormatting>
  <conditionalFormatting sqref="F29:F31">
    <cfRule type="cellIs" dxfId="264" priority="1" operator="lessThan">
      <formula>0</formula>
    </cfRule>
    <cfRule type="cellIs" dxfId="263" priority="2" operator="between">
      <formula>0</formula>
      <formula>0.3</formula>
    </cfRule>
    <cfRule type="cellIs" dxfId="262" priority="3" operator="greaterThan">
      <formula>0.3</formula>
    </cfRule>
  </conditionalFormatting>
  <hyperlinks>
    <hyperlink ref="B4" r:id="rId1" xr:uid="{934541D2-29F0-4598-9D9D-B958E999D63A}"/>
    <hyperlink ref="A34" r:id="rId2" xr:uid="{89F7D739-2B9C-4A42-87CF-AEC9F14D0A6A}"/>
  </hyperlinks>
  <pageMargins left="0.7" right="0.7" top="0.75" bottom="0.75" header="0.3" footer="0.3"/>
  <pageSetup paperSize="9" orientation="portrait" r:id="rId3"/>
  <drawing r:id="rId4"/>
  <legacyDrawing r:id="rId5"/>
  <tableParts count="4">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dataBar" id="{8BD38D66-15EC-42DB-A87C-B76A7F1E22A6}">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CC662885-B925-4D73-B783-92F069D862BE}">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5C011F02-B402-4A56-9693-2B2780EAE2A0}">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620BE633-6185-4DE0-A61D-ACE95FA6B2B2}">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2175DCEC-CB46-42F4-A236-7F567A2F99CB}">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E85A3-EEE2-45DC-9D62-7BD5597BF8E9}">
  <dimension ref="A1:BA45"/>
  <sheetViews>
    <sheetView zoomScale="85" zoomScaleNormal="85" workbookViewId="0">
      <selection activeCell="E25" sqref="E25"/>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5432</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MIN(Table1591[])</f>
        <v>9.9499999999999991E-2</v>
      </c>
      <c r="AA2" s="8">
        <f>Z2</f>
        <v>9.9499999999999991E-2</v>
      </c>
      <c r="AB2" s="9">
        <f t="shared" ref="AB2:AJ3" si="1">AA2</f>
        <v>9.9499999999999991E-2</v>
      </c>
      <c r="AC2" s="9">
        <f t="shared" si="1"/>
        <v>9.9499999999999991E-2</v>
      </c>
      <c r="AD2" s="9">
        <f t="shared" si="1"/>
        <v>9.9499999999999991E-2</v>
      </c>
      <c r="AE2" s="9">
        <f t="shared" si="1"/>
        <v>9.9499999999999991E-2</v>
      </c>
      <c r="AF2" s="9">
        <f t="shared" si="1"/>
        <v>9.9499999999999991E-2</v>
      </c>
      <c r="AG2" s="9">
        <f t="shared" si="1"/>
        <v>9.9499999999999991E-2</v>
      </c>
      <c r="AH2" s="9">
        <f t="shared" si="1"/>
        <v>9.9499999999999991E-2</v>
      </c>
      <c r="AI2" s="9">
        <f t="shared" si="1"/>
        <v>9.9499999999999991E-2</v>
      </c>
      <c r="AJ2" s="25">
        <f t="shared" si="1"/>
        <v>9.9499999999999991E-2</v>
      </c>
      <c r="AL2" s="18" t="s">
        <v>36</v>
      </c>
      <c r="AM2" s="67">
        <f>Z2</f>
        <v>9.9499999999999991E-2</v>
      </c>
      <c r="BA2" s="17"/>
    </row>
    <row r="3" spans="1:53" x14ac:dyDescent="0.25">
      <c r="A3" t="s">
        <v>49</v>
      </c>
      <c r="B3" s="58" t="s">
        <v>53</v>
      </c>
      <c r="H3" s="2" t="s">
        <v>6</v>
      </c>
      <c r="I3" s="8">
        <f>AVERAGE(M3:W3)</f>
        <v>0.11222222222222222</v>
      </c>
      <c r="J3" s="9">
        <f>AVERAGE(S3:W3)</f>
        <v>0.12984000000000001</v>
      </c>
      <c r="K3" s="9">
        <f>W3</f>
        <v>0.14150000000000001</v>
      </c>
      <c r="L3" s="10" t="s">
        <v>7</v>
      </c>
      <c r="M3" s="11"/>
      <c r="N3" s="12"/>
      <c r="O3" s="12">
        <v>0.1061</v>
      </c>
      <c r="P3" s="12">
        <v>4.4699999999999997E-2</v>
      </c>
      <c r="Q3" s="12">
        <v>0.1116</v>
      </c>
      <c r="R3" s="12">
        <v>9.8400000000000001E-2</v>
      </c>
      <c r="S3" s="12">
        <v>0.10980000000000001</v>
      </c>
      <c r="T3" s="12">
        <v>0.11509999999999999</v>
      </c>
      <c r="U3" s="12">
        <v>0.1134</v>
      </c>
      <c r="V3" s="12">
        <v>0.16940000000000002</v>
      </c>
      <c r="W3" s="13">
        <v>0.14150000000000001</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54</v>
      </c>
      <c r="H4" s="14" t="s">
        <v>8</v>
      </c>
      <c r="I4" s="15">
        <f>AVERAGE(M4:W4)</f>
        <v>9.9499999999999991E-2</v>
      </c>
      <c r="J4" s="16">
        <f>AVERAGE(S4:W4)</f>
        <v>0.1016</v>
      </c>
      <c r="K4" s="16">
        <f>W4</f>
        <v>0.19900000000000001</v>
      </c>
      <c r="L4" s="17" t="s">
        <v>7</v>
      </c>
      <c r="M4" s="18" t="s">
        <v>7</v>
      </c>
      <c r="N4" s="12"/>
      <c r="O4" s="12"/>
      <c r="P4" s="12"/>
      <c r="Q4" s="12"/>
      <c r="R4" s="12">
        <v>8.8999999999999996E-2</v>
      </c>
      <c r="S4" s="12">
        <v>9.4E-2</v>
      </c>
      <c r="T4" s="12">
        <v>1E-3</v>
      </c>
      <c r="U4" s="12">
        <v>9.1999999999999998E-2</v>
      </c>
      <c r="V4" s="12">
        <v>0.122</v>
      </c>
      <c r="W4" s="13">
        <v>0.19900000000000001</v>
      </c>
      <c r="Y4" s="5" t="s">
        <v>15</v>
      </c>
      <c r="Z4" s="29">
        <v>50</v>
      </c>
      <c r="AA4" s="30">
        <f t="shared" si="2"/>
        <v>50</v>
      </c>
      <c r="AB4" s="31">
        <f t="shared" si="2"/>
        <v>50</v>
      </c>
      <c r="AC4" s="31">
        <f t="shared" si="2"/>
        <v>50</v>
      </c>
      <c r="AD4" s="31">
        <f t="shared" si="2"/>
        <v>50</v>
      </c>
      <c r="AE4" s="31">
        <f t="shared" si="2"/>
        <v>50</v>
      </c>
      <c r="AF4" s="31">
        <f t="shared" si="2"/>
        <v>50</v>
      </c>
      <c r="AG4" s="31">
        <f t="shared" si="2"/>
        <v>50</v>
      </c>
      <c r="AH4" s="31">
        <f t="shared" si="2"/>
        <v>50</v>
      </c>
      <c r="AI4" s="31">
        <f t="shared" si="2"/>
        <v>50</v>
      </c>
      <c r="AJ4" s="32">
        <f t="shared" si="2"/>
        <v>50</v>
      </c>
      <c r="AL4" s="18" t="s">
        <v>38</v>
      </c>
      <c r="AM4" s="64">
        <v>15</v>
      </c>
      <c r="BA4" s="17"/>
    </row>
    <row r="5" spans="1:53" x14ac:dyDescent="0.25">
      <c r="A5" t="s">
        <v>34</v>
      </c>
      <c r="B5" s="92">
        <v>44568</v>
      </c>
      <c r="H5" s="14" t="s">
        <v>9</v>
      </c>
      <c r="I5" s="15">
        <f>AVERAGE(M5:W5)</f>
        <v>0.41209999999999997</v>
      </c>
      <c r="J5" s="16">
        <f>AVERAGE(S5:W5)</f>
        <v>0.2712</v>
      </c>
      <c r="K5" s="16">
        <f>W5</f>
        <v>-6.0000000000000001E-3</v>
      </c>
      <c r="L5" s="17" t="s">
        <v>7</v>
      </c>
      <c r="M5" s="18" t="s">
        <v>7</v>
      </c>
      <c r="N5" s="12">
        <v>1</v>
      </c>
      <c r="O5" s="12">
        <v>0.23799999999999999</v>
      </c>
      <c r="P5" s="12">
        <v>-0.56399999999999995</v>
      </c>
      <c r="Q5" s="12">
        <v>1.9410000000000001</v>
      </c>
      <c r="R5" s="12">
        <v>0.15</v>
      </c>
      <c r="S5" s="12">
        <v>0.27800000000000002</v>
      </c>
      <c r="T5" s="12">
        <v>0.16300000000000001</v>
      </c>
      <c r="U5" s="12">
        <v>0.21099999999999999</v>
      </c>
      <c r="V5" s="12">
        <v>0.71</v>
      </c>
      <c r="W5" s="13">
        <v>-6.0000000000000001E-3</v>
      </c>
      <c r="Y5" s="1" t="s">
        <v>16</v>
      </c>
      <c r="Z5" s="33">
        <v>3.52</v>
      </c>
      <c r="AA5" s="34">
        <f>Z5</f>
        <v>3.52</v>
      </c>
      <c r="AB5" s="35">
        <f t="shared" ref="AB5:AJ5" si="3">AA5*(1+$Z2)</f>
        <v>3.8702399999999999</v>
      </c>
      <c r="AC5" s="35">
        <f t="shared" si="3"/>
        <v>4.2553288799999995</v>
      </c>
      <c r="AD5" s="35">
        <f t="shared" si="3"/>
        <v>4.6787341035599992</v>
      </c>
      <c r="AE5" s="35">
        <f t="shared" si="3"/>
        <v>5.1442681468642188</v>
      </c>
      <c r="AF5" s="35">
        <f t="shared" si="3"/>
        <v>5.6561228274772084</v>
      </c>
      <c r="AG5" s="35">
        <f t="shared" si="3"/>
        <v>6.2189070488111904</v>
      </c>
      <c r="AH5" s="35">
        <f t="shared" si="3"/>
        <v>6.837688300167903</v>
      </c>
      <c r="AI5" s="35">
        <f t="shared" si="3"/>
        <v>7.5180382860346091</v>
      </c>
      <c r="AJ5" s="36">
        <f t="shared" si="3"/>
        <v>8.2660830954950519</v>
      </c>
      <c r="AL5" s="18" t="s">
        <v>39</v>
      </c>
      <c r="AM5" s="40">
        <v>5197</v>
      </c>
      <c r="BA5" s="17"/>
    </row>
    <row r="6" spans="1:53" x14ac:dyDescent="0.25">
      <c r="A6" t="s">
        <v>44</v>
      </c>
      <c r="B6" s="62">
        <v>106.32</v>
      </c>
      <c r="H6" s="14" t="s">
        <v>10</v>
      </c>
      <c r="I6" s="15">
        <f>AVERAGE(M6:W6)</f>
        <v>0.17885714285714285</v>
      </c>
      <c r="J6" s="16">
        <f>AVERAGE(S6:W6)</f>
        <v>0.18559999999999999</v>
      </c>
      <c r="K6" s="16">
        <f>W6</f>
        <v>0.183</v>
      </c>
      <c r="L6" s="17" t="s">
        <v>7</v>
      </c>
      <c r="M6" s="18" t="s">
        <v>7</v>
      </c>
      <c r="N6" s="12"/>
      <c r="O6" s="12"/>
      <c r="P6" s="12"/>
      <c r="Q6" s="12">
        <v>0.152</v>
      </c>
      <c r="R6" s="12">
        <v>0.17199999999999999</v>
      </c>
      <c r="S6" s="12">
        <v>0.20799999999999999</v>
      </c>
      <c r="T6" s="12">
        <v>0.18</v>
      </c>
      <c r="U6" s="12">
        <v>0.15</v>
      </c>
      <c r="V6" s="12">
        <v>0.20699999999999999</v>
      </c>
      <c r="W6" s="13">
        <v>0.183</v>
      </c>
      <c r="Y6" s="5" t="s">
        <v>19</v>
      </c>
      <c r="Z6" s="37">
        <f>AA6</f>
        <v>117.48683594248487</v>
      </c>
      <c r="AA6" s="38">
        <f t="shared" ref="AA6:AI6" si="4">AB6/(1+$Z3)</f>
        <v>117.48683594248487</v>
      </c>
      <c r="AB6" s="38">
        <f t="shared" si="4"/>
        <v>135.10986133385759</v>
      </c>
      <c r="AC6" s="38">
        <f t="shared" si="4"/>
        <v>155.37634053393623</v>
      </c>
      <c r="AD6" s="38">
        <f t="shared" si="4"/>
        <v>178.68279161402666</v>
      </c>
      <c r="AE6" s="38">
        <f t="shared" si="4"/>
        <v>205.48521035613064</v>
      </c>
      <c r="AF6" s="38">
        <f t="shared" si="4"/>
        <v>236.30799190955022</v>
      </c>
      <c r="AG6" s="38">
        <f t="shared" si="4"/>
        <v>271.75419069598274</v>
      </c>
      <c r="AH6" s="38">
        <f t="shared" si="4"/>
        <v>312.51731930038011</v>
      </c>
      <c r="AI6" s="38">
        <f t="shared" si="4"/>
        <v>359.39491719543707</v>
      </c>
      <c r="AJ6" s="39">
        <f>AJ5*$Z4</f>
        <v>413.30415477475259</v>
      </c>
      <c r="AL6" s="5" t="s">
        <v>40</v>
      </c>
      <c r="AM6" s="45">
        <v>1168</v>
      </c>
      <c r="BA6" s="17"/>
    </row>
    <row r="7" spans="1:53" x14ac:dyDescent="0.25">
      <c r="A7" t="s">
        <v>45</v>
      </c>
      <c r="B7" s="58" t="s">
        <v>55</v>
      </c>
      <c r="H7" s="14" t="s">
        <v>11</v>
      </c>
      <c r="I7" s="15">
        <f>AVERAGE(M7:W7)</f>
        <v>0.27544444444444444</v>
      </c>
      <c r="J7" s="16">
        <f>AVERAGE(S7:W7)</f>
        <v>0.2918</v>
      </c>
      <c r="K7" s="16">
        <f>W7</f>
        <v>8.8999999999999996E-2</v>
      </c>
      <c r="L7" s="17" t="s">
        <v>7</v>
      </c>
      <c r="M7" s="18" t="s">
        <v>7</v>
      </c>
      <c r="N7" s="12"/>
      <c r="O7" s="12">
        <v>0.52</v>
      </c>
      <c r="P7" s="12">
        <v>7.9000000000000001E-2</v>
      </c>
      <c r="Q7" s="12">
        <v>5.6000000000000001E-2</v>
      </c>
      <c r="R7" s="12">
        <v>0.36499999999999999</v>
      </c>
      <c r="S7" s="12">
        <v>-0.251</v>
      </c>
      <c r="T7" s="12">
        <v>1.5</v>
      </c>
      <c r="U7" s="12">
        <v>-0.17199999999999999</v>
      </c>
      <c r="V7" s="12">
        <v>0.29299999999999998</v>
      </c>
      <c r="W7" s="13">
        <v>8.8999999999999996E-2</v>
      </c>
      <c r="AL7" s="18"/>
      <c r="BA7" s="17"/>
    </row>
    <row r="8" spans="1:53" x14ac:dyDescent="0.25">
      <c r="A8" t="s">
        <v>46</v>
      </c>
      <c r="B8" s="58" t="s">
        <v>56</v>
      </c>
      <c r="H8" s="19" t="s">
        <v>12</v>
      </c>
      <c r="I8" s="5" t="s">
        <v>7</v>
      </c>
      <c r="J8" s="6" t="s">
        <v>7</v>
      </c>
      <c r="K8" s="6" t="s">
        <v>7</v>
      </c>
      <c r="L8" s="20">
        <v>1.88</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82</v>
      </c>
      <c r="B9" s="58" t="s">
        <v>141</v>
      </c>
      <c r="H9" s="43"/>
      <c r="L9" s="20"/>
      <c r="Y9" s="1"/>
      <c r="AA9" s="1"/>
      <c r="AB9" s="42"/>
      <c r="AC9" s="42"/>
      <c r="AD9" s="42"/>
      <c r="AE9" s="42"/>
      <c r="AF9" s="42"/>
      <c r="AG9" s="42"/>
      <c r="AH9" s="42"/>
      <c r="AI9" s="42"/>
      <c r="AJ9" s="10"/>
      <c r="AL9" s="1"/>
      <c r="AM9" s="10"/>
      <c r="AN9" s="1"/>
      <c r="AO9" s="42"/>
      <c r="AP9" s="42"/>
      <c r="AQ9" s="42"/>
      <c r="AR9" s="42"/>
      <c r="AS9" s="42"/>
      <c r="AT9" s="42"/>
      <c r="AU9" s="42"/>
      <c r="AV9" s="42"/>
      <c r="AW9" s="42"/>
      <c r="AX9" s="10"/>
      <c r="AY9" s="93"/>
      <c r="AZ9" s="93"/>
      <c r="BA9" s="94"/>
    </row>
    <row r="10" spans="1:53" x14ac:dyDescent="0.25">
      <c r="A10" t="s">
        <v>47</v>
      </c>
      <c r="B10" s="58" t="s">
        <v>58</v>
      </c>
      <c r="Y10" s="1" t="s">
        <v>13</v>
      </c>
      <c r="Z10" s="65">
        <f>AVERAGE(Table1591[])</f>
        <v>0.12369999999999999</v>
      </c>
      <c r="AA10" s="8">
        <f>Z10</f>
        <v>0.12369999999999999</v>
      </c>
      <c r="AB10" s="9">
        <f t="shared" ref="AB10:AJ11" si="5">AA10</f>
        <v>0.12369999999999999</v>
      </c>
      <c r="AC10" s="9">
        <f t="shared" si="5"/>
        <v>0.12369999999999999</v>
      </c>
      <c r="AD10" s="9">
        <f t="shared" si="5"/>
        <v>0.12369999999999999</v>
      </c>
      <c r="AE10" s="9">
        <f t="shared" si="5"/>
        <v>0.12369999999999999</v>
      </c>
      <c r="AF10" s="9">
        <f t="shared" si="5"/>
        <v>0.12369999999999999</v>
      </c>
      <c r="AG10" s="9">
        <f t="shared" si="5"/>
        <v>0.12369999999999999</v>
      </c>
      <c r="AH10" s="9">
        <f t="shared" si="5"/>
        <v>0.12369999999999999</v>
      </c>
      <c r="AI10" s="9">
        <f t="shared" si="5"/>
        <v>0.12369999999999999</v>
      </c>
      <c r="AJ10" s="25">
        <f t="shared" si="5"/>
        <v>0.12369999999999999</v>
      </c>
      <c r="AL10" s="1" t="s">
        <v>42</v>
      </c>
      <c r="AM10" s="10"/>
      <c r="AN10" s="48">
        <f>$AM1</f>
        <v>5432</v>
      </c>
      <c r="AO10" s="49">
        <f t="shared" ref="AO10:AW10" si="6">AN10+AN10*$AM2</f>
        <v>5972.4840000000004</v>
      </c>
      <c r="AP10" s="49">
        <f t="shared" si="6"/>
        <v>6566.7461579999999</v>
      </c>
      <c r="AQ10" s="49">
        <f t="shared" si="6"/>
        <v>7220.1374007209997</v>
      </c>
      <c r="AR10" s="49">
        <f t="shared" si="6"/>
        <v>7938.5410720927393</v>
      </c>
      <c r="AS10" s="49">
        <f t="shared" si="6"/>
        <v>8728.4259087659666</v>
      </c>
      <c r="AT10" s="49">
        <f t="shared" si="6"/>
        <v>9596.9042866881809</v>
      </c>
      <c r="AU10" s="49">
        <f t="shared" si="6"/>
        <v>10551.796263213655</v>
      </c>
      <c r="AV10" s="49">
        <f t="shared" si="6"/>
        <v>11601.699991403413</v>
      </c>
      <c r="AW10" s="49">
        <f t="shared" si="6"/>
        <v>12756.069140548052</v>
      </c>
      <c r="AX10" s="50">
        <f>$AM4*AW10</f>
        <v>191341.03710822077</v>
      </c>
      <c r="AY10" s="51"/>
      <c r="AZ10" s="49"/>
      <c r="BA10" s="10"/>
    </row>
    <row r="11" spans="1:53" x14ac:dyDescent="0.25">
      <c r="A11" t="s">
        <v>48</v>
      </c>
      <c r="B11" s="58" t="s">
        <v>57</v>
      </c>
      <c r="Y11" s="18" t="s">
        <v>14</v>
      </c>
      <c r="Z11">
        <f>Z3</f>
        <v>0.15</v>
      </c>
      <c r="AA11" s="26">
        <f t="shared" ref="AA11:AJ12" si="7">Z11</f>
        <v>0.15</v>
      </c>
      <c r="AB11" s="27">
        <f t="shared" si="5"/>
        <v>0.15</v>
      </c>
      <c r="AC11" s="27">
        <f t="shared" si="5"/>
        <v>0.15</v>
      </c>
      <c r="AD11" s="27">
        <f t="shared" si="5"/>
        <v>0.15</v>
      </c>
      <c r="AE11" s="27">
        <f t="shared" si="5"/>
        <v>0.15</v>
      </c>
      <c r="AF11" s="27">
        <f t="shared" si="5"/>
        <v>0.15</v>
      </c>
      <c r="AG11" s="27">
        <f t="shared" si="5"/>
        <v>0.15</v>
      </c>
      <c r="AH11" s="27">
        <f t="shared" si="5"/>
        <v>0.15</v>
      </c>
      <c r="AI11" s="27">
        <f t="shared" si="5"/>
        <v>0.15</v>
      </c>
      <c r="AJ11" s="28">
        <f t="shared" si="5"/>
        <v>0.15</v>
      </c>
      <c r="AL11" s="5" t="s">
        <v>43</v>
      </c>
      <c r="AM11" s="7"/>
      <c r="AN11" s="52">
        <f>AN10/(1+$AM3)</f>
        <v>4723.4782608695659</v>
      </c>
      <c r="AO11" s="53">
        <f t="shared" ref="AO11:AW11" si="8">(1+$AM2)*AN11/(1+$AM3)</f>
        <v>4516.0559546313807</v>
      </c>
      <c r="AP11" s="53">
        <f t="shared" si="8"/>
        <v>4317.7421931453937</v>
      </c>
      <c r="AQ11" s="53">
        <f t="shared" si="8"/>
        <v>4128.1369924898781</v>
      </c>
      <c r="AR11" s="53">
        <f t="shared" si="8"/>
        <v>3946.8579332544532</v>
      </c>
      <c r="AS11" s="53">
        <f t="shared" si="8"/>
        <v>3773.5393892289312</v>
      </c>
      <c r="AT11" s="53">
        <f t="shared" si="8"/>
        <v>3607.8317899627909</v>
      </c>
      <c r="AU11" s="53">
        <f t="shared" si="8"/>
        <v>3449.4009157079031</v>
      </c>
      <c r="AV11" s="53">
        <f t="shared" si="8"/>
        <v>3297.9272233224692</v>
      </c>
      <c r="AW11" s="53">
        <f t="shared" si="8"/>
        <v>3153.1052017765696</v>
      </c>
      <c r="AX11" s="54">
        <f>AX10/(1+AM3)^AX8</f>
        <v>47296.578026648582</v>
      </c>
      <c r="AY11" s="53">
        <f>SUM(AN11:AX11)</f>
        <v>86210.653881037928</v>
      </c>
      <c r="AZ11" s="53">
        <f>AY11+AM5</f>
        <v>91407.653881037928</v>
      </c>
      <c r="BA11" s="55">
        <f>AZ11/AM6</f>
        <v>78.25997763787494</v>
      </c>
    </row>
    <row r="12" spans="1:53" x14ac:dyDescent="0.25">
      <c r="A12" t="s">
        <v>65</v>
      </c>
      <c r="B12" s="92">
        <v>44627</v>
      </c>
      <c r="Y12" s="5" t="s">
        <v>15</v>
      </c>
      <c r="Z12" s="7">
        <f>Z4</f>
        <v>50</v>
      </c>
      <c r="AA12" s="30">
        <f t="shared" si="7"/>
        <v>50</v>
      </c>
      <c r="AB12" s="31">
        <f t="shared" si="7"/>
        <v>50</v>
      </c>
      <c r="AC12" s="31">
        <f t="shared" si="7"/>
        <v>50</v>
      </c>
      <c r="AD12" s="31">
        <f t="shared" si="7"/>
        <v>50</v>
      </c>
      <c r="AE12" s="31">
        <f t="shared" si="7"/>
        <v>50</v>
      </c>
      <c r="AF12" s="31">
        <f t="shared" si="7"/>
        <v>50</v>
      </c>
      <c r="AG12" s="31">
        <f t="shared" si="7"/>
        <v>50</v>
      </c>
      <c r="AH12" s="31">
        <f t="shared" si="7"/>
        <v>50</v>
      </c>
      <c r="AI12" s="31">
        <f t="shared" si="7"/>
        <v>50</v>
      </c>
      <c r="AJ12" s="32">
        <f t="shared" si="7"/>
        <v>50</v>
      </c>
    </row>
    <row r="13" spans="1:53" x14ac:dyDescent="0.25">
      <c r="Y13" s="1" t="s">
        <v>16</v>
      </c>
      <c r="Z13">
        <f>Z5</f>
        <v>3.52</v>
      </c>
      <c r="AA13" s="34">
        <f>Z13</f>
        <v>3.52</v>
      </c>
      <c r="AB13" s="35">
        <f t="shared" ref="AB13:AJ13" si="9">AA13*(1+$Z10)</f>
        <v>3.9554239999999998</v>
      </c>
      <c r="AC13" s="35">
        <f t="shared" si="9"/>
        <v>4.4447099487999999</v>
      </c>
      <c r="AD13" s="35">
        <f t="shared" si="9"/>
        <v>4.9945205694665598</v>
      </c>
      <c r="AE13" s="35">
        <f t="shared" si="9"/>
        <v>5.6123427639095729</v>
      </c>
      <c r="AF13" s="35">
        <f t="shared" si="9"/>
        <v>6.3065895638051863</v>
      </c>
      <c r="AG13" s="35">
        <f t="shared" si="9"/>
        <v>7.0867146928478872</v>
      </c>
      <c r="AH13" s="35">
        <f t="shared" si="9"/>
        <v>7.9633413003531706</v>
      </c>
      <c r="AI13" s="35">
        <f t="shared" si="9"/>
        <v>8.9484066192068568</v>
      </c>
      <c r="AJ13" s="36">
        <f t="shared" si="9"/>
        <v>10.055324518002744</v>
      </c>
      <c r="AL13" s="1" t="s">
        <v>35</v>
      </c>
      <c r="AM13" s="72">
        <f>AM1</f>
        <v>5432</v>
      </c>
      <c r="AN13" s="42"/>
      <c r="AO13" s="42"/>
      <c r="AP13" s="42"/>
      <c r="AQ13" s="42"/>
      <c r="AR13" s="42"/>
      <c r="AS13" s="42"/>
      <c r="AT13" s="42"/>
      <c r="AU13" s="42"/>
      <c r="AV13" s="42"/>
      <c r="AW13" s="42"/>
      <c r="AX13" s="42"/>
      <c r="AY13" s="42"/>
      <c r="AZ13" s="42"/>
      <c r="BA13" s="10"/>
    </row>
    <row r="14" spans="1:53" ht="18.75" x14ac:dyDescent="0.3">
      <c r="A14" s="56" t="s">
        <v>29</v>
      </c>
      <c r="Y14" s="5" t="s">
        <v>19</v>
      </c>
      <c r="Z14" s="37">
        <f>AA14</f>
        <v>142.91754006669376</v>
      </c>
      <c r="AA14" s="38">
        <f t="shared" ref="AA14:AI14" si="10">AB14/(1+$Z11)</f>
        <v>142.91754006669376</v>
      </c>
      <c r="AB14" s="38">
        <f t="shared" si="10"/>
        <v>164.35517107669781</v>
      </c>
      <c r="AC14" s="38">
        <f t="shared" si="10"/>
        <v>189.00844673820248</v>
      </c>
      <c r="AD14" s="38">
        <f t="shared" si="10"/>
        <v>217.35971374893285</v>
      </c>
      <c r="AE14" s="38">
        <f t="shared" si="10"/>
        <v>249.96367081127275</v>
      </c>
      <c r="AF14" s="38">
        <f t="shared" si="10"/>
        <v>287.45822143296363</v>
      </c>
      <c r="AG14" s="38">
        <f t="shared" si="10"/>
        <v>330.57695464790817</v>
      </c>
      <c r="AH14" s="38">
        <f t="shared" si="10"/>
        <v>380.16349784509435</v>
      </c>
      <c r="AI14" s="38">
        <f t="shared" si="10"/>
        <v>437.18802252185844</v>
      </c>
      <c r="AJ14" s="39">
        <f>AJ13*$Z12</f>
        <v>502.76622590013716</v>
      </c>
      <c r="AL14" s="18" t="s">
        <v>36</v>
      </c>
      <c r="AM14" s="68">
        <f>Z10</f>
        <v>0.12369999999999999</v>
      </c>
      <c r="BA14" s="17"/>
    </row>
    <row r="15" spans="1:53" x14ac:dyDescent="0.25">
      <c r="A15" s="43" t="s">
        <v>32</v>
      </c>
      <c r="B15" s="18" t="s">
        <v>0</v>
      </c>
      <c r="C15" t="s">
        <v>1</v>
      </c>
      <c r="D15" t="s">
        <v>2</v>
      </c>
      <c r="E15" t="s">
        <v>3</v>
      </c>
      <c r="AL15" s="18" t="s">
        <v>37</v>
      </c>
      <c r="AM15" s="69">
        <f>AM3</f>
        <v>0.15</v>
      </c>
      <c r="BA15" s="17"/>
    </row>
    <row r="16" spans="1:53" x14ac:dyDescent="0.25">
      <c r="A16" t="s">
        <v>52</v>
      </c>
      <c r="B16" t="s">
        <v>4</v>
      </c>
      <c r="C16" t="s">
        <v>4</v>
      </c>
      <c r="D16" t="s">
        <v>4</v>
      </c>
      <c r="E16" t="s">
        <v>5</v>
      </c>
      <c r="Y16" s="21" t="s">
        <v>61</v>
      </c>
      <c r="Z16" s="22"/>
      <c r="AA16" s="21">
        <v>2021</v>
      </c>
      <c r="AB16" s="23">
        <v>2022</v>
      </c>
      <c r="AC16" s="23">
        <v>2023</v>
      </c>
      <c r="AD16" s="23">
        <v>2024</v>
      </c>
      <c r="AE16" s="23">
        <v>2025</v>
      </c>
      <c r="AF16" s="23">
        <v>2026</v>
      </c>
      <c r="AG16" s="23">
        <v>2027</v>
      </c>
      <c r="AH16" s="23">
        <v>2028</v>
      </c>
      <c r="AI16" s="23">
        <v>2029</v>
      </c>
      <c r="AJ16" s="24">
        <v>2030</v>
      </c>
      <c r="AL16" s="18" t="s">
        <v>38</v>
      </c>
      <c r="AM16" s="69">
        <f>AM4</f>
        <v>15</v>
      </c>
      <c r="BA16" s="17"/>
    </row>
    <row r="17" spans="1:53" x14ac:dyDescent="0.25">
      <c r="A17" t="s">
        <v>23</v>
      </c>
      <c r="B17" s="16">
        <f t="shared" ref="B17:D21" si="11">I3</f>
        <v>0.11222222222222222</v>
      </c>
      <c r="C17" s="16">
        <f t="shared" si="11"/>
        <v>0.12984000000000001</v>
      </c>
      <c r="D17" s="16">
        <f t="shared" si="11"/>
        <v>0.14150000000000001</v>
      </c>
      <c r="Y17" s="1" t="s">
        <v>13</v>
      </c>
      <c r="Z17" s="60">
        <f>MAX(Table1591[])</f>
        <v>0.158</v>
      </c>
      <c r="AA17" s="8">
        <f>Z17</f>
        <v>0.158</v>
      </c>
      <c r="AB17" s="9">
        <f t="shared" ref="AB17:AJ18" si="12">AA17</f>
        <v>0.158</v>
      </c>
      <c r="AC17" s="9">
        <f t="shared" si="12"/>
        <v>0.158</v>
      </c>
      <c r="AD17" s="9">
        <f t="shared" si="12"/>
        <v>0.158</v>
      </c>
      <c r="AE17" s="9">
        <f t="shared" si="12"/>
        <v>0.158</v>
      </c>
      <c r="AF17" s="9">
        <f t="shared" si="12"/>
        <v>0.158</v>
      </c>
      <c r="AG17" s="9">
        <f t="shared" si="12"/>
        <v>0.158</v>
      </c>
      <c r="AH17" s="9">
        <f t="shared" si="12"/>
        <v>0.158</v>
      </c>
      <c r="AI17" s="9">
        <f t="shared" si="12"/>
        <v>0.158</v>
      </c>
      <c r="AJ17" s="25">
        <f t="shared" si="12"/>
        <v>0.158</v>
      </c>
      <c r="AL17" s="18" t="s">
        <v>39</v>
      </c>
      <c r="AM17" s="69">
        <f>AM5</f>
        <v>5197</v>
      </c>
      <c r="BA17" s="17"/>
    </row>
    <row r="18" spans="1:53" x14ac:dyDescent="0.25">
      <c r="A18" t="s">
        <v>24</v>
      </c>
      <c r="B18" s="16">
        <f t="shared" si="11"/>
        <v>9.9499999999999991E-2</v>
      </c>
      <c r="C18" s="16">
        <f t="shared" si="11"/>
        <v>0.1016</v>
      </c>
      <c r="D18" s="16">
        <f t="shared" si="11"/>
        <v>0.19900000000000001</v>
      </c>
      <c r="Y18" s="18" t="s">
        <v>14</v>
      </c>
      <c r="Z18">
        <f>Z3</f>
        <v>0.15</v>
      </c>
      <c r="AA18" s="26">
        <f t="shared" ref="AA18:AJ19" si="13">Z18</f>
        <v>0.15</v>
      </c>
      <c r="AB18" s="27">
        <f t="shared" si="12"/>
        <v>0.15</v>
      </c>
      <c r="AC18" s="27">
        <f t="shared" si="12"/>
        <v>0.15</v>
      </c>
      <c r="AD18" s="27">
        <f t="shared" si="12"/>
        <v>0.15</v>
      </c>
      <c r="AE18" s="27">
        <f t="shared" si="12"/>
        <v>0.15</v>
      </c>
      <c r="AF18" s="27">
        <f t="shared" si="12"/>
        <v>0.15</v>
      </c>
      <c r="AG18" s="27">
        <f t="shared" si="12"/>
        <v>0.15</v>
      </c>
      <c r="AH18" s="27">
        <f t="shared" si="12"/>
        <v>0.15</v>
      </c>
      <c r="AI18" s="27">
        <f t="shared" si="12"/>
        <v>0.15</v>
      </c>
      <c r="AJ18" s="28">
        <f t="shared" si="12"/>
        <v>0.15</v>
      </c>
      <c r="AL18" s="5" t="s">
        <v>40</v>
      </c>
      <c r="AM18" s="70">
        <f>AM6</f>
        <v>1168</v>
      </c>
      <c r="BA18" s="17"/>
    </row>
    <row r="19" spans="1:53" x14ac:dyDescent="0.25">
      <c r="A19" t="s">
        <v>25</v>
      </c>
      <c r="B19" s="16">
        <f t="shared" si="11"/>
        <v>0.41209999999999997</v>
      </c>
      <c r="C19" s="16">
        <f t="shared" si="11"/>
        <v>0.2712</v>
      </c>
      <c r="D19" s="16">
        <f t="shared" si="11"/>
        <v>-6.0000000000000001E-3</v>
      </c>
      <c r="Y19" s="5" t="s">
        <v>15</v>
      </c>
      <c r="Z19" s="7">
        <f>Z4</f>
        <v>50</v>
      </c>
      <c r="AA19" s="30">
        <f t="shared" si="13"/>
        <v>50</v>
      </c>
      <c r="AB19" s="31">
        <f t="shared" si="13"/>
        <v>50</v>
      </c>
      <c r="AC19" s="31">
        <f t="shared" si="13"/>
        <v>50</v>
      </c>
      <c r="AD19" s="31">
        <f t="shared" si="13"/>
        <v>50</v>
      </c>
      <c r="AE19" s="31">
        <f t="shared" si="13"/>
        <v>50</v>
      </c>
      <c r="AF19" s="31">
        <f t="shared" si="13"/>
        <v>50</v>
      </c>
      <c r="AG19" s="31">
        <f t="shared" si="13"/>
        <v>50</v>
      </c>
      <c r="AH19" s="31">
        <f t="shared" si="13"/>
        <v>50</v>
      </c>
      <c r="AI19" s="31">
        <f t="shared" si="13"/>
        <v>50</v>
      </c>
      <c r="AJ19" s="32">
        <f t="shared" si="13"/>
        <v>50</v>
      </c>
      <c r="AL19" s="18"/>
      <c r="BA19" s="17"/>
    </row>
    <row r="20" spans="1:53" x14ac:dyDescent="0.25">
      <c r="A20" t="s">
        <v>26</v>
      </c>
      <c r="B20" s="16">
        <f t="shared" si="11"/>
        <v>0.17885714285714285</v>
      </c>
      <c r="C20" s="16">
        <f t="shared" si="11"/>
        <v>0.18559999999999999</v>
      </c>
      <c r="D20" s="16">
        <f t="shared" si="11"/>
        <v>0.183</v>
      </c>
      <c r="Y20" s="1" t="s">
        <v>16</v>
      </c>
      <c r="Z20">
        <f>Z5</f>
        <v>3.52</v>
      </c>
      <c r="AA20" s="34">
        <f>Z20</f>
        <v>3.52</v>
      </c>
      <c r="AB20" s="35">
        <f t="shared" ref="AB20:AJ20" si="14">AA20*(1+$Z17)</f>
        <v>4.0761599999999998</v>
      </c>
      <c r="AC20" s="35">
        <f t="shared" si="14"/>
        <v>4.7201932799999993</v>
      </c>
      <c r="AD20" s="35">
        <f t="shared" si="14"/>
        <v>5.4659838182399989</v>
      </c>
      <c r="AE20" s="35">
        <f t="shared" si="14"/>
        <v>6.3296092615219184</v>
      </c>
      <c r="AF20" s="35">
        <f t="shared" si="14"/>
        <v>7.329687524842381</v>
      </c>
      <c r="AG20" s="35">
        <f t="shared" si="14"/>
        <v>8.4877781537674757</v>
      </c>
      <c r="AH20" s="35">
        <f t="shared" si="14"/>
        <v>9.8288471020627366</v>
      </c>
      <c r="AI20" s="35">
        <f t="shared" si="14"/>
        <v>11.381804944188648</v>
      </c>
      <c r="AJ20" s="36">
        <f t="shared" si="14"/>
        <v>13.180130125370454</v>
      </c>
      <c r="AL20" s="21"/>
      <c r="AM20" s="24"/>
      <c r="AN20" s="21">
        <v>1</v>
      </c>
      <c r="AO20" s="23">
        <v>2</v>
      </c>
      <c r="AP20" s="23">
        <v>3</v>
      </c>
      <c r="AQ20" s="23">
        <v>4</v>
      </c>
      <c r="AR20" s="23">
        <v>5</v>
      </c>
      <c r="AS20" s="23">
        <v>6</v>
      </c>
      <c r="AT20" s="23">
        <v>7</v>
      </c>
      <c r="AU20" s="23">
        <v>8</v>
      </c>
      <c r="AV20" s="23">
        <v>9</v>
      </c>
      <c r="AW20" s="23">
        <v>10</v>
      </c>
      <c r="AX20" s="24">
        <v>10</v>
      </c>
      <c r="AY20" s="46" t="s">
        <v>41</v>
      </c>
      <c r="AZ20" s="46" t="s">
        <v>62</v>
      </c>
      <c r="BA20" s="47" t="s">
        <v>63</v>
      </c>
    </row>
    <row r="21" spans="1:53" x14ac:dyDescent="0.25">
      <c r="A21" t="s">
        <v>27</v>
      </c>
      <c r="B21" s="16">
        <f t="shared" si="11"/>
        <v>0.27544444444444444</v>
      </c>
      <c r="C21" s="16">
        <f t="shared" si="11"/>
        <v>0.2918</v>
      </c>
      <c r="D21" s="16">
        <f t="shared" si="11"/>
        <v>8.8999999999999996E-2</v>
      </c>
      <c r="Y21" s="5" t="s">
        <v>19</v>
      </c>
      <c r="Z21" s="37">
        <f>AA21</f>
        <v>187.33077902203965</v>
      </c>
      <c r="AA21" s="38">
        <f t="shared" ref="AA21:AI21" si="15">AB21/(1+$Z18)</f>
        <v>187.33077902203965</v>
      </c>
      <c r="AB21" s="38">
        <f t="shared" si="15"/>
        <v>215.43039587534557</v>
      </c>
      <c r="AC21" s="38">
        <f t="shared" si="15"/>
        <v>247.74495525664739</v>
      </c>
      <c r="AD21" s="38">
        <f t="shared" si="15"/>
        <v>284.90669854514448</v>
      </c>
      <c r="AE21" s="38">
        <f t="shared" si="15"/>
        <v>327.64270332691615</v>
      </c>
      <c r="AF21" s="38">
        <f t="shared" si="15"/>
        <v>376.78910882595352</v>
      </c>
      <c r="AG21" s="38">
        <f t="shared" si="15"/>
        <v>433.30747514984654</v>
      </c>
      <c r="AH21" s="38">
        <f t="shared" si="15"/>
        <v>498.30359642232349</v>
      </c>
      <c r="AI21" s="38">
        <f t="shared" si="15"/>
        <v>573.04913588567194</v>
      </c>
      <c r="AJ21" s="39">
        <f>AJ20*$Z19</f>
        <v>659.00650626852268</v>
      </c>
      <c r="AL21" s="1" t="s">
        <v>42</v>
      </c>
      <c r="AM21" s="10"/>
      <c r="AN21" s="48">
        <f>$AM13</f>
        <v>5432</v>
      </c>
      <c r="AO21" s="49">
        <f t="shared" ref="AO21:AW21" si="16">AN21+AN21*$AM14</f>
        <v>6103.9384</v>
      </c>
      <c r="AP21" s="49">
        <f t="shared" si="16"/>
        <v>6858.9955800799999</v>
      </c>
      <c r="AQ21" s="49">
        <f t="shared" si="16"/>
        <v>7707.4533333358959</v>
      </c>
      <c r="AR21" s="49">
        <f t="shared" si="16"/>
        <v>8660.8653106695456</v>
      </c>
      <c r="AS21" s="49">
        <f t="shared" si="16"/>
        <v>9732.2143495993678</v>
      </c>
      <c r="AT21" s="49">
        <f t="shared" si="16"/>
        <v>10936.08926464481</v>
      </c>
      <c r="AU21" s="49">
        <f t="shared" si="16"/>
        <v>12288.883506681374</v>
      </c>
      <c r="AV21" s="49">
        <f t="shared" si="16"/>
        <v>13809.018396457859</v>
      </c>
      <c r="AW21" s="49">
        <f t="shared" si="16"/>
        <v>15517.193972099696</v>
      </c>
      <c r="AX21" s="50">
        <f>$AM16*AW21</f>
        <v>232757.90958149545</v>
      </c>
      <c r="AY21" s="51"/>
      <c r="AZ21" s="49"/>
      <c r="BA21" s="10"/>
    </row>
    <row r="22" spans="1:53" x14ac:dyDescent="0.25">
      <c r="A22" t="s">
        <v>28</v>
      </c>
      <c r="E22" s="57">
        <f>L8</f>
        <v>1.88</v>
      </c>
      <c r="AL22" s="5" t="s">
        <v>43</v>
      </c>
      <c r="AM22" s="7"/>
      <c r="AN22" s="52">
        <f>AN21/(1+$AM15)</f>
        <v>4723.4782608695659</v>
      </c>
      <c r="AO22" s="53">
        <f t="shared" ref="AO22:AW22" si="17">(1+$AM14)*AN22/(1+$AM15)</f>
        <v>4615.4543667296794</v>
      </c>
      <c r="AP22" s="53">
        <f t="shared" si="17"/>
        <v>4509.9009320818614</v>
      </c>
      <c r="AQ22" s="53">
        <f t="shared" si="17"/>
        <v>4406.7614585916417</v>
      </c>
      <c r="AR22" s="53">
        <f t="shared" si="17"/>
        <v>4305.9807400168929</v>
      </c>
      <c r="AS22" s="53">
        <f t="shared" si="17"/>
        <v>4207.5048326582455</v>
      </c>
      <c r="AT22" s="53">
        <f t="shared" si="17"/>
        <v>4111.2810264852787</v>
      </c>
      <c r="AU22" s="53">
        <f t="shared" si="17"/>
        <v>4017.2578169230501</v>
      </c>
      <c r="AV22" s="53">
        <f t="shared" si="17"/>
        <v>3925.3848772838537</v>
      </c>
      <c r="AW22" s="53">
        <f t="shared" si="17"/>
        <v>3835.613031829449</v>
      </c>
      <c r="AX22" s="54">
        <f>AX21/(1+AM15)^AX20</f>
        <v>57534.195477441783</v>
      </c>
      <c r="AY22" s="53">
        <f>SUM(AN22:AX22)</f>
        <v>100192.81282091131</v>
      </c>
      <c r="AZ22" s="53">
        <f>AY22+AM17</f>
        <v>105389.81282091131</v>
      </c>
      <c r="BA22" s="55">
        <f>AZ22/AM18</f>
        <v>90.231004127492554</v>
      </c>
    </row>
    <row r="23" spans="1:53" x14ac:dyDescent="0.25">
      <c r="AN23" s="75"/>
      <c r="AO23" s="75"/>
      <c r="AP23" s="75"/>
      <c r="AQ23" s="75"/>
      <c r="AR23" s="75"/>
      <c r="AS23" s="75"/>
      <c r="AT23" s="75"/>
      <c r="AU23" s="75"/>
      <c r="AV23" s="75"/>
      <c r="AW23" s="75"/>
      <c r="AX23" s="75"/>
      <c r="AY23" s="75"/>
      <c r="AZ23" s="75"/>
      <c r="BA23" s="76"/>
    </row>
    <row r="24" spans="1:53" ht="18.75" x14ac:dyDescent="0.3">
      <c r="A24" s="56" t="s">
        <v>30</v>
      </c>
      <c r="AL24" s="1" t="s">
        <v>35</v>
      </c>
      <c r="AM24" s="22">
        <f>AM1</f>
        <v>5432</v>
      </c>
      <c r="AN24" s="42"/>
      <c r="AO24" s="42"/>
      <c r="AP24" s="42"/>
      <c r="AQ24" s="42"/>
      <c r="AR24" s="42"/>
      <c r="AS24" s="42"/>
      <c r="AT24" s="42"/>
      <c r="AU24" s="42"/>
      <c r="AV24" s="42"/>
      <c r="AW24" s="42"/>
      <c r="AX24" s="42"/>
      <c r="AY24" s="42"/>
      <c r="AZ24" s="42"/>
      <c r="BA24" s="10"/>
    </row>
    <row r="25" spans="1:53" x14ac:dyDescent="0.25">
      <c r="A25" t="s">
        <v>107</v>
      </c>
      <c r="B25" t="s">
        <v>137</v>
      </c>
      <c r="C25" t="s">
        <v>138</v>
      </c>
      <c r="AL25" s="18" t="s">
        <v>36</v>
      </c>
      <c r="AM25" s="71">
        <f>Z17</f>
        <v>0.158</v>
      </c>
      <c r="BA25" s="17"/>
    </row>
    <row r="26" spans="1:53" x14ac:dyDescent="0.25">
      <c r="A26" s="16">
        <f>B18</f>
        <v>9.9499999999999991E-2</v>
      </c>
      <c r="B26" s="86">
        <v>0.11360000000000001</v>
      </c>
      <c r="C26" s="85">
        <v>0.158</v>
      </c>
      <c r="AL26" s="18" t="s">
        <v>37</v>
      </c>
      <c r="AM26" s="69">
        <f>AM3</f>
        <v>0.15</v>
      </c>
      <c r="BA26" s="17"/>
    </row>
    <row r="27" spans="1:53" x14ac:dyDescent="0.25">
      <c r="AL27" s="18" t="s">
        <v>38</v>
      </c>
      <c r="AM27" s="69">
        <f>AM4</f>
        <v>15</v>
      </c>
      <c r="BA27" s="17"/>
    </row>
    <row r="28" spans="1:53" ht="30" x14ac:dyDescent="0.25">
      <c r="A28" t="s">
        <v>18</v>
      </c>
      <c r="B28" s="41" t="s">
        <v>20</v>
      </c>
      <c r="C28" s="41" t="s">
        <v>31</v>
      </c>
      <c r="D28" s="41" t="s">
        <v>21</v>
      </c>
      <c r="E28" s="41" t="s">
        <v>22</v>
      </c>
      <c r="F28" t="s">
        <v>126</v>
      </c>
      <c r="AL28" s="18" t="s">
        <v>39</v>
      </c>
      <c r="AM28" s="69">
        <f>AM5</f>
        <v>5197</v>
      </c>
      <c r="BA28" s="17"/>
    </row>
    <row r="29" spans="1:53" x14ac:dyDescent="0.25">
      <c r="A29" s="16">
        <f>MIN(Table1591[])</f>
        <v>9.9499999999999991E-2</v>
      </c>
      <c r="B29" s="73">
        <f>Z6</f>
        <v>117.48683594248487</v>
      </c>
      <c r="C29" s="63">
        <f>1-$B$6/Table188[[#This Row],[Fair Value
Method 1]]</f>
        <v>9.5047550245982881E-2</v>
      </c>
      <c r="D29" s="66">
        <f>BA11</f>
        <v>78.25997763787494</v>
      </c>
      <c r="E29" s="63">
        <f>1-$B$6/Table188[[#This Row],[Fair Value 
Method 2]]</f>
        <v>-0.35854881650956472</v>
      </c>
      <c r="F29" s="63">
        <f>AVERAGE(Table188[[#This Row],[MOS
Method 1]],Table188[[#This Row],[MOS 
Method 2]])</f>
        <v>-0.13175063313179092</v>
      </c>
      <c r="AL29" s="5" t="s">
        <v>40</v>
      </c>
      <c r="AM29" s="70">
        <f>AM6</f>
        <v>1168</v>
      </c>
      <c r="BA29" s="17"/>
    </row>
    <row r="30" spans="1:53" x14ac:dyDescent="0.25">
      <c r="A30" s="61">
        <f>AVERAGE(Table1591[])</f>
        <v>0.12369999999999999</v>
      </c>
      <c r="B30" s="73">
        <f>Z14</f>
        <v>142.91754006669376</v>
      </c>
      <c r="C30" s="63">
        <f>1-$B$6/Table188[[#This Row],[Fair Value
Method 1]]</f>
        <v>0.25607451716294016</v>
      </c>
      <c r="D30" s="66">
        <f>BA22</f>
        <v>90.231004127492554</v>
      </c>
      <c r="E30" s="63">
        <f>1-$B$6/Table188[[#This Row],[Fair Value 
Method 2]]</f>
        <v>-0.1783089529822186</v>
      </c>
      <c r="F30" s="63">
        <f>AVERAGE(Table188[[#This Row],[MOS
Method 1]],Table188[[#This Row],[MOS 
Method 2]])</f>
        <v>3.8882782090360779E-2</v>
      </c>
      <c r="AL30" s="18"/>
      <c r="BA30" s="17"/>
    </row>
    <row r="31" spans="1:53" x14ac:dyDescent="0.25">
      <c r="A31" s="61">
        <f>MAX(Table1591[])</f>
        <v>0.158</v>
      </c>
      <c r="B31" s="73">
        <f>Z21</f>
        <v>187.33077902203965</v>
      </c>
      <c r="C31" s="63">
        <f>1-$B$6/Table188[[#This Row],[Fair Value
Method 1]]</f>
        <v>0.43244777737516726</v>
      </c>
      <c r="D31" s="66">
        <f>BA33</f>
        <v>110.74640387999477</v>
      </c>
      <c r="E31" s="63">
        <f>1-$B$6/Table188[[#This Row],[Fair Value 
Method 2]]</f>
        <v>3.996882720265349E-2</v>
      </c>
      <c r="F31" s="63">
        <f>AVERAGE(Table188[[#This Row],[MOS
Method 1]],Table188[[#This Row],[MOS 
Method 2]])</f>
        <v>0.23620830228891038</v>
      </c>
      <c r="AL31" s="21"/>
      <c r="AM31" s="24"/>
      <c r="AN31" s="21">
        <v>1</v>
      </c>
      <c r="AO31" s="23">
        <v>2</v>
      </c>
      <c r="AP31" s="23">
        <v>3</v>
      </c>
      <c r="AQ31" s="23">
        <v>4</v>
      </c>
      <c r="AR31" s="23">
        <v>5</v>
      </c>
      <c r="AS31" s="23">
        <v>6</v>
      </c>
      <c r="AT31" s="23">
        <v>7</v>
      </c>
      <c r="AU31" s="23">
        <v>8</v>
      </c>
      <c r="AV31" s="23">
        <v>9</v>
      </c>
      <c r="AW31" s="23">
        <v>10</v>
      </c>
      <c r="AX31" s="24">
        <v>10</v>
      </c>
      <c r="AY31" s="46" t="s">
        <v>41</v>
      </c>
      <c r="AZ31" s="46" t="s">
        <v>62</v>
      </c>
      <c r="BA31" s="47" t="s">
        <v>63</v>
      </c>
    </row>
    <row r="32" spans="1:53" x14ac:dyDescent="0.25">
      <c r="AL32" s="1" t="s">
        <v>42</v>
      </c>
      <c r="AM32" s="10"/>
      <c r="AN32" s="48">
        <f>$AM24</f>
        <v>5432</v>
      </c>
      <c r="AO32" s="49">
        <f t="shared" ref="AO32:AW32" si="18">AN32+AN32*$AM25</f>
        <v>6290.2560000000003</v>
      </c>
      <c r="AP32" s="49">
        <f t="shared" si="18"/>
        <v>7284.1164480000007</v>
      </c>
      <c r="AQ32" s="49">
        <f t="shared" si="18"/>
        <v>8435.006846784001</v>
      </c>
      <c r="AR32" s="49">
        <f t="shared" si="18"/>
        <v>9767.7379285758725</v>
      </c>
      <c r="AS32" s="49">
        <f t="shared" si="18"/>
        <v>11311.040521290861</v>
      </c>
      <c r="AT32" s="49">
        <f t="shared" si="18"/>
        <v>13098.184923654817</v>
      </c>
      <c r="AU32" s="49">
        <f t="shared" si="18"/>
        <v>15167.698141592278</v>
      </c>
      <c r="AV32" s="49">
        <f t="shared" si="18"/>
        <v>17564.194447963859</v>
      </c>
      <c r="AW32" s="49">
        <f t="shared" si="18"/>
        <v>20339.337170742147</v>
      </c>
      <c r="AX32" s="50">
        <f>$AM27*AW32</f>
        <v>305090.05756113218</v>
      </c>
      <c r="AY32" s="51"/>
      <c r="AZ32" s="49"/>
      <c r="BA32" s="10"/>
    </row>
    <row r="33" spans="1:53" ht="18.75" x14ac:dyDescent="0.3">
      <c r="A33" s="56" t="s">
        <v>64</v>
      </c>
      <c r="AL33" s="5" t="s">
        <v>43</v>
      </c>
      <c r="AM33" s="7"/>
      <c r="AN33" s="52">
        <f>AN32/(1+$AM26)</f>
        <v>4723.4782608695659</v>
      </c>
      <c r="AO33" s="53">
        <f t="shared" ref="AO33:AW33" si="19">(1+$AM25)*AN33/(1+$AM26)</f>
        <v>4756.3372400756143</v>
      </c>
      <c r="AP33" s="53">
        <f t="shared" si="19"/>
        <v>4789.424803484836</v>
      </c>
      <c r="AQ33" s="53">
        <f t="shared" si="19"/>
        <v>4822.7425412482089</v>
      </c>
      <c r="AR33" s="53">
        <f t="shared" si="19"/>
        <v>4856.292054578631</v>
      </c>
      <c r="AS33" s="53">
        <f t="shared" si="19"/>
        <v>4890.074955827874</v>
      </c>
      <c r="AT33" s="53">
        <f t="shared" si="19"/>
        <v>4924.0928685640683</v>
      </c>
      <c r="AU33" s="53">
        <f t="shared" si="19"/>
        <v>4958.3474276497318</v>
      </c>
      <c r="AV33" s="53">
        <f t="shared" si="19"/>
        <v>4992.8402793203386</v>
      </c>
      <c r="AW33" s="53">
        <f t="shared" si="19"/>
        <v>5027.5730812634365</v>
      </c>
      <c r="AX33" s="54">
        <f>AX32/(1+AM26)^AX31</f>
        <v>75413.596218951599</v>
      </c>
      <c r="AY33" s="53">
        <f>SUM(AN33:AX33)</f>
        <v>124154.79973183389</v>
      </c>
      <c r="AZ33" s="53">
        <f>AY33+AM28</f>
        <v>129351.79973183389</v>
      </c>
      <c r="BA33" s="55">
        <f>AZ33/AM29</f>
        <v>110.74640387999477</v>
      </c>
    </row>
    <row r="34" spans="1:53" x14ac:dyDescent="0.25">
      <c r="A34" s="77" t="s">
        <v>66</v>
      </c>
    </row>
    <row r="37" spans="1:53" x14ac:dyDescent="0.25">
      <c r="D37" s="78"/>
      <c r="E37" s="78"/>
      <c r="G37" s="79"/>
    </row>
    <row r="40" spans="1:53" x14ac:dyDescent="0.25">
      <c r="A40" t="s">
        <v>154</v>
      </c>
      <c r="D40" s="41"/>
    </row>
    <row r="41" spans="1:53" x14ac:dyDescent="0.25">
      <c r="A41" t="s">
        <v>155</v>
      </c>
    </row>
    <row r="42" spans="1:53" x14ac:dyDescent="0.25">
      <c r="A42" t="s">
        <v>163</v>
      </c>
    </row>
    <row r="43" spans="1:53" x14ac:dyDescent="0.25">
      <c r="A43" t="s">
        <v>157</v>
      </c>
    </row>
    <row r="44" spans="1:53" x14ac:dyDescent="0.25">
      <c r="A44" t="s">
        <v>158</v>
      </c>
    </row>
    <row r="45" spans="1:53" x14ac:dyDescent="0.25">
      <c r="A45" t="s">
        <v>159</v>
      </c>
    </row>
  </sheetData>
  <mergeCells count="11">
    <mergeCell ref="S1:S2"/>
    <mergeCell ref="T1:T2"/>
    <mergeCell ref="U1:U2"/>
    <mergeCell ref="V1:V2"/>
    <mergeCell ref="W1:W2"/>
    <mergeCell ref="M1:M2"/>
    <mergeCell ref="N1:N2"/>
    <mergeCell ref="O1:O2"/>
    <mergeCell ref="P1:P2"/>
    <mergeCell ref="Q1:Q2"/>
    <mergeCell ref="R1:R2"/>
  </mergeCells>
  <conditionalFormatting sqref="L8:L9">
    <cfRule type="cellIs" dxfId="36" priority="23" operator="greaterThan">
      <formula>3</formula>
    </cfRule>
    <cfRule type="cellIs" dxfId="35" priority="24" operator="lessThan">
      <formula>3</formula>
    </cfRule>
  </conditionalFormatting>
  <conditionalFormatting sqref="I3:K7">
    <cfRule type="cellIs" dxfId="34" priority="20" operator="between">
      <formula>0.05</formula>
      <formula>0.1</formula>
    </cfRule>
    <cfRule type="cellIs" dxfId="33" priority="21" operator="lessThan">
      <formula>0.05</formula>
    </cfRule>
    <cfRule type="cellIs" dxfId="32"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{48490EFA-4669-43C2-9CD1-B5139CBC9B4C}</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{DBF989BC-171B-48D4-8EC0-2898EA810D0F}</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{F675A78F-FE7C-45FD-837C-7B567C009AC2}</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{C8FCE006-9F18-4EB4-B8BE-2E8248E0B00D}</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{34CC0CBF-FC75-44E5-9782-BC61E23880E8}</x14:id>
        </ext>
      </extLst>
    </cfRule>
  </conditionalFormatting>
  <conditionalFormatting sqref="E22">
    <cfRule type="cellIs" dxfId="31" priority="13" operator="greaterThan">
      <formula>3</formula>
    </cfRule>
    <cfRule type="cellIs" dxfId="30" priority="14" operator="lessThan">
      <formula>3</formula>
    </cfRule>
  </conditionalFormatting>
  <conditionalFormatting sqref="B17:D21">
    <cfRule type="cellIs" dxfId="29" priority="10" operator="between">
      <formula>0.05</formula>
      <formula>0.1</formula>
    </cfRule>
    <cfRule type="cellIs" dxfId="28" priority="11" operator="lessThan">
      <formula>0.05</formula>
    </cfRule>
    <cfRule type="cellIs" dxfId="27" priority="12" operator="greaterThan">
      <formula>0.1</formula>
    </cfRule>
  </conditionalFormatting>
  <conditionalFormatting sqref="C29:C31">
    <cfRule type="cellIs" dxfId="26" priority="7" operator="lessThan">
      <formula>0</formula>
    </cfRule>
    <cfRule type="cellIs" dxfId="25" priority="8" operator="between">
      <formula>0</formula>
      <formula>0.3</formula>
    </cfRule>
    <cfRule type="cellIs" dxfId="24" priority="9" operator="greaterThan">
      <formula>0.3</formula>
    </cfRule>
  </conditionalFormatting>
  <conditionalFormatting sqref="E29:E31">
    <cfRule type="cellIs" dxfId="23" priority="4" operator="lessThan">
      <formula>0</formula>
    </cfRule>
    <cfRule type="cellIs" dxfId="22" priority="5" operator="between">
      <formula>0</formula>
      <formula>0.3</formula>
    </cfRule>
    <cfRule type="cellIs" dxfId="21" priority="6" operator="greaterThan">
      <formula>0.3</formula>
    </cfRule>
  </conditionalFormatting>
  <conditionalFormatting sqref="F29:F31">
    <cfRule type="cellIs" dxfId="20" priority="1" operator="lessThan">
      <formula>0</formula>
    </cfRule>
    <cfRule type="cellIs" dxfId="19" priority="2" operator="between">
      <formula>0</formula>
      <formula>0.3</formula>
    </cfRule>
    <cfRule type="cellIs" dxfId="18" priority="3" operator="greaterThan">
      <formula>0.3</formula>
    </cfRule>
  </conditionalFormatting>
  <hyperlinks>
    <hyperlink ref="B4" r:id="rId1" xr:uid="{EF9C11C4-B547-4708-947B-52875E4FF3E9}"/>
    <hyperlink ref="A34" r:id="rId2" xr:uid="{ADA15983-FC81-475E-A34A-DDDB6E2F3123}"/>
  </hyperlinks>
  <pageMargins left="0.7" right="0.7" top="0.75" bottom="0.75" header="0.3" footer="0.3"/>
  <pageSetup paperSize="9" orientation="portrait" r:id="rId3"/>
  <drawing r:id="rId4"/>
  <legacyDrawing r:id="rId5"/>
  <tableParts count="4">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dataBar" id="{48490EFA-4669-43C2-9CD1-B5139CBC9B4C}">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DBF989BC-171B-48D4-8EC0-2898EA810D0F}">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F675A78F-FE7C-45FD-837C-7B567C009AC2}">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C8FCE006-9F18-4EB4-B8BE-2E8248E0B00D}">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34CC0CBF-FC75-44E5-9782-BC61E23880E8}">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4AF66-E37C-4912-B6C1-5447EB0A449F}">
  <dimension ref="A1:BA39"/>
  <sheetViews>
    <sheetView zoomScaleNormal="100" workbookViewId="0">
      <selection activeCell="G15" sqref="G15"/>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15" width="8.5703125" customWidth="1"/>
    <col min="16" max="16" width="9.140625" bestFit="1" customWidth="1"/>
    <col min="17"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39" max="39" width="10.5703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301192</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cm="1">
        <f t="array" ref="Z2">Table1531[Growth rate_low]</f>
        <v>0.127</v>
      </c>
      <c r="AA2" s="8">
        <f>Z2</f>
        <v>0.127</v>
      </c>
      <c r="AB2" s="9">
        <f t="shared" ref="AB2:AJ3" si="1">AA2</f>
        <v>0.127</v>
      </c>
      <c r="AC2" s="9">
        <f t="shared" si="1"/>
        <v>0.127</v>
      </c>
      <c r="AD2" s="9">
        <f t="shared" si="1"/>
        <v>0.127</v>
      </c>
      <c r="AE2" s="9">
        <f t="shared" si="1"/>
        <v>0.127</v>
      </c>
      <c r="AF2" s="9">
        <f t="shared" si="1"/>
        <v>0.127</v>
      </c>
      <c r="AG2" s="9">
        <f t="shared" si="1"/>
        <v>0.127</v>
      </c>
      <c r="AH2" s="9">
        <f t="shared" si="1"/>
        <v>0.127</v>
      </c>
      <c r="AI2" s="9">
        <f t="shared" si="1"/>
        <v>0.127</v>
      </c>
      <c r="AJ2" s="25">
        <f t="shared" si="1"/>
        <v>0.127</v>
      </c>
      <c r="AL2" s="18" t="s">
        <v>36</v>
      </c>
      <c r="AM2" s="67">
        <f>Z2</f>
        <v>0.127</v>
      </c>
      <c r="BA2" s="17"/>
    </row>
    <row r="3" spans="1:53" x14ac:dyDescent="0.25">
      <c r="A3" t="s">
        <v>49</v>
      </c>
      <c r="B3" s="58" t="s">
        <v>132</v>
      </c>
      <c r="H3" s="2" t="s">
        <v>6</v>
      </c>
      <c r="I3" s="8">
        <f>AVERAGE(M3:W3)</f>
        <v>0.22000909090909093</v>
      </c>
      <c r="J3" s="9">
        <f>AVERAGE(S3:W3)</f>
        <v>0.21446000000000001</v>
      </c>
      <c r="K3" s="9">
        <f>W3</f>
        <v>0.25190000000000001</v>
      </c>
      <c r="L3" s="10" t="s">
        <v>7</v>
      </c>
      <c r="M3" s="11">
        <v>0.28689999999999999</v>
      </c>
      <c r="N3" s="12">
        <v>0.20660000000000001</v>
      </c>
      <c r="O3" s="12">
        <v>0.21780000000000002</v>
      </c>
      <c r="P3" s="12">
        <v>0.1943</v>
      </c>
      <c r="Q3" s="12">
        <v>0.21829999999999999</v>
      </c>
      <c r="R3" s="12">
        <v>0.22390000000000002</v>
      </c>
      <c r="S3" s="12">
        <v>0.21969999999999998</v>
      </c>
      <c r="T3" s="12">
        <v>0.21100000000000002</v>
      </c>
      <c r="U3" s="12">
        <v>0.20190000000000002</v>
      </c>
      <c r="V3" s="12">
        <v>0.18780000000000002</v>
      </c>
      <c r="W3" s="13">
        <v>0.25190000000000001</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117</v>
      </c>
      <c r="H4" s="14" t="s">
        <v>8</v>
      </c>
      <c r="I4" s="15">
        <f>AVERAGE(M4:W4)</f>
        <v>0.12720000000000001</v>
      </c>
      <c r="J4" s="16">
        <f>AVERAGE(S4:W4)</f>
        <v>0.13720000000000002</v>
      </c>
      <c r="K4" s="16">
        <f>W4</f>
        <v>0.20799999999999999</v>
      </c>
      <c r="L4" s="17" t="s">
        <v>7</v>
      </c>
      <c r="M4" s="18" t="s">
        <v>7</v>
      </c>
      <c r="N4" s="12">
        <v>5.0000000000000001E-3</v>
      </c>
      <c r="O4" s="12">
        <v>0.255</v>
      </c>
      <c r="P4" s="12">
        <v>7.4999999999999997E-2</v>
      </c>
      <c r="Q4" s="12">
        <v>0.124</v>
      </c>
      <c r="R4" s="12">
        <v>0.127</v>
      </c>
      <c r="S4" s="12">
        <v>0.16800000000000001</v>
      </c>
      <c r="T4" s="12">
        <v>0.20599999999999999</v>
      </c>
      <c r="U4" s="12">
        <v>7.4999999999999997E-2</v>
      </c>
      <c r="V4" s="12">
        <v>2.9000000000000001E-2</v>
      </c>
      <c r="W4" s="13">
        <v>0.20799999999999999</v>
      </c>
      <c r="Y4" s="5" t="s">
        <v>15</v>
      </c>
      <c r="Z4" s="29">
        <v>20</v>
      </c>
      <c r="AA4" s="30">
        <f t="shared" si="2"/>
        <v>20</v>
      </c>
      <c r="AB4" s="31">
        <f t="shared" si="2"/>
        <v>20</v>
      </c>
      <c r="AC4" s="31">
        <f t="shared" si="2"/>
        <v>20</v>
      </c>
      <c r="AD4" s="31">
        <f t="shared" si="2"/>
        <v>20</v>
      </c>
      <c r="AE4" s="31">
        <f t="shared" si="2"/>
        <v>20</v>
      </c>
      <c r="AF4" s="31">
        <f t="shared" si="2"/>
        <v>20</v>
      </c>
      <c r="AG4" s="31">
        <f t="shared" si="2"/>
        <v>20</v>
      </c>
      <c r="AH4" s="31">
        <f t="shared" si="2"/>
        <v>20</v>
      </c>
      <c r="AI4" s="31">
        <f t="shared" si="2"/>
        <v>20</v>
      </c>
      <c r="AJ4" s="32">
        <f t="shared" si="2"/>
        <v>20</v>
      </c>
      <c r="AL4" s="18" t="s">
        <v>38</v>
      </c>
      <c r="AM4" s="64">
        <v>15</v>
      </c>
      <c r="BA4" s="17"/>
    </row>
    <row r="5" spans="1:53" x14ac:dyDescent="0.25">
      <c r="A5" t="s">
        <v>34</v>
      </c>
      <c r="B5" s="59" t="s">
        <v>133</v>
      </c>
      <c r="H5" s="14" t="s">
        <v>9</v>
      </c>
      <c r="I5" s="15">
        <f>AVERAGE(M5:W5)</f>
        <v>0.13520000000000001</v>
      </c>
      <c r="J5" s="16">
        <f>AVERAGE(S5:W5)</f>
        <v>0.1212</v>
      </c>
      <c r="K5" s="16">
        <f>W5</f>
        <v>0.443</v>
      </c>
      <c r="L5" s="17" t="s">
        <v>7</v>
      </c>
      <c r="M5" s="18" t="s">
        <v>7</v>
      </c>
      <c r="N5" s="12">
        <v>-0.16900000000000001</v>
      </c>
      <c r="O5" s="12">
        <v>0.187</v>
      </c>
      <c r="P5" s="12">
        <v>0.155</v>
      </c>
      <c r="Q5" s="12">
        <v>0.38200000000000001</v>
      </c>
      <c r="R5" s="12">
        <v>0.191</v>
      </c>
      <c r="S5" s="12">
        <v>9.5000000000000001E-2</v>
      </c>
      <c r="T5" s="12">
        <v>0.04</v>
      </c>
      <c r="U5" s="12">
        <v>5.2999999999999999E-2</v>
      </c>
      <c r="V5" s="12">
        <v>-2.5000000000000001E-2</v>
      </c>
      <c r="W5" s="13">
        <v>0.443</v>
      </c>
      <c r="Y5" s="1" t="s">
        <v>16</v>
      </c>
      <c r="Z5" s="33">
        <v>98.5</v>
      </c>
      <c r="AA5" s="34">
        <f>Z5</f>
        <v>98.5</v>
      </c>
      <c r="AB5" s="35">
        <f t="shared" ref="AB5:AJ5" si="3">AA5*(1+$Z2)</f>
        <v>111.0095</v>
      </c>
      <c r="AC5" s="35">
        <f t="shared" si="3"/>
        <v>125.10770650000001</v>
      </c>
      <c r="AD5" s="35">
        <f t="shared" si="3"/>
        <v>140.99638522550001</v>
      </c>
      <c r="AE5" s="35">
        <f t="shared" si="3"/>
        <v>158.90292614913849</v>
      </c>
      <c r="AF5" s="35">
        <f t="shared" si="3"/>
        <v>179.08359777007908</v>
      </c>
      <c r="AG5" s="35">
        <f t="shared" si="3"/>
        <v>201.82721468687913</v>
      </c>
      <c r="AH5" s="35">
        <f t="shared" si="3"/>
        <v>227.45927095211277</v>
      </c>
      <c r="AI5" s="35">
        <f t="shared" si="3"/>
        <v>256.34659836303109</v>
      </c>
      <c r="AJ5" s="36">
        <f t="shared" si="3"/>
        <v>288.90261635513605</v>
      </c>
      <c r="AL5" s="18" t="s">
        <v>39</v>
      </c>
      <c r="AM5" s="40">
        <v>660170.65</v>
      </c>
      <c r="BA5" s="17"/>
    </row>
    <row r="6" spans="1:53" x14ac:dyDescent="0.25">
      <c r="A6" t="s">
        <v>44</v>
      </c>
      <c r="B6" s="62">
        <v>121.22</v>
      </c>
      <c r="H6" s="14" t="s">
        <v>10</v>
      </c>
      <c r="I6" s="15">
        <f>AVERAGE(M6:W6)</f>
        <v>3.4294000000000002</v>
      </c>
      <c r="J6" s="16">
        <f>AVERAGE(S6:W6)</f>
        <v>9.98E-2</v>
      </c>
      <c r="K6" s="16">
        <f>W6</f>
        <v>0.252</v>
      </c>
      <c r="L6" s="17" t="s">
        <v>7</v>
      </c>
      <c r="M6" s="18" t="s">
        <v>7</v>
      </c>
      <c r="N6" s="12">
        <v>1.7999999999999999E-2</v>
      </c>
      <c r="O6" s="12">
        <v>0.24</v>
      </c>
      <c r="P6" s="12">
        <v>33.152999999999999</v>
      </c>
      <c r="Q6" s="12">
        <v>0.27800000000000002</v>
      </c>
      <c r="R6" s="12">
        <v>0.106</v>
      </c>
      <c r="S6" s="12">
        <v>0.124</v>
      </c>
      <c r="T6" s="12">
        <v>3.1E-2</v>
      </c>
      <c r="U6" s="12">
        <v>5.5E-2</v>
      </c>
      <c r="V6" s="12">
        <v>3.6999999999999998E-2</v>
      </c>
      <c r="W6" s="13">
        <v>0.252</v>
      </c>
      <c r="Y6" s="5" t="s">
        <v>19</v>
      </c>
      <c r="Z6" s="37">
        <f>AA6</f>
        <v>1642.4830913963965</v>
      </c>
      <c r="AA6" s="38">
        <f t="shared" ref="AA6:AI6" si="4">AB6/(1+$Z3)</f>
        <v>1642.4830913963965</v>
      </c>
      <c r="AB6" s="38">
        <f t="shared" si="4"/>
        <v>1888.855555105856</v>
      </c>
      <c r="AC6" s="38">
        <f t="shared" si="4"/>
        <v>2172.1838883717342</v>
      </c>
      <c r="AD6" s="38">
        <f t="shared" si="4"/>
        <v>2498.0114716274938</v>
      </c>
      <c r="AE6" s="38">
        <f t="shared" si="4"/>
        <v>2872.7131923716179</v>
      </c>
      <c r="AF6" s="38">
        <f t="shared" si="4"/>
        <v>3303.6201712273605</v>
      </c>
      <c r="AG6" s="38">
        <f t="shared" si="4"/>
        <v>3799.1631969114642</v>
      </c>
      <c r="AH6" s="38">
        <f t="shared" si="4"/>
        <v>4369.0376764481834</v>
      </c>
      <c r="AI6" s="38">
        <f t="shared" si="4"/>
        <v>5024.3933279154107</v>
      </c>
      <c r="AJ6" s="39">
        <f>AJ5*$Z4</f>
        <v>5778.0523271027214</v>
      </c>
      <c r="AL6" s="5" t="s">
        <v>40</v>
      </c>
      <c r="AM6" s="45">
        <v>5186</v>
      </c>
      <c r="BA6" s="17"/>
    </row>
    <row r="7" spans="1:53" x14ac:dyDescent="0.25">
      <c r="A7" t="s">
        <v>45</v>
      </c>
      <c r="B7" s="58" t="s">
        <v>55</v>
      </c>
      <c r="H7" s="14" t="s">
        <v>11</v>
      </c>
      <c r="I7" s="15">
        <f>AVERAGE(M7:W7)</f>
        <v>0.33730000000000004</v>
      </c>
      <c r="J7" s="16">
        <f>AVERAGE(S7:W7)</f>
        <v>0.12720000000000004</v>
      </c>
      <c r="K7" s="16">
        <f>W7</f>
        <v>1.0720000000000001</v>
      </c>
      <c r="L7" s="17" t="s">
        <v>7</v>
      </c>
      <c r="M7" s="18" t="s">
        <v>7</v>
      </c>
      <c r="N7" s="12">
        <v>-0.20899999999999999</v>
      </c>
      <c r="O7" s="12">
        <v>0.27700000000000002</v>
      </c>
      <c r="P7" s="12">
        <v>0.32900000000000001</v>
      </c>
      <c r="Q7" s="12">
        <v>1.264</v>
      </c>
      <c r="R7" s="12">
        <v>1.0760000000000001</v>
      </c>
      <c r="S7" s="12">
        <v>-0.22900000000000001</v>
      </c>
      <c r="T7" s="12">
        <v>0.20699999999999999</v>
      </c>
      <c r="U7" s="12">
        <v>7.0000000000000001E-3</v>
      </c>
      <c r="V7" s="12">
        <v>-0.42099999999999999</v>
      </c>
      <c r="W7" s="13">
        <v>1.0720000000000001</v>
      </c>
      <c r="AL7" s="18"/>
      <c r="BA7" s="17"/>
    </row>
    <row r="8" spans="1:53" x14ac:dyDescent="0.25">
      <c r="A8" t="s">
        <v>46</v>
      </c>
      <c r="B8" s="58" t="s">
        <v>70</v>
      </c>
      <c r="H8" s="19" t="s">
        <v>12</v>
      </c>
      <c r="I8" s="5" t="s">
        <v>7</v>
      </c>
      <c r="J8" s="6" t="s">
        <v>7</v>
      </c>
      <c r="K8" s="6" t="s">
        <v>7</v>
      </c>
      <c r="L8" s="20">
        <f>256072.7/301192</f>
        <v>0.85019754840766026</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47</v>
      </c>
      <c r="B9" s="58" t="s">
        <v>134</v>
      </c>
      <c r="Y9" s="1" t="s">
        <v>13</v>
      </c>
      <c r="Z9" s="65" cm="1">
        <f t="array" ref="Z9">Table1531[Growth rate_med]</f>
        <v>0.19439999999999999</v>
      </c>
      <c r="AA9" s="8">
        <f>Z9</f>
        <v>0.19439999999999999</v>
      </c>
      <c r="AB9" s="9">
        <f t="shared" ref="AB9:AJ10" si="5">AA9</f>
        <v>0.19439999999999999</v>
      </c>
      <c r="AC9" s="9">
        <f t="shared" si="5"/>
        <v>0.19439999999999999</v>
      </c>
      <c r="AD9" s="9">
        <f t="shared" si="5"/>
        <v>0.19439999999999999</v>
      </c>
      <c r="AE9" s="9">
        <f t="shared" si="5"/>
        <v>0.19439999999999999</v>
      </c>
      <c r="AF9" s="9">
        <f t="shared" si="5"/>
        <v>0.19439999999999999</v>
      </c>
      <c r="AG9" s="9">
        <f t="shared" si="5"/>
        <v>0.19439999999999999</v>
      </c>
      <c r="AH9" s="9">
        <f t="shared" si="5"/>
        <v>0.19439999999999999</v>
      </c>
      <c r="AI9" s="9">
        <f t="shared" si="5"/>
        <v>0.19439999999999999</v>
      </c>
      <c r="AJ9" s="25">
        <f t="shared" si="5"/>
        <v>0.19439999999999999</v>
      </c>
      <c r="AL9" s="1" t="s">
        <v>42</v>
      </c>
      <c r="AM9" s="10"/>
      <c r="AN9" s="48">
        <f>$AM1</f>
        <v>301192</v>
      </c>
      <c r="AO9" s="49">
        <f t="shared" ref="AO9:AW9" si="6">AN9+AN9*$AM2</f>
        <v>339443.38400000002</v>
      </c>
      <c r="AP9" s="49">
        <f t="shared" si="6"/>
        <v>382552.693768</v>
      </c>
      <c r="AQ9" s="49">
        <f t="shared" si="6"/>
        <v>431136.88587653602</v>
      </c>
      <c r="AR9" s="49">
        <f t="shared" si="6"/>
        <v>485891.27038285608</v>
      </c>
      <c r="AS9" s="49">
        <f t="shared" si="6"/>
        <v>547599.46172147884</v>
      </c>
      <c r="AT9" s="49">
        <f t="shared" si="6"/>
        <v>617144.59336010669</v>
      </c>
      <c r="AU9" s="49">
        <f t="shared" si="6"/>
        <v>695521.95671684027</v>
      </c>
      <c r="AV9" s="49">
        <f t="shared" si="6"/>
        <v>783853.24521987897</v>
      </c>
      <c r="AW9" s="49">
        <f t="shared" si="6"/>
        <v>883402.60736280354</v>
      </c>
      <c r="AX9" s="50">
        <f>$AM4*AW9</f>
        <v>13251039.110442054</v>
      </c>
      <c r="AY9" s="51"/>
      <c r="AZ9" s="49"/>
      <c r="BA9" s="10"/>
    </row>
    <row r="10" spans="1:53" x14ac:dyDescent="0.25">
      <c r="A10" t="s">
        <v>48</v>
      </c>
      <c r="B10" s="58" t="s">
        <v>135</v>
      </c>
      <c r="Y10" s="18" t="s">
        <v>14</v>
      </c>
      <c r="Z10">
        <f>Z3</f>
        <v>0.15</v>
      </c>
      <c r="AA10" s="26">
        <f t="shared" ref="AA10:AJ11" si="7">Z10</f>
        <v>0.15</v>
      </c>
      <c r="AB10" s="27">
        <f t="shared" si="5"/>
        <v>0.15</v>
      </c>
      <c r="AC10" s="27">
        <f t="shared" si="5"/>
        <v>0.15</v>
      </c>
      <c r="AD10" s="27">
        <f t="shared" si="5"/>
        <v>0.15</v>
      </c>
      <c r="AE10" s="27">
        <f t="shared" si="5"/>
        <v>0.15</v>
      </c>
      <c r="AF10" s="27">
        <f t="shared" si="5"/>
        <v>0.15</v>
      </c>
      <c r="AG10" s="27">
        <f t="shared" si="5"/>
        <v>0.15</v>
      </c>
      <c r="AH10" s="27">
        <f t="shared" si="5"/>
        <v>0.15</v>
      </c>
      <c r="AI10" s="27">
        <f t="shared" si="5"/>
        <v>0.15</v>
      </c>
      <c r="AJ10" s="28">
        <f t="shared" si="5"/>
        <v>0.15</v>
      </c>
      <c r="AL10" s="5" t="s">
        <v>43</v>
      </c>
      <c r="AM10" s="7"/>
      <c r="AN10" s="52">
        <f>AN9/(1+$AM3)</f>
        <v>261906.08695652176</v>
      </c>
      <c r="AO10" s="53">
        <f t="shared" ref="AO10:AW10" si="8">(1+$AM2)*AN10/(1+$AM3)</f>
        <v>256667.96521739135</v>
      </c>
      <c r="AP10" s="53">
        <f t="shared" si="8"/>
        <v>251534.60591304355</v>
      </c>
      <c r="AQ10" s="53">
        <f t="shared" si="8"/>
        <v>246503.91379478268</v>
      </c>
      <c r="AR10" s="53">
        <f t="shared" si="8"/>
        <v>241573.83551888706</v>
      </c>
      <c r="AS10" s="53">
        <f t="shared" si="8"/>
        <v>236742.35880850934</v>
      </c>
      <c r="AT10" s="53">
        <f t="shared" si="8"/>
        <v>232007.51163233918</v>
      </c>
      <c r="AU10" s="53">
        <f t="shared" si="8"/>
        <v>227367.36139969243</v>
      </c>
      <c r="AV10" s="53">
        <f t="shared" si="8"/>
        <v>222820.0141716986</v>
      </c>
      <c r="AW10" s="53">
        <f t="shared" si="8"/>
        <v>218363.61388826463</v>
      </c>
      <c r="AX10" s="54">
        <f>AX9/(1+AM3)^AX8</f>
        <v>3275454.20832397</v>
      </c>
      <c r="AY10" s="53">
        <f>SUM(AN10:AX10)</f>
        <v>5670941.4756251005</v>
      </c>
      <c r="AZ10" s="53">
        <f>AY10+AM5</f>
        <v>6331112.1256251009</v>
      </c>
      <c r="BA10" s="55">
        <f>AZ10/AM6</f>
        <v>1220.8083543434441</v>
      </c>
    </row>
    <row r="11" spans="1:53" x14ac:dyDescent="0.25">
      <c r="A11" t="s">
        <v>65</v>
      </c>
      <c r="B11" s="59"/>
      <c r="Y11" s="5" t="s">
        <v>15</v>
      </c>
      <c r="Z11" s="7">
        <f>Z4</f>
        <v>20</v>
      </c>
      <c r="AA11" s="30">
        <f t="shared" si="7"/>
        <v>20</v>
      </c>
      <c r="AB11" s="31">
        <f t="shared" si="7"/>
        <v>20</v>
      </c>
      <c r="AC11" s="31">
        <f t="shared" si="7"/>
        <v>20</v>
      </c>
      <c r="AD11" s="31">
        <f t="shared" si="7"/>
        <v>20</v>
      </c>
      <c r="AE11" s="31">
        <f t="shared" si="7"/>
        <v>20</v>
      </c>
      <c r="AF11" s="31">
        <f t="shared" si="7"/>
        <v>20</v>
      </c>
      <c r="AG11" s="31">
        <f t="shared" si="7"/>
        <v>20</v>
      </c>
      <c r="AH11" s="31">
        <f t="shared" si="7"/>
        <v>20</v>
      </c>
      <c r="AI11" s="31">
        <f t="shared" si="7"/>
        <v>20</v>
      </c>
      <c r="AJ11" s="32">
        <f t="shared" si="7"/>
        <v>20</v>
      </c>
    </row>
    <row r="12" spans="1:53" x14ac:dyDescent="0.25">
      <c r="Y12" s="1" t="s">
        <v>16</v>
      </c>
      <c r="Z12">
        <f>Z5</f>
        <v>98.5</v>
      </c>
      <c r="AA12" s="34">
        <f>Z12</f>
        <v>98.5</v>
      </c>
      <c r="AB12" s="35">
        <f t="shared" ref="AB12:AJ12" si="9">AA12*(1+$Z9)</f>
        <v>117.6484</v>
      </c>
      <c r="AC12" s="35">
        <f t="shared" si="9"/>
        <v>140.51924895999997</v>
      </c>
      <c r="AD12" s="35">
        <f t="shared" si="9"/>
        <v>167.83619095782396</v>
      </c>
      <c r="AE12" s="35">
        <f t="shared" si="9"/>
        <v>200.46354648002492</v>
      </c>
      <c r="AF12" s="35">
        <f t="shared" si="9"/>
        <v>239.43365991574174</v>
      </c>
      <c r="AG12" s="35">
        <f t="shared" si="9"/>
        <v>285.97956340336191</v>
      </c>
      <c r="AH12" s="35">
        <f t="shared" si="9"/>
        <v>341.57399052897546</v>
      </c>
      <c r="AI12" s="35">
        <f t="shared" si="9"/>
        <v>407.97597428780824</v>
      </c>
      <c r="AJ12" s="36">
        <f t="shared" si="9"/>
        <v>487.28650368935814</v>
      </c>
      <c r="AL12" s="1" t="s">
        <v>35</v>
      </c>
      <c r="AM12" s="72">
        <f>AM1</f>
        <v>301192</v>
      </c>
      <c r="AN12" s="42"/>
      <c r="AO12" s="42"/>
      <c r="AP12" s="42"/>
      <c r="AQ12" s="42"/>
      <c r="AR12" s="42"/>
      <c r="AS12" s="42"/>
      <c r="AT12" s="42"/>
      <c r="AU12" s="42"/>
      <c r="AV12" s="42"/>
      <c r="AW12" s="42"/>
      <c r="AX12" s="42"/>
      <c r="AY12" s="42"/>
      <c r="AZ12" s="42"/>
      <c r="BA12" s="10"/>
    </row>
    <row r="13" spans="1:53" ht="18.75" x14ac:dyDescent="0.3">
      <c r="A13" s="56" t="s">
        <v>29</v>
      </c>
      <c r="Y13" s="5" t="s">
        <v>19</v>
      </c>
      <c r="Z13" s="37">
        <f>AA13</f>
        <v>2770.3447378669262</v>
      </c>
      <c r="AA13" s="38">
        <f t="shared" ref="AA13:AI13" si="10">AB13/(1+$Z10)</f>
        <v>2770.3447378669262</v>
      </c>
      <c r="AB13" s="38">
        <f t="shared" si="10"/>
        <v>3185.8964485469646</v>
      </c>
      <c r="AC13" s="38">
        <f t="shared" si="10"/>
        <v>3663.7809158290088</v>
      </c>
      <c r="AD13" s="38">
        <f t="shared" si="10"/>
        <v>4213.34805320336</v>
      </c>
      <c r="AE13" s="38">
        <f t="shared" si="10"/>
        <v>4845.3502611838639</v>
      </c>
      <c r="AF13" s="38">
        <f t="shared" si="10"/>
        <v>5572.152800361443</v>
      </c>
      <c r="AG13" s="38">
        <f t="shared" si="10"/>
        <v>6407.9757204156585</v>
      </c>
      <c r="AH13" s="38">
        <f t="shared" si="10"/>
        <v>7369.1720784780064</v>
      </c>
      <c r="AI13" s="38">
        <f t="shared" si="10"/>
        <v>8474.5478902497071</v>
      </c>
      <c r="AJ13" s="39">
        <f>AJ12*$Z11</f>
        <v>9745.7300737871628</v>
      </c>
      <c r="AL13" s="18" t="s">
        <v>36</v>
      </c>
      <c r="AM13" s="68">
        <f>Z9</f>
        <v>0.19439999999999999</v>
      </c>
      <c r="BA13" s="17"/>
    </row>
    <row r="14" spans="1:53" x14ac:dyDescent="0.25">
      <c r="A14" s="43" t="s">
        <v>32</v>
      </c>
      <c r="B14" s="18" t="s">
        <v>0</v>
      </c>
      <c r="C14" t="s">
        <v>1</v>
      </c>
      <c r="D14" t="s">
        <v>2</v>
      </c>
      <c r="E14" t="s">
        <v>3</v>
      </c>
      <c r="AL14" s="18" t="s">
        <v>37</v>
      </c>
      <c r="AM14" s="69">
        <f>AM3</f>
        <v>0.15</v>
      </c>
      <c r="BA14" s="17"/>
    </row>
    <row r="15" spans="1:53" x14ac:dyDescent="0.25">
      <c r="A15" t="s">
        <v>52</v>
      </c>
      <c r="B15" t="s">
        <v>4</v>
      </c>
      <c r="C15" t="s">
        <v>4</v>
      </c>
      <c r="D15" t="s">
        <v>4</v>
      </c>
      <c r="E15" t="s">
        <v>5</v>
      </c>
      <c r="Y15" s="21" t="s">
        <v>61</v>
      </c>
      <c r="Z15" s="22"/>
      <c r="AA15" s="21">
        <v>2021</v>
      </c>
      <c r="AB15" s="23">
        <v>2022</v>
      </c>
      <c r="AC15" s="23">
        <v>2023</v>
      </c>
      <c r="AD15" s="23">
        <v>2024</v>
      </c>
      <c r="AE15" s="23">
        <v>2025</v>
      </c>
      <c r="AF15" s="23">
        <v>2026</v>
      </c>
      <c r="AG15" s="23">
        <v>2027</v>
      </c>
      <c r="AH15" s="23">
        <v>2028</v>
      </c>
      <c r="AI15" s="23">
        <v>2029</v>
      </c>
      <c r="AJ15" s="24">
        <v>2030</v>
      </c>
      <c r="AL15" s="18" t="s">
        <v>38</v>
      </c>
      <c r="AM15" s="69">
        <f t="shared" ref="AM15:AM17" si="11">AM4</f>
        <v>15</v>
      </c>
      <c r="BA15" s="17"/>
    </row>
    <row r="16" spans="1:53" x14ac:dyDescent="0.25">
      <c r="A16" t="s">
        <v>23</v>
      </c>
      <c r="B16" s="16">
        <f t="shared" ref="B16:D20" si="12">I3</f>
        <v>0.22000909090909093</v>
      </c>
      <c r="C16" s="16">
        <f t="shared" si="12"/>
        <v>0.21446000000000001</v>
      </c>
      <c r="D16" s="16">
        <f t="shared" si="12"/>
        <v>0.25190000000000001</v>
      </c>
      <c r="Y16" s="1" t="s">
        <v>13</v>
      </c>
      <c r="Z16" s="60" cm="1">
        <f t="array" ref="Z16">Table1531[Growth rate_high]</f>
        <v>0.20200000000000001</v>
      </c>
      <c r="AA16" s="8">
        <f>Z16</f>
        <v>0.20200000000000001</v>
      </c>
      <c r="AB16" s="9">
        <f t="shared" ref="AB16:AJ17" si="13">AA16</f>
        <v>0.20200000000000001</v>
      </c>
      <c r="AC16" s="9">
        <f t="shared" si="13"/>
        <v>0.20200000000000001</v>
      </c>
      <c r="AD16" s="9">
        <f t="shared" si="13"/>
        <v>0.20200000000000001</v>
      </c>
      <c r="AE16" s="9">
        <f t="shared" si="13"/>
        <v>0.20200000000000001</v>
      </c>
      <c r="AF16" s="9">
        <f t="shared" si="13"/>
        <v>0.20200000000000001</v>
      </c>
      <c r="AG16" s="9">
        <f t="shared" si="13"/>
        <v>0.20200000000000001</v>
      </c>
      <c r="AH16" s="9">
        <f t="shared" si="13"/>
        <v>0.20200000000000001</v>
      </c>
      <c r="AI16" s="9">
        <f t="shared" si="13"/>
        <v>0.20200000000000001</v>
      </c>
      <c r="AJ16" s="25">
        <f t="shared" si="13"/>
        <v>0.20200000000000001</v>
      </c>
      <c r="AL16" s="18" t="s">
        <v>39</v>
      </c>
      <c r="AM16" s="69">
        <f t="shared" si="11"/>
        <v>660170.65</v>
      </c>
      <c r="BA16" s="17"/>
    </row>
    <row r="17" spans="1:53" x14ac:dyDescent="0.25">
      <c r="A17" t="s">
        <v>24</v>
      </c>
      <c r="B17" s="16">
        <f t="shared" si="12"/>
        <v>0.12720000000000001</v>
      </c>
      <c r="C17" s="16">
        <f t="shared" si="12"/>
        <v>0.13720000000000002</v>
      </c>
      <c r="D17" s="16">
        <f t="shared" si="12"/>
        <v>0.20799999999999999</v>
      </c>
      <c r="Y17" s="18" t="s">
        <v>14</v>
      </c>
      <c r="Z17">
        <f>Z3</f>
        <v>0.15</v>
      </c>
      <c r="AA17" s="26">
        <f t="shared" ref="AA17:AJ18" si="14">Z17</f>
        <v>0.15</v>
      </c>
      <c r="AB17" s="27">
        <f t="shared" si="13"/>
        <v>0.15</v>
      </c>
      <c r="AC17" s="27">
        <f t="shared" si="13"/>
        <v>0.15</v>
      </c>
      <c r="AD17" s="27">
        <f t="shared" si="13"/>
        <v>0.15</v>
      </c>
      <c r="AE17" s="27">
        <f t="shared" si="13"/>
        <v>0.15</v>
      </c>
      <c r="AF17" s="27">
        <f t="shared" si="13"/>
        <v>0.15</v>
      </c>
      <c r="AG17" s="27">
        <f t="shared" si="13"/>
        <v>0.15</v>
      </c>
      <c r="AH17" s="27">
        <f t="shared" si="13"/>
        <v>0.15</v>
      </c>
      <c r="AI17" s="27">
        <f t="shared" si="13"/>
        <v>0.15</v>
      </c>
      <c r="AJ17" s="28">
        <f t="shared" si="13"/>
        <v>0.15</v>
      </c>
      <c r="AL17" s="5" t="s">
        <v>40</v>
      </c>
      <c r="AM17" s="70">
        <f t="shared" si="11"/>
        <v>5186</v>
      </c>
      <c r="BA17" s="17"/>
    </row>
    <row r="18" spans="1:53" x14ac:dyDescent="0.25">
      <c r="A18" t="s">
        <v>25</v>
      </c>
      <c r="B18" s="16">
        <f t="shared" si="12"/>
        <v>0.13520000000000001</v>
      </c>
      <c r="C18" s="16">
        <f t="shared" si="12"/>
        <v>0.1212</v>
      </c>
      <c r="D18" s="16">
        <f t="shared" si="12"/>
        <v>0.443</v>
      </c>
      <c r="Y18" s="5" t="s">
        <v>15</v>
      </c>
      <c r="Z18" s="7">
        <f>Z4</f>
        <v>20</v>
      </c>
      <c r="AA18" s="30">
        <f t="shared" si="14"/>
        <v>20</v>
      </c>
      <c r="AB18" s="31">
        <f t="shared" si="14"/>
        <v>20</v>
      </c>
      <c r="AC18" s="31">
        <f t="shared" si="14"/>
        <v>20</v>
      </c>
      <c r="AD18" s="31">
        <f t="shared" si="14"/>
        <v>20</v>
      </c>
      <c r="AE18" s="31">
        <f t="shared" si="14"/>
        <v>20</v>
      </c>
      <c r="AF18" s="31">
        <f t="shared" si="14"/>
        <v>20</v>
      </c>
      <c r="AG18" s="31">
        <f t="shared" si="14"/>
        <v>20</v>
      </c>
      <c r="AH18" s="31">
        <f t="shared" si="14"/>
        <v>20</v>
      </c>
      <c r="AI18" s="31">
        <f t="shared" si="14"/>
        <v>20</v>
      </c>
      <c r="AJ18" s="32">
        <f t="shared" si="14"/>
        <v>20</v>
      </c>
      <c r="AL18" s="18"/>
      <c r="BA18" s="17"/>
    </row>
    <row r="19" spans="1:53" x14ac:dyDescent="0.25">
      <c r="A19" t="s">
        <v>26</v>
      </c>
      <c r="B19" s="16">
        <f t="shared" si="12"/>
        <v>3.4294000000000002</v>
      </c>
      <c r="C19" s="16">
        <f t="shared" si="12"/>
        <v>9.98E-2</v>
      </c>
      <c r="D19" s="16">
        <f t="shared" si="12"/>
        <v>0.252</v>
      </c>
      <c r="Y19" s="1" t="s">
        <v>16</v>
      </c>
      <c r="Z19">
        <f>Z5</f>
        <v>98.5</v>
      </c>
      <c r="AA19" s="34">
        <f>Z19</f>
        <v>98.5</v>
      </c>
      <c r="AB19" s="35">
        <f t="shared" ref="AB19:AJ19" si="15">AA19*(1+$Z16)</f>
        <v>118.39699999999999</v>
      </c>
      <c r="AC19" s="35">
        <f t="shared" si="15"/>
        <v>142.31319399999998</v>
      </c>
      <c r="AD19" s="35">
        <f t="shared" si="15"/>
        <v>171.06045918799998</v>
      </c>
      <c r="AE19" s="35">
        <f t="shared" si="15"/>
        <v>205.61467194397596</v>
      </c>
      <c r="AF19" s="35">
        <f t="shared" si="15"/>
        <v>247.1488356766591</v>
      </c>
      <c r="AG19" s="35">
        <f t="shared" si="15"/>
        <v>297.07290048334426</v>
      </c>
      <c r="AH19" s="35">
        <f t="shared" si="15"/>
        <v>357.0816263809798</v>
      </c>
      <c r="AI19" s="35">
        <f t="shared" si="15"/>
        <v>429.21211490993772</v>
      </c>
      <c r="AJ19" s="36">
        <f t="shared" si="15"/>
        <v>515.91296212174518</v>
      </c>
      <c r="AL19" s="21"/>
      <c r="AM19" s="24"/>
      <c r="AN19" s="21">
        <v>1</v>
      </c>
      <c r="AO19" s="23">
        <v>2</v>
      </c>
      <c r="AP19" s="23">
        <v>3</v>
      </c>
      <c r="AQ19" s="23">
        <v>4</v>
      </c>
      <c r="AR19" s="23">
        <v>5</v>
      </c>
      <c r="AS19" s="23">
        <v>6</v>
      </c>
      <c r="AT19" s="23">
        <v>7</v>
      </c>
      <c r="AU19" s="23">
        <v>8</v>
      </c>
      <c r="AV19" s="23">
        <v>9</v>
      </c>
      <c r="AW19" s="23">
        <v>10</v>
      </c>
      <c r="AX19" s="24">
        <v>10</v>
      </c>
      <c r="AY19" s="46" t="s">
        <v>41</v>
      </c>
      <c r="AZ19" s="46" t="s">
        <v>62</v>
      </c>
      <c r="BA19" s="47" t="s">
        <v>63</v>
      </c>
    </row>
    <row r="20" spans="1:53" x14ac:dyDescent="0.25">
      <c r="A20" t="s">
        <v>27</v>
      </c>
      <c r="B20" s="16">
        <f t="shared" si="12"/>
        <v>0.33730000000000004</v>
      </c>
      <c r="C20" s="16">
        <f t="shared" si="12"/>
        <v>0.12720000000000004</v>
      </c>
      <c r="D20" s="16">
        <f t="shared" si="12"/>
        <v>1.0720000000000001</v>
      </c>
      <c r="Y20" s="5" t="s">
        <v>19</v>
      </c>
      <c r="Z20" s="37">
        <f>AA20</f>
        <v>2933.0932603100728</v>
      </c>
      <c r="AA20" s="38">
        <f t="shared" ref="AA20:AI20" si="16">AB20/(1+$Z17)</f>
        <v>2933.0932603100728</v>
      </c>
      <c r="AB20" s="38">
        <f t="shared" si="16"/>
        <v>3373.0572493565833</v>
      </c>
      <c r="AC20" s="38">
        <f t="shared" si="16"/>
        <v>3879.0158367600702</v>
      </c>
      <c r="AD20" s="38">
        <f t="shared" si="16"/>
        <v>4460.8682122740802</v>
      </c>
      <c r="AE20" s="38">
        <f t="shared" si="16"/>
        <v>5129.9984441151919</v>
      </c>
      <c r="AF20" s="38">
        <f t="shared" si="16"/>
        <v>5899.4982107324704</v>
      </c>
      <c r="AG20" s="38">
        <f t="shared" si="16"/>
        <v>6784.4229423423403</v>
      </c>
      <c r="AH20" s="38">
        <f t="shared" si="16"/>
        <v>7802.0863836936905</v>
      </c>
      <c r="AI20" s="38">
        <f t="shared" si="16"/>
        <v>8972.399341247743</v>
      </c>
      <c r="AJ20" s="39">
        <f>AJ19*$Z18</f>
        <v>10318.259242434904</v>
      </c>
      <c r="AL20" s="1" t="s">
        <v>42</v>
      </c>
      <c r="AM20" s="10"/>
      <c r="AN20" s="48">
        <f>$AM12</f>
        <v>301192</v>
      </c>
      <c r="AO20" s="49">
        <f t="shared" ref="AO20:AW20" si="17">AN20+AN20*$AM13</f>
        <v>359743.72479999997</v>
      </c>
      <c r="AP20" s="49">
        <f t="shared" si="17"/>
        <v>429677.90490111994</v>
      </c>
      <c r="AQ20" s="49">
        <f t="shared" si="17"/>
        <v>513207.28961389768</v>
      </c>
      <c r="AR20" s="49">
        <f t="shared" si="17"/>
        <v>612974.7867148394</v>
      </c>
      <c r="AS20" s="49">
        <f t="shared" si="17"/>
        <v>732137.08525220421</v>
      </c>
      <c r="AT20" s="49">
        <f t="shared" si="17"/>
        <v>874464.53462523269</v>
      </c>
      <c r="AU20" s="49">
        <f t="shared" si="17"/>
        <v>1044460.4401563779</v>
      </c>
      <c r="AV20" s="49">
        <f t="shared" si="17"/>
        <v>1247503.5497227777</v>
      </c>
      <c r="AW20" s="49">
        <f t="shared" si="17"/>
        <v>1490018.2397888857</v>
      </c>
      <c r="AX20" s="50">
        <f>$AM15*AW20</f>
        <v>22350273.596833285</v>
      </c>
      <c r="AY20" s="51"/>
      <c r="AZ20" s="49"/>
      <c r="BA20" s="10"/>
    </row>
    <row r="21" spans="1:53" x14ac:dyDescent="0.25">
      <c r="A21" t="s">
        <v>28</v>
      </c>
      <c r="E21" s="57">
        <f>L8</f>
        <v>0.85019754840766026</v>
      </c>
      <c r="AL21" s="5" t="s">
        <v>43</v>
      </c>
      <c r="AM21" s="7"/>
      <c r="AN21" s="52">
        <f>AN20/(1+$AM14)</f>
        <v>261906.08695652176</v>
      </c>
      <c r="AO21" s="53">
        <f t="shared" ref="AO21:AW21" si="18">(1+$AM13)*AN21/(1+$AM14)</f>
        <v>272017.93935727788</v>
      </c>
      <c r="AP21" s="53">
        <f t="shared" si="18"/>
        <v>282520.19718985452</v>
      </c>
      <c r="AQ21" s="53">
        <f t="shared" si="18"/>
        <v>293427.9334987498</v>
      </c>
      <c r="AR21" s="53">
        <f t="shared" si="18"/>
        <v>304756.80327904935</v>
      </c>
      <c r="AS21" s="53">
        <f t="shared" si="18"/>
        <v>316523.06594477961</v>
      </c>
      <c r="AT21" s="53">
        <f t="shared" si="18"/>
        <v>328743.60866473458</v>
      </c>
      <c r="AU21" s="53">
        <f t="shared" si="18"/>
        <v>341435.97059926868</v>
      </c>
      <c r="AV21" s="53">
        <f t="shared" si="18"/>
        <v>354618.36807284044</v>
      </c>
      <c r="AW21" s="53">
        <f t="shared" si="18"/>
        <v>368309.72071843536</v>
      </c>
      <c r="AX21" s="54">
        <f>AX20/(1+AM14)^AX19</f>
        <v>5524645.8107765336</v>
      </c>
      <c r="AY21" s="53">
        <f>SUM(AN21:AX21)</f>
        <v>8648905.5050580464</v>
      </c>
      <c r="AZ21" s="53">
        <f>AY21+AM16</f>
        <v>9309076.1550580468</v>
      </c>
      <c r="BA21" s="55">
        <f>AZ21/AM17</f>
        <v>1795.0397522287017</v>
      </c>
    </row>
    <row r="22" spans="1:53" x14ac:dyDescent="0.25">
      <c r="AN22" s="75"/>
      <c r="AO22" s="75"/>
      <c r="AP22" s="75"/>
      <c r="AQ22" s="75"/>
      <c r="AR22" s="75"/>
      <c r="AS22" s="75"/>
      <c r="AT22" s="75"/>
      <c r="AU22" s="75"/>
      <c r="AV22" s="75"/>
      <c r="AW22" s="75"/>
      <c r="AX22" s="75"/>
      <c r="AY22" s="75"/>
      <c r="AZ22" s="75"/>
      <c r="BA22" s="76"/>
    </row>
    <row r="23" spans="1:53" ht="19.5" thickBot="1" x14ac:dyDescent="0.35">
      <c r="A23" s="56" t="s">
        <v>30</v>
      </c>
      <c r="AL23" s="1" t="s">
        <v>35</v>
      </c>
      <c r="AM23" s="22">
        <f>AM1</f>
        <v>301192</v>
      </c>
      <c r="AN23" s="42"/>
      <c r="AO23" s="42"/>
      <c r="AP23" s="42"/>
      <c r="AQ23" s="42"/>
      <c r="AR23" s="42"/>
      <c r="AS23" s="42"/>
      <c r="AT23" s="42"/>
      <c r="AU23" s="42"/>
      <c r="AV23" s="42"/>
      <c r="AW23" s="42"/>
      <c r="AX23" s="42"/>
      <c r="AY23" s="42"/>
      <c r="AZ23" s="42"/>
      <c r="BA23" s="10"/>
    </row>
    <row r="24" spans="1:53" ht="15.75" thickBot="1" x14ac:dyDescent="0.3">
      <c r="A24" t="s">
        <v>107</v>
      </c>
      <c r="B24" t="s">
        <v>104</v>
      </c>
      <c r="C24" t="s">
        <v>105</v>
      </c>
      <c r="D24" t="s">
        <v>106</v>
      </c>
      <c r="Y24" s="88"/>
      <c r="Z24" s="88"/>
      <c r="AA24" s="88"/>
      <c r="AB24" s="88"/>
      <c r="AC24" s="88"/>
      <c r="AD24" s="88"/>
      <c r="AE24" s="88"/>
      <c r="AF24" s="88"/>
      <c r="AG24" s="88"/>
      <c r="AH24" s="88"/>
      <c r="AI24" s="89"/>
      <c r="AL24" s="18" t="s">
        <v>36</v>
      </c>
      <c r="AM24" s="71">
        <f>Z16</f>
        <v>0.20200000000000001</v>
      </c>
      <c r="BA24" s="17"/>
    </row>
    <row r="25" spans="1:53" x14ac:dyDescent="0.25">
      <c r="A25" s="16">
        <f>B17</f>
        <v>0.12720000000000001</v>
      </c>
      <c r="B25" s="86">
        <v>0.127</v>
      </c>
      <c r="C25" s="85">
        <v>0.19439999999999999</v>
      </c>
      <c r="D25" s="86">
        <v>0.20200000000000001</v>
      </c>
      <c r="AL25" s="18" t="s">
        <v>37</v>
      </c>
      <c r="AM25" s="69">
        <f>AM3</f>
        <v>0.15</v>
      </c>
      <c r="BA25" s="17"/>
    </row>
    <row r="26" spans="1:53" x14ac:dyDescent="0.25">
      <c r="AL26" s="18" t="s">
        <v>38</v>
      </c>
      <c r="AM26" s="69">
        <f>AM4</f>
        <v>15</v>
      </c>
      <c r="BA26" s="17"/>
    </row>
    <row r="27" spans="1:53" ht="30" x14ac:dyDescent="0.25">
      <c r="A27" t="s">
        <v>18</v>
      </c>
      <c r="B27" s="41" t="s">
        <v>20</v>
      </c>
      <c r="C27" s="41" t="s">
        <v>31</v>
      </c>
      <c r="D27" s="41" t="s">
        <v>21</v>
      </c>
      <c r="E27" s="41" t="s">
        <v>22</v>
      </c>
      <c r="F27" t="s">
        <v>126</v>
      </c>
      <c r="AL27" s="18" t="s">
        <v>39</v>
      </c>
      <c r="AM27" s="69">
        <f>AM5</f>
        <v>660170.65</v>
      </c>
      <c r="BA27" s="17"/>
    </row>
    <row r="28" spans="1:53" x14ac:dyDescent="0.25">
      <c r="A28" s="16">
        <f>B25</f>
        <v>0.127</v>
      </c>
      <c r="B28" s="73">
        <f>Z6</f>
        <v>1642.4830913963965</v>
      </c>
      <c r="C28" s="63">
        <f>1-$B$6/Table128[[#This Row],[Fair Value
Method 1]]</f>
        <v>0.92619710934318245</v>
      </c>
      <c r="D28" s="66">
        <f>BA10</f>
        <v>1220.8083543434441</v>
      </c>
      <c r="E28" s="63">
        <f>1-$B$6/Table128[[#This Row],[Fair Value 
Method 2]]</f>
        <v>0.9007051356023914</v>
      </c>
      <c r="F28" s="63">
        <f>AVERAGE(Table128[[#This Row],[MOS
Method 1]],Table128[[#This Row],[MOS 
Method 2]])</f>
        <v>0.91345112247278692</v>
      </c>
      <c r="AL28" s="5" t="s">
        <v>40</v>
      </c>
      <c r="AM28" s="70">
        <f>AM6</f>
        <v>5186</v>
      </c>
      <c r="BA28" s="17"/>
    </row>
    <row r="29" spans="1:53" x14ac:dyDescent="0.25">
      <c r="A29" s="61">
        <f>C25</f>
        <v>0.19439999999999999</v>
      </c>
      <c r="B29" s="73">
        <f>Z13</f>
        <v>2770.3447378669262</v>
      </c>
      <c r="C29" s="63">
        <f>1-$B$6/Table128[[#This Row],[Fair Value
Method 1]]</f>
        <v>0.95624371279751441</v>
      </c>
      <c r="D29" s="66">
        <f>BA21</f>
        <v>1795.0397522287017</v>
      </c>
      <c r="E29" s="63">
        <f>1-$B$6/Table128[[#This Row],[Fair Value 
Method 2]]</f>
        <v>0.93246946211107884</v>
      </c>
      <c r="F29" s="63">
        <f>AVERAGE(Table128[[#This Row],[MOS
Method 1]],Table128[[#This Row],[MOS 
Method 2]])</f>
        <v>0.94435658745429663</v>
      </c>
      <c r="AL29" s="18"/>
      <c r="BA29" s="17"/>
    </row>
    <row r="30" spans="1:53" x14ac:dyDescent="0.25">
      <c r="A30" s="61">
        <f>D25</f>
        <v>0.20200000000000001</v>
      </c>
      <c r="B30" s="73">
        <f>Z20</f>
        <v>2933.0932603100728</v>
      </c>
      <c r="C30" s="63">
        <f>1-$B$6/Table128[[#This Row],[Fair Value
Method 1]]</f>
        <v>0.95867161755805019</v>
      </c>
      <c r="D30" s="66">
        <f>BA32</f>
        <v>1876.395074614351</v>
      </c>
      <c r="E30" s="63">
        <f>1-$B$6/Table128[[#This Row],[Fair Value 
Method 2]]</f>
        <v>0.93539740023837259</v>
      </c>
      <c r="F30" s="63">
        <f>AVERAGE(Table128[[#This Row],[MOS
Method 1]],Table128[[#This Row],[MOS 
Method 2]])</f>
        <v>0.94703450889821139</v>
      </c>
      <c r="AL30" s="21"/>
      <c r="AM30" s="24"/>
      <c r="AN30" s="21">
        <v>1</v>
      </c>
      <c r="AO30" s="23">
        <v>2</v>
      </c>
      <c r="AP30" s="23">
        <v>3</v>
      </c>
      <c r="AQ30" s="23">
        <v>4</v>
      </c>
      <c r="AR30" s="23">
        <v>5</v>
      </c>
      <c r="AS30" s="23">
        <v>6</v>
      </c>
      <c r="AT30" s="23">
        <v>7</v>
      </c>
      <c r="AU30" s="23">
        <v>8</v>
      </c>
      <c r="AV30" s="23">
        <v>9</v>
      </c>
      <c r="AW30" s="23">
        <v>10</v>
      </c>
      <c r="AX30" s="24">
        <v>10</v>
      </c>
      <c r="AY30" s="46" t="s">
        <v>41</v>
      </c>
      <c r="AZ30" s="46" t="s">
        <v>62</v>
      </c>
      <c r="BA30" s="47" t="s">
        <v>63</v>
      </c>
    </row>
    <row r="31" spans="1:53" x14ac:dyDescent="0.25">
      <c r="AL31" s="1" t="s">
        <v>42</v>
      </c>
      <c r="AM31" s="10"/>
      <c r="AN31" s="48">
        <f>$AM23</f>
        <v>301192</v>
      </c>
      <c r="AO31" s="49">
        <f t="shared" ref="AO31:AW31" si="19">AN31+AN31*$AM24</f>
        <v>362032.78399999999</v>
      </c>
      <c r="AP31" s="49">
        <f t="shared" si="19"/>
        <v>435163.40636799997</v>
      </c>
      <c r="AQ31" s="49">
        <f t="shared" si="19"/>
        <v>523066.41445433599</v>
      </c>
      <c r="AR31" s="49">
        <f t="shared" si="19"/>
        <v>628725.83017411188</v>
      </c>
      <c r="AS31" s="49">
        <f t="shared" si="19"/>
        <v>755728.44786928245</v>
      </c>
      <c r="AT31" s="49">
        <f t="shared" si="19"/>
        <v>908385.59433887748</v>
      </c>
      <c r="AU31" s="49">
        <f t="shared" si="19"/>
        <v>1091879.4843953308</v>
      </c>
      <c r="AV31" s="49">
        <f t="shared" si="19"/>
        <v>1312439.1402431875</v>
      </c>
      <c r="AW31" s="49">
        <f t="shared" si="19"/>
        <v>1577551.8465723114</v>
      </c>
      <c r="AX31" s="50">
        <f>$AM26*AW31</f>
        <v>23663277.698584672</v>
      </c>
      <c r="AY31" s="51"/>
      <c r="AZ31" s="49"/>
      <c r="BA31" s="10"/>
    </row>
    <row r="32" spans="1:53" ht="18.75" x14ac:dyDescent="0.3">
      <c r="A32" s="56" t="s">
        <v>64</v>
      </c>
      <c r="AL32" s="5" t="s">
        <v>43</v>
      </c>
      <c r="AM32" s="7"/>
      <c r="AN32" s="52">
        <f>AN31/(1+$AM25)</f>
        <v>261906.08695652176</v>
      </c>
      <c r="AO32" s="53">
        <f t="shared" ref="AO32:AW32" si="20">(1+$AM24)*AN32/(1+$AM25)</f>
        <v>273748.79697542539</v>
      </c>
      <c r="AP32" s="53">
        <f t="shared" si="20"/>
        <v>286127.00344735768</v>
      </c>
      <c r="AQ32" s="53">
        <f t="shared" si="20"/>
        <v>299064.92012497736</v>
      </c>
      <c r="AR32" s="53">
        <f t="shared" si="20"/>
        <v>312587.855643672</v>
      </c>
      <c r="AS32" s="53">
        <f t="shared" si="20"/>
        <v>326722.26302929892</v>
      </c>
      <c r="AT32" s="53">
        <f t="shared" si="20"/>
        <v>341495.79144453676</v>
      </c>
      <c r="AU32" s="53">
        <f t="shared" si="20"/>
        <v>356937.34027507238</v>
      </c>
      <c r="AV32" s="53">
        <f t="shared" si="20"/>
        <v>373077.11566142354</v>
      </c>
      <c r="AW32" s="53">
        <f t="shared" si="20"/>
        <v>389946.68958698359</v>
      </c>
      <c r="AX32" s="54">
        <f>AX31/(1+AM25)^AX30</f>
        <v>5849200.3438047543</v>
      </c>
      <c r="AY32" s="53">
        <f>SUM(AN32:AX32)</f>
        <v>9070814.2069500238</v>
      </c>
      <c r="AZ32" s="53">
        <f>AY32+AM27</f>
        <v>9730984.8569500241</v>
      </c>
      <c r="BA32" s="55">
        <f>AZ32/AM28</f>
        <v>1876.395074614351</v>
      </c>
    </row>
    <row r="33" spans="1:7" x14ac:dyDescent="0.25">
      <c r="A33" s="77" t="s">
        <v>66</v>
      </c>
    </row>
    <row r="36" spans="1:7" x14ac:dyDescent="0.25">
      <c r="D36" s="78"/>
      <c r="E36" s="78"/>
      <c r="G36" s="79"/>
    </row>
    <row r="39" spans="1:7" x14ac:dyDescent="0.25">
      <c r="D39" s="41"/>
    </row>
  </sheetData>
  <mergeCells count="11">
    <mergeCell ref="R1:R2"/>
    <mergeCell ref="M1:M2"/>
    <mergeCell ref="N1:N2"/>
    <mergeCell ref="O1:O2"/>
    <mergeCell ref="P1:P2"/>
    <mergeCell ref="Q1:Q2"/>
    <mergeCell ref="S1:S2"/>
    <mergeCell ref="T1:T2"/>
    <mergeCell ref="U1:U2"/>
    <mergeCell ref="V1:V2"/>
    <mergeCell ref="W1:W2"/>
  </mergeCells>
  <conditionalFormatting sqref="L8">
    <cfRule type="cellIs" dxfId="243" priority="23" operator="greaterThan">
      <formula>3</formula>
    </cfRule>
    <cfRule type="cellIs" dxfId="242" priority="24" operator="lessThan">
      <formula>3</formula>
    </cfRule>
  </conditionalFormatting>
  <conditionalFormatting sqref="I3:K7">
    <cfRule type="cellIs" dxfId="241" priority="20" operator="between">
      <formula>0.05</formula>
      <formula>0.1</formula>
    </cfRule>
    <cfRule type="cellIs" dxfId="240" priority="21" operator="lessThan">
      <formula>0.05</formula>
    </cfRule>
    <cfRule type="cellIs" dxfId="239"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{DBAA4081-7FAE-4F1E-BCB5-D33C84B4B072}</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{6E1AC41E-36BD-48DD-9C2E-A53C2245DCEE}</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{2DE00496-A086-4516-B801-4E80F3985BE7}</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{A17C9262-A385-4DB8-9004-DEA22FA8AFBD}</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{5D9BF75D-3B66-49BF-8367-C59571FDDEE4}</x14:id>
        </ext>
      </extLst>
    </cfRule>
  </conditionalFormatting>
  <conditionalFormatting sqref="E21">
    <cfRule type="cellIs" dxfId="238" priority="13" operator="greaterThan">
      <formula>3</formula>
    </cfRule>
    <cfRule type="cellIs" dxfId="237" priority="14" operator="lessThan">
      <formula>3</formula>
    </cfRule>
  </conditionalFormatting>
  <conditionalFormatting sqref="B16:D20">
    <cfRule type="cellIs" dxfId="236" priority="10" operator="between">
      <formula>0.05</formula>
      <formula>0.1</formula>
    </cfRule>
    <cfRule type="cellIs" dxfId="235" priority="11" operator="lessThan">
      <formula>0.05</formula>
    </cfRule>
    <cfRule type="cellIs" dxfId="234" priority="12" operator="greaterThan">
      <formula>0.1</formula>
    </cfRule>
  </conditionalFormatting>
  <conditionalFormatting sqref="C28:C30">
    <cfRule type="cellIs" dxfId="233" priority="7" operator="lessThan">
      <formula>0</formula>
    </cfRule>
    <cfRule type="cellIs" dxfId="232" priority="8" operator="between">
      <formula>0</formula>
      <formula>0.3</formula>
    </cfRule>
    <cfRule type="cellIs" dxfId="231" priority="9" operator="greaterThan">
      <formula>0.3</formula>
    </cfRule>
  </conditionalFormatting>
  <conditionalFormatting sqref="E28:E30">
    <cfRule type="cellIs" dxfId="230" priority="4" operator="lessThan">
      <formula>0</formula>
    </cfRule>
    <cfRule type="cellIs" dxfId="229" priority="5" operator="between">
      <formula>0</formula>
      <formula>0.3</formula>
    </cfRule>
    <cfRule type="cellIs" dxfId="228" priority="6" operator="greaterThan">
      <formula>0.3</formula>
    </cfRule>
  </conditionalFormatting>
  <conditionalFormatting sqref="F28:F30">
    <cfRule type="cellIs" dxfId="227" priority="1" operator="lessThan">
      <formula>0</formula>
    </cfRule>
    <cfRule type="cellIs" dxfId="226" priority="2" operator="between">
      <formula>0</formula>
      <formula>0.3</formula>
    </cfRule>
    <cfRule type="cellIs" dxfId="225" priority="3" operator="greaterThan">
      <formula>0.3</formula>
    </cfRule>
  </conditionalFormatting>
  <hyperlinks>
    <hyperlink ref="B4" r:id="rId1" display="THO" xr:uid="{33EAF552-4706-4DAD-9FD6-9900F2140357}"/>
    <hyperlink ref="A33" r:id="rId2" xr:uid="{BD3C7E6D-BA60-477A-9DB6-B0A091CC9C5C}"/>
  </hyperlinks>
  <pageMargins left="0.7" right="0.7" top="0.75" bottom="0.75" header="0.3" footer="0.3"/>
  <pageSetup paperSize="9" orientation="portrait" r:id="rId3"/>
  <drawing r:id="rId4"/>
  <legacyDrawing r:id="rId5"/>
  <tableParts count="4">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dataBar" id="{DBAA4081-7FAE-4F1E-BCB5-D33C84B4B072}">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6E1AC41E-36BD-48DD-9C2E-A53C2245DCEE}">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2DE00496-A086-4516-B801-4E80F3985BE7}">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A17C9262-A385-4DB8-9004-DEA22FA8AFBD}">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5D9BF75D-3B66-49BF-8367-C59571FDDEE4}">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089C7-CC7C-4954-8459-024DA86E7243}">
  <dimension ref="A1:BA39"/>
  <sheetViews>
    <sheetView zoomScaleNormal="100" workbookViewId="0">
      <selection activeCell="C32" sqref="C32"/>
    </sheetView>
  </sheetViews>
  <sheetFormatPr defaultRowHeight="15" x14ac:dyDescent="0.25"/>
  <cols>
    <col min="1" max="1" width="19.85546875" bestFit="1" customWidth="1"/>
    <col min="2" max="2" width="18.5703125" customWidth="1"/>
    <col min="3" max="4" width="14.42578125" customWidth="1"/>
    <col min="5" max="5" width="11.85546875" customWidth="1"/>
    <col min="7" max="7" width="11.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346</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MIN(Table18[Growth rate])</f>
        <v>0.13569999999999999</v>
      </c>
      <c r="AA2" s="8">
        <f>Z2</f>
        <v>0.13569999999999999</v>
      </c>
      <c r="AB2" s="9">
        <f t="shared" ref="AB2:AJ3" si="1">AA2</f>
        <v>0.13569999999999999</v>
      </c>
      <c r="AC2" s="9">
        <f t="shared" si="1"/>
        <v>0.13569999999999999</v>
      </c>
      <c r="AD2" s="9">
        <f t="shared" si="1"/>
        <v>0.13569999999999999</v>
      </c>
      <c r="AE2" s="9">
        <f t="shared" si="1"/>
        <v>0.13569999999999999</v>
      </c>
      <c r="AF2" s="9">
        <f t="shared" si="1"/>
        <v>0.13569999999999999</v>
      </c>
      <c r="AG2" s="9">
        <f t="shared" si="1"/>
        <v>0.13569999999999999</v>
      </c>
      <c r="AH2" s="9">
        <f t="shared" si="1"/>
        <v>0.13569999999999999</v>
      </c>
      <c r="AI2" s="9">
        <f t="shared" si="1"/>
        <v>0.13569999999999999</v>
      </c>
      <c r="AJ2" s="25">
        <f t="shared" si="1"/>
        <v>0.13569999999999999</v>
      </c>
      <c r="AL2" s="18" t="s">
        <v>36</v>
      </c>
      <c r="AM2" s="67">
        <f>Z2</f>
        <v>0.13569999999999999</v>
      </c>
      <c r="BA2" s="17"/>
    </row>
    <row r="3" spans="1:53" x14ac:dyDescent="0.25">
      <c r="A3" t="s">
        <v>49</v>
      </c>
      <c r="B3" s="58" t="s">
        <v>53</v>
      </c>
      <c r="H3" s="2" t="s">
        <v>6</v>
      </c>
      <c r="I3" s="8">
        <f>AVERAGE(M3:W3)</f>
        <v>0.16135454545454544</v>
      </c>
      <c r="J3" s="9">
        <f>AVERAGE(S3:W3)</f>
        <v>0.15351999999999999</v>
      </c>
      <c r="K3" s="9">
        <f>W3</f>
        <v>0.17219999999999999</v>
      </c>
      <c r="L3" s="10" t="s">
        <v>7</v>
      </c>
      <c r="M3" s="11">
        <v>0.1389</v>
      </c>
      <c r="N3" s="12">
        <v>0.14180000000000001</v>
      </c>
      <c r="O3" s="12">
        <v>0.17329999999999998</v>
      </c>
      <c r="P3" s="12">
        <v>0.19030000000000002</v>
      </c>
      <c r="Q3" s="12">
        <v>0.19440000000000002</v>
      </c>
      <c r="R3" s="12">
        <v>0.1686</v>
      </c>
      <c r="S3" s="12">
        <v>0.22719999999999999</v>
      </c>
      <c r="T3" s="12">
        <v>0.24600000000000002</v>
      </c>
      <c r="U3" s="12">
        <v>4.5100000000000001E-2</v>
      </c>
      <c r="V3" s="12">
        <v>7.7100000000000002E-2</v>
      </c>
      <c r="W3" s="13">
        <v>0.17219999999999999</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54</v>
      </c>
      <c r="H4" s="14" t="s">
        <v>8</v>
      </c>
      <c r="I4" s="15">
        <f>AVERAGE(M4:W4)</f>
        <v>0.13569999999999999</v>
      </c>
      <c r="J4" s="16">
        <f>AVERAGE(S4:W4)</f>
        <v>0.17320000000000002</v>
      </c>
      <c r="K4" s="16">
        <f>W4</f>
        <v>0.30599999999999999</v>
      </c>
      <c r="L4" s="17" t="s">
        <v>7</v>
      </c>
      <c r="M4" s="18" t="s">
        <v>7</v>
      </c>
      <c r="N4" s="12">
        <v>0.11600000000000001</v>
      </c>
      <c r="O4" s="12">
        <v>-1.9E-2</v>
      </c>
      <c r="P4" s="12">
        <v>9.6000000000000002E-2</v>
      </c>
      <c r="Q4" s="12">
        <v>0.18099999999999999</v>
      </c>
      <c r="R4" s="12">
        <v>0.11700000000000001</v>
      </c>
      <c r="S4" s="12">
        <v>0.22800000000000001</v>
      </c>
      <c r="T4" s="12">
        <v>0.26500000000000001</v>
      </c>
      <c r="U4" s="12">
        <v>4.1000000000000002E-2</v>
      </c>
      <c r="V4" s="12">
        <v>2.5999999999999999E-2</v>
      </c>
      <c r="W4" s="13">
        <v>0.30599999999999999</v>
      </c>
      <c r="Y4" s="5" t="s">
        <v>15</v>
      </c>
      <c r="Z4" s="29">
        <v>20</v>
      </c>
      <c r="AA4" s="30">
        <f t="shared" si="2"/>
        <v>20</v>
      </c>
      <c r="AB4" s="31">
        <f t="shared" si="2"/>
        <v>20</v>
      </c>
      <c r="AC4" s="31">
        <f t="shared" si="2"/>
        <v>20</v>
      </c>
      <c r="AD4" s="31">
        <f t="shared" si="2"/>
        <v>20</v>
      </c>
      <c r="AE4" s="31">
        <f t="shared" si="2"/>
        <v>20</v>
      </c>
      <c r="AF4" s="31">
        <f t="shared" si="2"/>
        <v>20</v>
      </c>
      <c r="AG4" s="31">
        <f t="shared" si="2"/>
        <v>20</v>
      </c>
      <c r="AH4" s="31">
        <f t="shared" si="2"/>
        <v>20</v>
      </c>
      <c r="AI4" s="31">
        <f t="shared" si="2"/>
        <v>20</v>
      </c>
      <c r="AJ4" s="32">
        <f t="shared" si="2"/>
        <v>20</v>
      </c>
      <c r="AL4" s="18" t="s">
        <v>38</v>
      </c>
      <c r="AM4" s="64">
        <v>15</v>
      </c>
      <c r="BA4" s="17"/>
    </row>
    <row r="5" spans="1:53" x14ac:dyDescent="0.25">
      <c r="A5" t="s">
        <v>34</v>
      </c>
      <c r="B5" s="59">
        <v>44568</v>
      </c>
      <c r="H5" s="14" t="s">
        <v>9</v>
      </c>
      <c r="I5" s="15">
        <f>AVERAGE(M5:W5)</f>
        <v>0.3518</v>
      </c>
      <c r="J5" s="16">
        <f>AVERAGE(S5:W5)</f>
        <v>0.49660000000000004</v>
      </c>
      <c r="K5" s="16">
        <f>W5</f>
        <v>1.948</v>
      </c>
      <c r="L5" s="17" t="s">
        <v>7</v>
      </c>
      <c r="M5" s="18" t="s">
        <v>7</v>
      </c>
      <c r="N5" s="12">
        <v>0.17699999999999999</v>
      </c>
      <c r="O5" s="12">
        <v>0.27400000000000002</v>
      </c>
      <c r="P5" s="12">
        <v>0.16300000000000001</v>
      </c>
      <c r="Q5" s="12">
        <v>0.11600000000000001</v>
      </c>
      <c r="R5" s="12">
        <v>0.30499999999999999</v>
      </c>
      <c r="S5" s="12">
        <v>0.45300000000000001</v>
      </c>
      <c r="T5" s="12">
        <v>0.152</v>
      </c>
      <c r="U5" s="12">
        <v>-0.69799999999999995</v>
      </c>
      <c r="V5" s="12">
        <v>0.628</v>
      </c>
      <c r="W5" s="13">
        <v>1.948</v>
      </c>
      <c r="Y5" s="1" t="s">
        <v>16</v>
      </c>
      <c r="Z5" s="33">
        <v>11.85</v>
      </c>
      <c r="AA5" s="34">
        <f>Z5</f>
        <v>11.85</v>
      </c>
      <c r="AB5" s="35">
        <f t="shared" ref="AB5:AJ5" si="3">AA5*(1+$Z2)</f>
        <v>13.458044999999998</v>
      </c>
      <c r="AC5" s="35">
        <f t="shared" si="3"/>
        <v>15.284301706499997</v>
      </c>
      <c r="AD5" s="35">
        <f t="shared" si="3"/>
        <v>17.358381448072045</v>
      </c>
      <c r="AE5" s="35">
        <f t="shared" si="3"/>
        <v>19.71391381057542</v>
      </c>
      <c r="AF5" s="35">
        <f t="shared" si="3"/>
        <v>22.389091914670502</v>
      </c>
      <c r="AG5" s="35">
        <f t="shared" si="3"/>
        <v>25.427291687491287</v>
      </c>
      <c r="AH5" s="35">
        <f t="shared" si="3"/>
        <v>28.877775169483854</v>
      </c>
      <c r="AI5" s="35">
        <f t="shared" si="3"/>
        <v>32.796489259982813</v>
      </c>
      <c r="AJ5" s="36">
        <f t="shared" si="3"/>
        <v>37.246972852562479</v>
      </c>
      <c r="AL5" s="18" t="s">
        <v>39</v>
      </c>
      <c r="AM5" s="40">
        <v>330.32</v>
      </c>
      <c r="BA5" s="17"/>
    </row>
    <row r="6" spans="1:53" x14ac:dyDescent="0.25">
      <c r="A6" t="s">
        <v>44</v>
      </c>
      <c r="B6" s="62">
        <v>106.32</v>
      </c>
      <c r="H6" s="14" t="s">
        <v>10</v>
      </c>
      <c r="I6" s="15">
        <f>AVERAGE(M6:W6)</f>
        <v>0.19469999999999998</v>
      </c>
      <c r="J6" s="16">
        <f>AVERAGE(S6:W6)</f>
        <v>0.24440000000000001</v>
      </c>
      <c r="K6" s="16">
        <f>W6</f>
        <v>0.50800000000000001</v>
      </c>
      <c r="L6" s="17" t="s">
        <v>7</v>
      </c>
      <c r="M6" s="18" t="s">
        <v>7</v>
      </c>
      <c r="N6" s="12">
        <v>0.128</v>
      </c>
      <c r="O6" s="12">
        <v>0.22800000000000001</v>
      </c>
      <c r="P6" s="12">
        <v>8.7999999999999995E-2</v>
      </c>
      <c r="Q6" s="12">
        <v>0.13700000000000001</v>
      </c>
      <c r="R6" s="12">
        <v>0.14399999999999999</v>
      </c>
      <c r="S6" s="12">
        <v>0.58199999999999996</v>
      </c>
      <c r="T6" s="12">
        <v>0.14899999999999999</v>
      </c>
      <c r="U6" s="12">
        <v>-5.6000000000000001E-2</v>
      </c>
      <c r="V6" s="12">
        <v>3.9E-2</v>
      </c>
      <c r="W6" s="13">
        <v>0.50800000000000001</v>
      </c>
      <c r="Y6" s="5" t="s">
        <v>19</v>
      </c>
      <c r="Z6" s="37">
        <f>AA6</f>
        <v>211.75828688526474</v>
      </c>
      <c r="AA6" s="38">
        <f t="shared" ref="AA6:AI6" si="4">AB6/(1+$Z3)</f>
        <v>211.75828688526474</v>
      </c>
      <c r="AB6" s="38">
        <f t="shared" si="4"/>
        <v>243.52202991805441</v>
      </c>
      <c r="AC6" s="38">
        <f t="shared" si="4"/>
        <v>280.05033440576256</v>
      </c>
      <c r="AD6" s="38">
        <f t="shared" si="4"/>
        <v>322.05788456662691</v>
      </c>
      <c r="AE6" s="38">
        <f t="shared" si="4"/>
        <v>370.36656725162095</v>
      </c>
      <c r="AF6" s="38">
        <f t="shared" si="4"/>
        <v>425.92155233936404</v>
      </c>
      <c r="AG6" s="38">
        <f t="shared" si="4"/>
        <v>489.8097851902686</v>
      </c>
      <c r="AH6" s="38">
        <f t="shared" si="4"/>
        <v>563.28125296880887</v>
      </c>
      <c r="AI6" s="38">
        <f t="shared" si="4"/>
        <v>647.77344091413011</v>
      </c>
      <c r="AJ6" s="39">
        <f>AJ5*$Z4</f>
        <v>744.93945705124952</v>
      </c>
      <c r="AL6" s="5" t="s">
        <v>40</v>
      </c>
      <c r="AM6" s="45">
        <v>19</v>
      </c>
      <c r="BA6" s="17"/>
    </row>
    <row r="7" spans="1:53" x14ac:dyDescent="0.25">
      <c r="A7" t="s">
        <v>45</v>
      </c>
      <c r="B7" s="58" t="s">
        <v>55</v>
      </c>
      <c r="H7" s="14" t="s">
        <v>11</v>
      </c>
      <c r="I7" s="15">
        <f>AVERAGE(M7:W7)</f>
        <v>0.19209999999999999</v>
      </c>
      <c r="J7" s="16">
        <f>AVERAGE(S7:W7)</f>
        <v>6.9600000000000009E-2</v>
      </c>
      <c r="K7" s="16">
        <f>W7</f>
        <v>-8.3000000000000004E-2</v>
      </c>
      <c r="L7" s="17" t="s">
        <v>7</v>
      </c>
      <c r="M7" s="18" t="s">
        <v>7</v>
      </c>
      <c r="N7" s="12">
        <v>0.34599999999999997</v>
      </c>
      <c r="O7" s="12">
        <v>0.11</v>
      </c>
      <c r="P7" s="12">
        <v>-1.7000000000000001E-2</v>
      </c>
      <c r="Q7" s="12">
        <v>0.73099999999999998</v>
      </c>
      <c r="R7" s="12">
        <v>0.40300000000000002</v>
      </c>
      <c r="S7" s="12">
        <v>5.1999999999999998E-2</v>
      </c>
      <c r="T7" s="12">
        <v>7.9000000000000001E-2</v>
      </c>
      <c r="U7" s="12">
        <v>0.152</v>
      </c>
      <c r="V7" s="12">
        <v>0.14799999999999999</v>
      </c>
      <c r="W7" s="13">
        <v>-8.3000000000000004E-2</v>
      </c>
      <c r="AL7" s="18"/>
      <c r="BA7" s="17"/>
    </row>
    <row r="8" spans="1:53" x14ac:dyDescent="0.25">
      <c r="A8" t="s">
        <v>46</v>
      </c>
      <c r="B8" s="58" t="s">
        <v>56</v>
      </c>
      <c r="H8" s="19" t="s">
        <v>12</v>
      </c>
      <c r="I8" s="5" t="s">
        <v>7</v>
      </c>
      <c r="J8" s="6" t="s">
        <v>7</v>
      </c>
      <c r="K8" s="6" t="s">
        <v>7</v>
      </c>
      <c r="L8" s="20">
        <v>4</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47</v>
      </c>
      <c r="B9" s="58" t="s">
        <v>58</v>
      </c>
      <c r="Y9" s="1" t="s">
        <v>13</v>
      </c>
      <c r="Z9" s="65">
        <f>AVERAGE(Table18[Growth rate])</f>
        <v>0.18889999999999998</v>
      </c>
      <c r="AA9" s="8">
        <f>Z9</f>
        <v>0.18889999999999998</v>
      </c>
      <c r="AB9" s="9">
        <f t="shared" ref="AB9:AJ10" si="5">AA9</f>
        <v>0.18889999999999998</v>
      </c>
      <c r="AC9" s="9">
        <f t="shared" si="5"/>
        <v>0.18889999999999998</v>
      </c>
      <c r="AD9" s="9">
        <f t="shared" si="5"/>
        <v>0.18889999999999998</v>
      </c>
      <c r="AE9" s="9">
        <f t="shared" si="5"/>
        <v>0.18889999999999998</v>
      </c>
      <c r="AF9" s="9">
        <f t="shared" si="5"/>
        <v>0.18889999999999998</v>
      </c>
      <c r="AG9" s="9">
        <f t="shared" si="5"/>
        <v>0.18889999999999998</v>
      </c>
      <c r="AH9" s="9">
        <f t="shared" si="5"/>
        <v>0.18889999999999998</v>
      </c>
      <c r="AI9" s="9">
        <f t="shared" si="5"/>
        <v>0.18889999999999998</v>
      </c>
      <c r="AJ9" s="25">
        <f t="shared" si="5"/>
        <v>0.18889999999999998</v>
      </c>
      <c r="AL9" s="1" t="s">
        <v>42</v>
      </c>
      <c r="AM9" s="10"/>
      <c r="AN9" s="48">
        <f>$AM1</f>
        <v>346</v>
      </c>
      <c r="AO9" s="49">
        <f t="shared" ref="AO9:AW9" si="6">AN9+AN9*$AM2</f>
        <v>392.9522</v>
      </c>
      <c r="AP9" s="49">
        <f t="shared" si="6"/>
        <v>446.27581354</v>
      </c>
      <c r="AQ9" s="49">
        <f t="shared" si="6"/>
        <v>506.83544143737799</v>
      </c>
      <c r="AR9" s="49">
        <f t="shared" si="6"/>
        <v>575.61301084043021</v>
      </c>
      <c r="AS9" s="49">
        <f t="shared" si="6"/>
        <v>653.72369641147657</v>
      </c>
      <c r="AT9" s="49">
        <f t="shared" si="6"/>
        <v>742.43400201451391</v>
      </c>
      <c r="AU9" s="49">
        <f t="shared" si="6"/>
        <v>843.1822960878834</v>
      </c>
      <c r="AV9" s="49">
        <f t="shared" si="6"/>
        <v>957.60213366700918</v>
      </c>
      <c r="AW9" s="49">
        <f t="shared" si="6"/>
        <v>1087.5487432056223</v>
      </c>
      <c r="AX9" s="50">
        <f>$AM4*AW9</f>
        <v>16313.231148084335</v>
      </c>
      <c r="AY9" s="51"/>
      <c r="AZ9" s="49"/>
      <c r="BA9" s="10"/>
    </row>
    <row r="10" spans="1:53" x14ac:dyDescent="0.25">
      <c r="A10" t="s">
        <v>48</v>
      </c>
      <c r="B10" s="58" t="s">
        <v>73</v>
      </c>
      <c r="Y10" s="18" t="s">
        <v>14</v>
      </c>
      <c r="Z10">
        <f>Z3</f>
        <v>0.15</v>
      </c>
      <c r="AA10" s="26">
        <f t="shared" ref="AA10:AJ11" si="7">Z10</f>
        <v>0.15</v>
      </c>
      <c r="AB10" s="27">
        <f t="shared" si="5"/>
        <v>0.15</v>
      </c>
      <c r="AC10" s="27">
        <f t="shared" si="5"/>
        <v>0.15</v>
      </c>
      <c r="AD10" s="27">
        <f t="shared" si="5"/>
        <v>0.15</v>
      </c>
      <c r="AE10" s="27">
        <f t="shared" si="5"/>
        <v>0.15</v>
      </c>
      <c r="AF10" s="27">
        <f t="shared" si="5"/>
        <v>0.15</v>
      </c>
      <c r="AG10" s="27">
        <f t="shared" si="5"/>
        <v>0.15</v>
      </c>
      <c r="AH10" s="27">
        <f t="shared" si="5"/>
        <v>0.15</v>
      </c>
      <c r="AI10" s="27">
        <f t="shared" si="5"/>
        <v>0.15</v>
      </c>
      <c r="AJ10" s="28">
        <f t="shared" si="5"/>
        <v>0.15</v>
      </c>
      <c r="AL10" s="5" t="s">
        <v>43</v>
      </c>
      <c r="AM10" s="7"/>
      <c r="AN10" s="52">
        <f>AN9/(1+$AM3)</f>
        <v>300.86956521739131</v>
      </c>
      <c r="AO10" s="53">
        <f t="shared" ref="AO10:AW10" si="8">(1+$AM2)*AN10/(1+$AM3)</f>
        <v>297.12831758034025</v>
      </c>
      <c r="AP10" s="53">
        <f t="shared" si="8"/>
        <v>293.43359154434125</v>
      </c>
      <c r="AQ10" s="53">
        <f t="shared" si="8"/>
        <v>289.78480862339853</v>
      </c>
      <c r="AR10" s="53">
        <f t="shared" si="8"/>
        <v>286.18139752486411</v>
      </c>
      <c r="AS10" s="53">
        <f t="shared" si="8"/>
        <v>282.6227940599897</v>
      </c>
      <c r="AT10" s="53">
        <f t="shared" si="8"/>
        <v>279.10844105559158</v>
      </c>
      <c r="AU10" s="53">
        <f t="shared" si="8"/>
        <v>275.63778826681335</v>
      </c>
      <c r="AV10" s="53">
        <f t="shared" si="8"/>
        <v>272.21029229097383</v>
      </c>
      <c r="AW10" s="53">
        <f t="shared" si="8"/>
        <v>268.82541648248605</v>
      </c>
      <c r="AX10" s="54">
        <f>AX9/(1+AM3)^AX8</f>
        <v>4032.3812472372947</v>
      </c>
      <c r="AY10" s="53">
        <f>SUM(AN10:AX10)</f>
        <v>6878.1836598834852</v>
      </c>
      <c r="AZ10" s="53">
        <f>AY10+AM5</f>
        <v>7208.5036598834849</v>
      </c>
      <c r="BA10" s="55">
        <f>AZ10/AM6</f>
        <v>379.39492946755183</v>
      </c>
    </row>
    <row r="11" spans="1:53" x14ac:dyDescent="0.25">
      <c r="A11" t="s">
        <v>65</v>
      </c>
      <c r="B11" s="59">
        <v>44627</v>
      </c>
      <c r="Y11" s="5" t="s">
        <v>15</v>
      </c>
      <c r="Z11" s="7">
        <f>Z4</f>
        <v>20</v>
      </c>
      <c r="AA11" s="30">
        <f t="shared" si="7"/>
        <v>20</v>
      </c>
      <c r="AB11" s="31">
        <f t="shared" si="7"/>
        <v>20</v>
      </c>
      <c r="AC11" s="31">
        <f t="shared" si="7"/>
        <v>20</v>
      </c>
      <c r="AD11" s="31">
        <f t="shared" si="7"/>
        <v>20</v>
      </c>
      <c r="AE11" s="31">
        <f t="shared" si="7"/>
        <v>20</v>
      </c>
      <c r="AF11" s="31">
        <f t="shared" si="7"/>
        <v>20</v>
      </c>
      <c r="AG11" s="31">
        <f t="shared" si="7"/>
        <v>20</v>
      </c>
      <c r="AH11" s="31">
        <f t="shared" si="7"/>
        <v>20</v>
      </c>
      <c r="AI11" s="31">
        <f t="shared" si="7"/>
        <v>20</v>
      </c>
      <c r="AJ11" s="32">
        <f t="shared" si="7"/>
        <v>20</v>
      </c>
    </row>
    <row r="12" spans="1:53" x14ac:dyDescent="0.25">
      <c r="Y12" s="1" t="s">
        <v>16</v>
      </c>
      <c r="Z12">
        <f>Z5</f>
        <v>11.85</v>
      </c>
      <c r="AA12" s="34">
        <f>Z12</f>
        <v>11.85</v>
      </c>
      <c r="AB12" s="35">
        <f t="shared" ref="AB12:AJ12" si="9">AA12*(1+$Z9)</f>
        <v>14.088465000000001</v>
      </c>
      <c r="AC12" s="35">
        <f t="shared" si="9"/>
        <v>16.749776038500002</v>
      </c>
      <c r="AD12" s="35">
        <f t="shared" si="9"/>
        <v>19.913808732172654</v>
      </c>
      <c r="AE12" s="35">
        <f t="shared" si="9"/>
        <v>23.675527201680069</v>
      </c>
      <c r="AF12" s="35">
        <f t="shared" si="9"/>
        <v>28.147834290077437</v>
      </c>
      <c r="AG12" s="35">
        <f t="shared" si="9"/>
        <v>33.464960187473068</v>
      </c>
      <c r="AH12" s="35">
        <f t="shared" si="9"/>
        <v>39.786491166886734</v>
      </c>
      <c r="AI12" s="35">
        <f t="shared" si="9"/>
        <v>47.30215934831164</v>
      </c>
      <c r="AJ12" s="36">
        <f t="shared" si="9"/>
        <v>56.237537249207712</v>
      </c>
      <c r="AL12" s="1" t="s">
        <v>35</v>
      </c>
      <c r="AM12" s="72">
        <f>AM1</f>
        <v>346</v>
      </c>
      <c r="AN12" s="42"/>
      <c r="AO12" s="42"/>
      <c r="AP12" s="42"/>
      <c r="AQ12" s="42"/>
      <c r="AR12" s="42"/>
      <c r="AS12" s="42"/>
      <c r="AT12" s="42"/>
      <c r="AU12" s="42"/>
      <c r="AV12" s="42"/>
      <c r="AW12" s="42"/>
      <c r="AX12" s="42"/>
      <c r="AY12" s="42"/>
      <c r="AZ12" s="42"/>
      <c r="BA12" s="10"/>
    </row>
    <row r="13" spans="1:53" ht="18.75" x14ac:dyDescent="0.3">
      <c r="A13" s="56" t="s">
        <v>29</v>
      </c>
      <c r="Y13" s="5" t="s">
        <v>19</v>
      </c>
      <c r="Z13" s="37">
        <f>AA13</f>
        <v>319.72435971314644</v>
      </c>
      <c r="AA13" s="38">
        <f t="shared" ref="AA13:AI13" si="10">AB13/(1+$Z10)</f>
        <v>319.72435971314644</v>
      </c>
      <c r="AB13" s="38">
        <f t="shared" si="10"/>
        <v>367.68301367011838</v>
      </c>
      <c r="AC13" s="38">
        <f t="shared" si="10"/>
        <v>422.83546572063608</v>
      </c>
      <c r="AD13" s="38">
        <f t="shared" si="10"/>
        <v>486.26078557873149</v>
      </c>
      <c r="AE13" s="38">
        <f t="shared" si="10"/>
        <v>559.19990341554114</v>
      </c>
      <c r="AF13" s="38">
        <f t="shared" si="10"/>
        <v>643.07988892787228</v>
      </c>
      <c r="AG13" s="38">
        <f t="shared" si="10"/>
        <v>739.54187226705312</v>
      </c>
      <c r="AH13" s="38">
        <f t="shared" si="10"/>
        <v>850.47315310711099</v>
      </c>
      <c r="AI13" s="38">
        <f t="shared" si="10"/>
        <v>978.04412607317761</v>
      </c>
      <c r="AJ13" s="39">
        <f>AJ12*$Z11</f>
        <v>1124.7507449841542</v>
      </c>
      <c r="AL13" s="18" t="s">
        <v>36</v>
      </c>
      <c r="AM13" s="68">
        <f>Z9</f>
        <v>0.18889999999999998</v>
      </c>
      <c r="BA13" s="17"/>
    </row>
    <row r="14" spans="1:53" x14ac:dyDescent="0.25">
      <c r="A14" s="43" t="s">
        <v>32</v>
      </c>
      <c r="B14" s="18" t="s">
        <v>0</v>
      </c>
      <c r="C14" t="s">
        <v>1</v>
      </c>
      <c r="D14" t="s">
        <v>2</v>
      </c>
      <c r="E14" t="s">
        <v>3</v>
      </c>
      <c r="AL14" s="18" t="s">
        <v>37</v>
      </c>
      <c r="AM14" s="69">
        <f>AM3</f>
        <v>0.15</v>
      </c>
      <c r="BA14" s="17"/>
    </row>
    <row r="15" spans="1:53" x14ac:dyDescent="0.25">
      <c r="A15" t="s">
        <v>52</v>
      </c>
      <c r="B15" t="s">
        <v>4</v>
      </c>
      <c r="C15" t="s">
        <v>4</v>
      </c>
      <c r="D15" t="s">
        <v>4</v>
      </c>
      <c r="E15" t="s">
        <v>5</v>
      </c>
      <c r="Y15" s="21" t="s">
        <v>61</v>
      </c>
      <c r="Z15" s="22"/>
      <c r="AA15" s="21">
        <v>2021</v>
      </c>
      <c r="AB15" s="23">
        <v>2022</v>
      </c>
      <c r="AC15" s="23">
        <v>2023</v>
      </c>
      <c r="AD15" s="23">
        <v>2024</v>
      </c>
      <c r="AE15" s="23">
        <v>2025</v>
      </c>
      <c r="AF15" s="23">
        <v>2026</v>
      </c>
      <c r="AG15" s="23">
        <v>2027</v>
      </c>
      <c r="AH15" s="23">
        <v>2028</v>
      </c>
      <c r="AI15" s="23">
        <v>2029</v>
      </c>
      <c r="AJ15" s="24">
        <v>2030</v>
      </c>
      <c r="AL15" s="18" t="s">
        <v>38</v>
      </c>
      <c r="AM15" s="69">
        <f t="shared" ref="AM15:AM17" si="11">AM4</f>
        <v>15</v>
      </c>
      <c r="BA15" s="17"/>
    </row>
    <row r="16" spans="1:53" x14ac:dyDescent="0.25">
      <c r="A16" t="s">
        <v>23</v>
      </c>
      <c r="B16" s="16">
        <f t="shared" ref="B16:D20" si="12">I3</f>
        <v>0.16135454545454544</v>
      </c>
      <c r="C16" s="16">
        <f t="shared" si="12"/>
        <v>0.15351999999999999</v>
      </c>
      <c r="D16" s="16">
        <f t="shared" si="12"/>
        <v>0.17219999999999999</v>
      </c>
      <c r="Y16" s="1" t="s">
        <v>13</v>
      </c>
      <c r="Z16" s="60">
        <f>MAX(Table18[Growth rate])</f>
        <v>0.254</v>
      </c>
      <c r="AA16" s="8">
        <f>Z16</f>
        <v>0.254</v>
      </c>
      <c r="AB16" s="9">
        <f t="shared" ref="AB16:AJ17" si="13">AA16</f>
        <v>0.254</v>
      </c>
      <c r="AC16" s="9">
        <f t="shared" si="13"/>
        <v>0.254</v>
      </c>
      <c r="AD16" s="9">
        <f t="shared" si="13"/>
        <v>0.254</v>
      </c>
      <c r="AE16" s="9">
        <f t="shared" si="13"/>
        <v>0.254</v>
      </c>
      <c r="AF16" s="9">
        <f t="shared" si="13"/>
        <v>0.254</v>
      </c>
      <c r="AG16" s="9">
        <f t="shared" si="13"/>
        <v>0.254</v>
      </c>
      <c r="AH16" s="9">
        <f t="shared" si="13"/>
        <v>0.254</v>
      </c>
      <c r="AI16" s="9">
        <f t="shared" si="13"/>
        <v>0.254</v>
      </c>
      <c r="AJ16" s="25">
        <f t="shared" si="13"/>
        <v>0.254</v>
      </c>
      <c r="AL16" s="18" t="s">
        <v>39</v>
      </c>
      <c r="AM16" s="69">
        <f t="shared" si="11"/>
        <v>330.32</v>
      </c>
      <c r="BA16" s="17"/>
    </row>
    <row r="17" spans="1:53" x14ac:dyDescent="0.25">
      <c r="A17" t="s">
        <v>24</v>
      </c>
      <c r="B17" s="16">
        <f t="shared" si="12"/>
        <v>0.13569999999999999</v>
      </c>
      <c r="C17" s="16">
        <f t="shared" si="12"/>
        <v>0.17320000000000002</v>
      </c>
      <c r="D17" s="16">
        <f t="shared" si="12"/>
        <v>0.30599999999999999</v>
      </c>
      <c r="Y17" s="18" t="s">
        <v>14</v>
      </c>
      <c r="Z17">
        <f>Z3</f>
        <v>0.15</v>
      </c>
      <c r="AA17" s="26">
        <f t="shared" ref="AA17:AJ18" si="14">Z17</f>
        <v>0.15</v>
      </c>
      <c r="AB17" s="27">
        <f t="shared" si="13"/>
        <v>0.15</v>
      </c>
      <c r="AC17" s="27">
        <f t="shared" si="13"/>
        <v>0.15</v>
      </c>
      <c r="AD17" s="27">
        <f t="shared" si="13"/>
        <v>0.15</v>
      </c>
      <c r="AE17" s="27">
        <f t="shared" si="13"/>
        <v>0.15</v>
      </c>
      <c r="AF17" s="27">
        <f t="shared" si="13"/>
        <v>0.15</v>
      </c>
      <c r="AG17" s="27">
        <f t="shared" si="13"/>
        <v>0.15</v>
      </c>
      <c r="AH17" s="27">
        <f t="shared" si="13"/>
        <v>0.15</v>
      </c>
      <c r="AI17" s="27">
        <f t="shared" si="13"/>
        <v>0.15</v>
      </c>
      <c r="AJ17" s="28">
        <f t="shared" si="13"/>
        <v>0.15</v>
      </c>
      <c r="AL17" s="5" t="s">
        <v>40</v>
      </c>
      <c r="AM17" s="70">
        <f t="shared" si="11"/>
        <v>19</v>
      </c>
      <c r="BA17" s="17"/>
    </row>
    <row r="18" spans="1:53" x14ac:dyDescent="0.25">
      <c r="A18" t="s">
        <v>25</v>
      </c>
      <c r="B18" s="16">
        <f t="shared" si="12"/>
        <v>0.3518</v>
      </c>
      <c r="C18" s="16">
        <f t="shared" si="12"/>
        <v>0.49660000000000004</v>
      </c>
      <c r="D18" s="16">
        <f t="shared" si="12"/>
        <v>1.948</v>
      </c>
      <c r="Y18" s="5" t="s">
        <v>15</v>
      </c>
      <c r="Z18" s="7">
        <f>Z4</f>
        <v>20</v>
      </c>
      <c r="AA18" s="30">
        <f t="shared" si="14"/>
        <v>20</v>
      </c>
      <c r="AB18" s="31">
        <f t="shared" si="14"/>
        <v>20</v>
      </c>
      <c r="AC18" s="31">
        <f t="shared" si="14"/>
        <v>20</v>
      </c>
      <c r="AD18" s="31">
        <f t="shared" si="14"/>
        <v>20</v>
      </c>
      <c r="AE18" s="31">
        <f t="shared" si="14"/>
        <v>20</v>
      </c>
      <c r="AF18" s="31">
        <f t="shared" si="14"/>
        <v>20</v>
      </c>
      <c r="AG18" s="31">
        <f t="shared" si="14"/>
        <v>20</v>
      </c>
      <c r="AH18" s="31">
        <f t="shared" si="14"/>
        <v>20</v>
      </c>
      <c r="AI18" s="31">
        <f t="shared" si="14"/>
        <v>20</v>
      </c>
      <c r="AJ18" s="32">
        <f t="shared" si="14"/>
        <v>20</v>
      </c>
      <c r="AL18" s="18"/>
      <c r="BA18" s="17"/>
    </row>
    <row r="19" spans="1:53" x14ac:dyDescent="0.25">
      <c r="A19" t="s">
        <v>26</v>
      </c>
      <c r="B19" s="16">
        <f t="shared" si="12"/>
        <v>0.19469999999999998</v>
      </c>
      <c r="C19" s="16">
        <f t="shared" si="12"/>
        <v>0.24440000000000001</v>
      </c>
      <c r="D19" s="16">
        <f t="shared" si="12"/>
        <v>0.50800000000000001</v>
      </c>
      <c r="Y19" s="1" t="s">
        <v>16</v>
      </c>
      <c r="Z19">
        <f>Z5</f>
        <v>11.85</v>
      </c>
      <c r="AA19" s="34">
        <f>Z19</f>
        <v>11.85</v>
      </c>
      <c r="AB19" s="35">
        <f t="shared" ref="AB19:AJ19" si="15">AA19*(1+$Z16)</f>
        <v>14.8599</v>
      </c>
      <c r="AC19" s="35">
        <f t="shared" si="15"/>
        <v>18.6343146</v>
      </c>
      <c r="AD19" s="35">
        <f t="shared" si="15"/>
        <v>23.367430508399998</v>
      </c>
      <c r="AE19" s="35">
        <f t="shared" si="15"/>
        <v>29.302757857533599</v>
      </c>
      <c r="AF19" s="35">
        <f t="shared" si="15"/>
        <v>36.745658353347132</v>
      </c>
      <c r="AG19" s="35">
        <f t="shared" si="15"/>
        <v>46.0790555750973</v>
      </c>
      <c r="AH19" s="35">
        <f t="shared" si="15"/>
        <v>57.783135691172014</v>
      </c>
      <c r="AI19" s="35">
        <f t="shared" si="15"/>
        <v>72.460052156729702</v>
      </c>
      <c r="AJ19" s="36">
        <f t="shared" si="15"/>
        <v>90.864905404539044</v>
      </c>
      <c r="AL19" s="21"/>
      <c r="AM19" s="24"/>
      <c r="AN19" s="21">
        <v>1</v>
      </c>
      <c r="AO19" s="23">
        <v>2</v>
      </c>
      <c r="AP19" s="23">
        <v>3</v>
      </c>
      <c r="AQ19" s="23">
        <v>4</v>
      </c>
      <c r="AR19" s="23">
        <v>5</v>
      </c>
      <c r="AS19" s="23">
        <v>6</v>
      </c>
      <c r="AT19" s="23">
        <v>7</v>
      </c>
      <c r="AU19" s="23">
        <v>8</v>
      </c>
      <c r="AV19" s="23">
        <v>9</v>
      </c>
      <c r="AW19" s="23">
        <v>10</v>
      </c>
      <c r="AX19" s="24">
        <v>10</v>
      </c>
      <c r="AY19" s="46" t="s">
        <v>41</v>
      </c>
      <c r="AZ19" s="46" t="s">
        <v>62</v>
      </c>
      <c r="BA19" s="47" t="s">
        <v>63</v>
      </c>
    </row>
    <row r="20" spans="1:53" x14ac:dyDescent="0.25">
      <c r="A20" t="s">
        <v>27</v>
      </c>
      <c r="B20" s="16">
        <f t="shared" si="12"/>
        <v>0.19209999999999999</v>
      </c>
      <c r="C20" s="16">
        <f t="shared" si="12"/>
        <v>6.9600000000000009E-2</v>
      </c>
      <c r="D20" s="16">
        <f t="shared" si="12"/>
        <v>-8.3000000000000004E-2</v>
      </c>
      <c r="Y20" s="5" t="s">
        <v>19</v>
      </c>
      <c r="Z20" s="37">
        <f>AA20</f>
        <v>516.58954360187874</v>
      </c>
      <c r="AA20" s="38">
        <f t="shared" ref="AA20:AI20" si="16">AB20/(1+$Z17)</f>
        <v>516.58954360187874</v>
      </c>
      <c r="AB20" s="38">
        <f t="shared" si="16"/>
        <v>594.07797514216054</v>
      </c>
      <c r="AC20" s="38">
        <f t="shared" si="16"/>
        <v>683.18967141348458</v>
      </c>
      <c r="AD20" s="38">
        <f t="shared" si="16"/>
        <v>785.66812212550724</v>
      </c>
      <c r="AE20" s="38">
        <f t="shared" si="16"/>
        <v>903.51834044433326</v>
      </c>
      <c r="AF20" s="38">
        <f t="shared" si="16"/>
        <v>1039.0460915109832</v>
      </c>
      <c r="AG20" s="38">
        <f t="shared" si="16"/>
        <v>1194.9030052376306</v>
      </c>
      <c r="AH20" s="38">
        <f t="shared" si="16"/>
        <v>1374.138456023275</v>
      </c>
      <c r="AI20" s="38">
        <f t="shared" si="16"/>
        <v>1580.2592244267662</v>
      </c>
      <c r="AJ20" s="39">
        <f>AJ19*$Z18</f>
        <v>1817.2981080907809</v>
      </c>
      <c r="AL20" s="1" t="s">
        <v>42</v>
      </c>
      <c r="AM20" s="10"/>
      <c r="AN20" s="48">
        <f>$AM12</f>
        <v>346</v>
      </c>
      <c r="AO20" s="49">
        <f t="shared" ref="AO20:AW20" si="17">AN20+AN20*$AM13</f>
        <v>411.35939999999999</v>
      </c>
      <c r="AP20" s="49">
        <f t="shared" si="17"/>
        <v>489.06519065999998</v>
      </c>
      <c r="AQ20" s="49">
        <f t="shared" si="17"/>
        <v>581.44960517567392</v>
      </c>
      <c r="AR20" s="49">
        <f t="shared" si="17"/>
        <v>691.28543559335867</v>
      </c>
      <c r="AS20" s="49">
        <f t="shared" si="17"/>
        <v>821.86925437694413</v>
      </c>
      <c r="AT20" s="49">
        <f t="shared" si="17"/>
        <v>977.12035652874886</v>
      </c>
      <c r="AU20" s="49">
        <f t="shared" si="17"/>
        <v>1161.6983918770295</v>
      </c>
      <c r="AV20" s="49">
        <f t="shared" si="17"/>
        <v>1381.1432181026003</v>
      </c>
      <c r="AW20" s="49">
        <f t="shared" si="17"/>
        <v>1642.0411720021814</v>
      </c>
      <c r="AX20" s="50">
        <f>$AM15*AW20</f>
        <v>24630.617580032722</v>
      </c>
      <c r="AY20" s="51"/>
      <c r="AZ20" s="49"/>
      <c r="BA20" s="10"/>
    </row>
    <row r="21" spans="1:53" x14ac:dyDescent="0.25">
      <c r="A21" t="s">
        <v>28</v>
      </c>
      <c r="E21" s="57">
        <f>L8</f>
        <v>4</v>
      </c>
      <c r="AL21" s="5" t="s">
        <v>43</v>
      </c>
      <c r="AM21" s="7"/>
      <c r="AN21" s="52">
        <f>AN20/(1+$AM14)</f>
        <v>300.86956521739131</v>
      </c>
      <c r="AO21" s="53">
        <f t="shared" ref="AO21:AW21" si="18">(1+$AM13)*AN21/(1+$AM14)</f>
        <v>311.04680529300572</v>
      </c>
      <c r="AP21" s="53">
        <f t="shared" si="18"/>
        <v>321.56830157639524</v>
      </c>
      <c r="AQ21" s="53">
        <f t="shared" si="18"/>
        <v>332.44569890797948</v>
      </c>
      <c r="AR21" s="53">
        <f t="shared" si="18"/>
        <v>343.69103602756246</v>
      </c>
      <c r="AS21" s="53">
        <f t="shared" si="18"/>
        <v>355.3167588984079</v>
      </c>
      <c r="AT21" s="53">
        <f t="shared" si="18"/>
        <v>367.33573448201497</v>
      </c>
      <c r="AU21" s="53">
        <f t="shared" si="18"/>
        <v>379.76126497884144</v>
      </c>
      <c r="AV21" s="53">
        <f t="shared" si="18"/>
        <v>392.60710255073451</v>
      </c>
      <c r="AW21" s="53">
        <f t="shared" si="18"/>
        <v>405.88746454136378</v>
      </c>
      <c r="AX21" s="54">
        <f>AX20/(1+AM14)^AX19</f>
        <v>6088.3119681204516</v>
      </c>
      <c r="AY21" s="53">
        <f>SUM(AN21:AX21)</f>
        <v>9598.8417005941483</v>
      </c>
      <c r="AZ21" s="53">
        <f>AY21+AM16</f>
        <v>9929.161700594148</v>
      </c>
      <c r="BA21" s="55">
        <f>AZ21/AM17</f>
        <v>522.5874579260078</v>
      </c>
    </row>
    <row r="22" spans="1:53" x14ac:dyDescent="0.25">
      <c r="AN22" s="75"/>
      <c r="AO22" s="75"/>
      <c r="AP22" s="75"/>
      <c r="AQ22" s="75"/>
      <c r="AR22" s="75"/>
      <c r="AS22" s="75"/>
      <c r="AT22" s="75"/>
      <c r="AU22" s="75"/>
      <c r="AV22" s="75"/>
      <c r="AW22" s="75"/>
      <c r="AX22" s="75"/>
      <c r="AY22" s="75"/>
      <c r="AZ22" s="75"/>
      <c r="BA22" s="76"/>
    </row>
    <row r="23" spans="1:53" ht="18.75" x14ac:dyDescent="0.3">
      <c r="A23" s="56" t="s">
        <v>30</v>
      </c>
      <c r="AL23" s="1" t="s">
        <v>35</v>
      </c>
      <c r="AM23" s="22">
        <f>AM1</f>
        <v>346</v>
      </c>
      <c r="AN23" s="42"/>
      <c r="AO23" s="42"/>
      <c r="AP23" s="42"/>
      <c r="AQ23" s="42"/>
      <c r="AR23" s="42"/>
      <c r="AS23" s="42"/>
      <c r="AT23" s="42"/>
      <c r="AU23" s="42"/>
      <c r="AV23" s="42"/>
      <c r="AW23" s="42"/>
      <c r="AX23" s="42"/>
      <c r="AY23" s="42"/>
      <c r="AZ23" s="42"/>
      <c r="BA23" s="10"/>
    </row>
    <row r="24" spans="1:53" ht="30" x14ac:dyDescent="0.25">
      <c r="A24" t="s">
        <v>18</v>
      </c>
      <c r="B24" s="41" t="s">
        <v>20</v>
      </c>
      <c r="C24" s="41" t="s">
        <v>31</v>
      </c>
      <c r="D24" s="41" t="s">
        <v>21</v>
      </c>
      <c r="E24" s="41" t="s">
        <v>22</v>
      </c>
      <c r="AL24" s="18" t="s">
        <v>36</v>
      </c>
      <c r="AM24" s="71">
        <f>Z16</f>
        <v>0.254</v>
      </c>
      <c r="BA24" s="17"/>
    </row>
    <row r="25" spans="1:53" x14ac:dyDescent="0.25">
      <c r="A25" s="16">
        <f>B17</f>
        <v>0.13569999999999999</v>
      </c>
      <c r="B25" s="73">
        <f>Z6</f>
        <v>211.75828688526474</v>
      </c>
      <c r="C25" s="63">
        <f>1-$B$6/Table18[[#This Row],[Fair Value
Method 1]]</f>
        <v>0.49791811426201005</v>
      </c>
      <c r="D25" s="66">
        <f>BA10</f>
        <v>379.39492946755183</v>
      </c>
      <c r="E25" s="63">
        <f>1-$B$6/Table18[[#This Row],[Fair Value 
Method 2]]</f>
        <v>0.71976430958312765</v>
      </c>
      <c r="AL25" s="18" t="s">
        <v>37</v>
      </c>
      <c r="AM25" s="69">
        <f>AM3</f>
        <v>0.15</v>
      </c>
      <c r="BA25" s="17"/>
    </row>
    <row r="26" spans="1:53" x14ac:dyDescent="0.25">
      <c r="A26" s="61">
        <v>0.17699999999999999</v>
      </c>
      <c r="B26" s="73">
        <f>Z13</f>
        <v>319.72435971314644</v>
      </c>
      <c r="C26" s="63">
        <f>1-$B$6/Table18[[#This Row],[Fair Value
Method 1]]</f>
        <v>0.66746356112687422</v>
      </c>
      <c r="D26" s="66">
        <f>BA21</f>
        <v>522.5874579260078</v>
      </c>
      <c r="E26" s="63">
        <f>1-$B$6/Table18[[#This Row],[Fair Value 
Method 2]]</f>
        <v>0.79655080046897409</v>
      </c>
      <c r="AL26" s="18" t="s">
        <v>38</v>
      </c>
      <c r="AM26" s="69">
        <f>AM4</f>
        <v>15</v>
      </c>
      <c r="BA26" s="17"/>
    </row>
    <row r="27" spans="1:53" x14ac:dyDescent="0.25">
      <c r="A27" s="61">
        <v>0.254</v>
      </c>
      <c r="B27" s="73">
        <f>Z20</f>
        <v>516.58954360187874</v>
      </c>
      <c r="C27" s="63">
        <f>1-$B$6/Table18[[#This Row],[Fair Value
Method 1]]</f>
        <v>0.79418863328380129</v>
      </c>
      <c r="D27" s="41">
        <v>776</v>
      </c>
      <c r="E27" s="63">
        <f>1-$B$6/Table18[[#This Row],[Fair Value 
Method 2]]</f>
        <v>0.86298969072164944</v>
      </c>
      <c r="AL27" s="18" t="s">
        <v>39</v>
      </c>
      <c r="AM27" s="69">
        <f>AM5</f>
        <v>330.32</v>
      </c>
      <c r="BA27" s="17"/>
    </row>
    <row r="28" spans="1:53" x14ac:dyDescent="0.25">
      <c r="AL28" s="5" t="s">
        <v>40</v>
      </c>
      <c r="AM28" s="70">
        <f>AM6</f>
        <v>19</v>
      </c>
      <c r="BA28" s="17"/>
    </row>
    <row r="29" spans="1:53" ht="18.75" x14ac:dyDescent="0.3">
      <c r="A29" s="56" t="s">
        <v>64</v>
      </c>
      <c r="AL29" s="18"/>
      <c r="BA29" s="17"/>
    </row>
    <row r="30" spans="1:53" x14ac:dyDescent="0.25">
      <c r="A30" s="77" t="s">
        <v>66</v>
      </c>
      <c r="AL30" s="21"/>
      <c r="AM30" s="24"/>
      <c r="AN30" s="21">
        <v>1</v>
      </c>
      <c r="AO30" s="23">
        <v>2</v>
      </c>
      <c r="AP30" s="23">
        <v>3</v>
      </c>
      <c r="AQ30" s="23">
        <v>4</v>
      </c>
      <c r="AR30" s="23">
        <v>5</v>
      </c>
      <c r="AS30" s="23">
        <v>6</v>
      </c>
      <c r="AT30" s="23">
        <v>7</v>
      </c>
      <c r="AU30" s="23">
        <v>8</v>
      </c>
      <c r="AV30" s="23">
        <v>9</v>
      </c>
      <c r="AW30" s="23">
        <v>10</v>
      </c>
      <c r="AX30" s="24">
        <v>10</v>
      </c>
      <c r="AY30" s="46" t="s">
        <v>41</v>
      </c>
      <c r="AZ30" s="46" t="s">
        <v>62</v>
      </c>
      <c r="BA30" s="47" t="s">
        <v>63</v>
      </c>
    </row>
    <row r="31" spans="1:53" x14ac:dyDescent="0.25">
      <c r="AL31" s="1" t="s">
        <v>42</v>
      </c>
      <c r="AM31" s="10"/>
      <c r="AN31" s="48">
        <f>$AM23</f>
        <v>346</v>
      </c>
      <c r="AO31" s="49">
        <f t="shared" ref="AO31:AW31" si="19">AN31+AN31*$AM24</f>
        <v>433.88400000000001</v>
      </c>
      <c r="AP31" s="49">
        <f t="shared" si="19"/>
        <v>544.09053600000004</v>
      </c>
      <c r="AQ31" s="49">
        <f t="shared" si="19"/>
        <v>682.28953214400008</v>
      </c>
      <c r="AR31" s="49">
        <f t="shared" si="19"/>
        <v>855.59107330857614</v>
      </c>
      <c r="AS31" s="49">
        <f t="shared" si="19"/>
        <v>1072.9112059289546</v>
      </c>
      <c r="AT31" s="49">
        <f t="shared" si="19"/>
        <v>1345.4306522349091</v>
      </c>
      <c r="AU31" s="49">
        <f t="shared" si="19"/>
        <v>1687.170037902576</v>
      </c>
      <c r="AV31" s="49">
        <f t="shared" si="19"/>
        <v>2115.7112275298305</v>
      </c>
      <c r="AW31" s="49">
        <f t="shared" si="19"/>
        <v>2653.1018793224075</v>
      </c>
      <c r="AX31" s="50">
        <f>$AM26*AW31</f>
        <v>39796.528189836114</v>
      </c>
      <c r="AY31" s="51"/>
      <c r="AZ31" s="49"/>
      <c r="BA31" s="10"/>
    </row>
    <row r="32" spans="1:53" x14ac:dyDescent="0.25">
      <c r="AL32" s="5" t="s">
        <v>43</v>
      </c>
      <c r="AM32" s="7"/>
      <c r="AN32" s="52">
        <f>AN31/(1+$AM25)</f>
        <v>300.86956521739131</v>
      </c>
      <c r="AO32" s="53">
        <f t="shared" ref="AO32:AW32" si="20">(1+$AM24)*AN32/(1+$AM25)</f>
        <v>328.07863894139888</v>
      </c>
      <c r="AP32" s="53">
        <f t="shared" si="20"/>
        <v>357.74835933262108</v>
      </c>
      <c r="AQ32" s="53">
        <f t="shared" si="20"/>
        <v>390.10125443748427</v>
      </c>
      <c r="AR32" s="53">
        <f t="shared" si="20"/>
        <v>425.37997657791766</v>
      </c>
      <c r="AS32" s="53">
        <f t="shared" si="20"/>
        <v>463.84912228583374</v>
      </c>
      <c r="AT32" s="53">
        <f t="shared" si="20"/>
        <v>505.79721682298742</v>
      </c>
      <c r="AU32" s="53">
        <f t="shared" si="20"/>
        <v>551.53887817045768</v>
      </c>
      <c r="AV32" s="53">
        <f t="shared" si="20"/>
        <v>601.4171767180469</v>
      </c>
      <c r="AW32" s="53">
        <f t="shared" si="20"/>
        <v>655.80620835167906</v>
      </c>
      <c r="AX32" s="54">
        <f>AX31/(1+AM25)^AX30</f>
        <v>9837.0931252751907</v>
      </c>
      <c r="AY32" s="53">
        <f>SUM(AN32:AX32)</f>
        <v>14417.679522131009</v>
      </c>
      <c r="AZ32" s="53">
        <f>AY32+AM27</f>
        <v>14747.999522131009</v>
      </c>
      <c r="BA32" s="55">
        <f>AZ32/AM28</f>
        <v>776.21050116479</v>
      </c>
    </row>
    <row r="36" spans="4:7" x14ac:dyDescent="0.25">
      <c r="D36" s="78"/>
      <c r="E36" s="78"/>
      <c r="G36" s="79"/>
    </row>
    <row r="39" spans="4:7" x14ac:dyDescent="0.25">
      <c r="D39" s="41"/>
    </row>
  </sheetData>
  <mergeCells count="11">
    <mergeCell ref="S1:S2"/>
    <mergeCell ref="T1:T2"/>
    <mergeCell ref="U1:U2"/>
    <mergeCell ref="V1:V2"/>
    <mergeCell ref="W1:W2"/>
    <mergeCell ref="R1:R2"/>
    <mergeCell ref="M1:M2"/>
    <mergeCell ref="N1:N2"/>
    <mergeCell ref="O1:O2"/>
    <mergeCell ref="P1:P2"/>
    <mergeCell ref="Q1:Q2"/>
  </mergeCells>
  <conditionalFormatting sqref="L8">
    <cfRule type="cellIs" dxfId="205" priority="20" operator="greaterThan">
      <formula>3</formula>
    </cfRule>
    <cfRule type="cellIs" dxfId="204" priority="21" operator="lessThan">
      <formula>3</formula>
    </cfRule>
  </conditionalFormatting>
  <conditionalFormatting sqref="I3:K7">
    <cfRule type="cellIs" dxfId="203" priority="17" operator="between">
      <formula>0.05</formula>
      <formula>0.1</formula>
    </cfRule>
    <cfRule type="cellIs" dxfId="202" priority="18" operator="lessThan">
      <formula>0.05</formula>
    </cfRule>
    <cfRule type="cellIs" dxfId="201" priority="19" operator="greaterThan">
      <formula>0.1</formula>
    </cfRule>
  </conditionalFormatting>
  <conditionalFormatting sqref="M3:W3">
    <cfRule type="dataBar" priority="16">
      <dataBar>
        <cfvo type="min"/>
        <cfvo type="max"/>
        <color rgb="FF63C384"/>
      </dataBar>
      <extLst>
        <ext xmlns:x14="http://schemas.microsoft.com/office/spreadsheetml/2009/9/main" uri="{B025F937-C7B1-47D3-B67F-A62EFF666E3E}">
          <x14:id>{0AD2C017-626F-4EB4-A56C-0CBC467F7EEC}</x14:id>
        </ext>
      </extLst>
    </cfRule>
  </conditionalFormatting>
  <conditionalFormatting sqref="N4:W4">
    <cfRule type="dataBar" priority="15">
      <dataBar>
        <cfvo type="min"/>
        <cfvo type="max"/>
        <color rgb="FF63C384"/>
      </dataBar>
      <extLst>
        <ext xmlns:x14="http://schemas.microsoft.com/office/spreadsheetml/2009/9/main" uri="{B025F937-C7B1-47D3-B67F-A62EFF666E3E}">
          <x14:id>{AF193BD8-A133-45D8-8A59-6200A6F35EF1}</x14:id>
        </ext>
      </extLst>
    </cfRule>
  </conditionalFormatting>
  <conditionalFormatting sqref="N5:W5">
    <cfRule type="dataBar" priority="14">
      <dataBar>
        <cfvo type="min"/>
        <cfvo type="max"/>
        <color rgb="FF63C384"/>
      </dataBar>
      <extLst>
        <ext xmlns:x14="http://schemas.microsoft.com/office/spreadsheetml/2009/9/main" uri="{B025F937-C7B1-47D3-B67F-A62EFF666E3E}">
          <x14:id>{ABC0A7FD-4E1B-4543-B225-6D4FA7FC38A8}</x14:id>
        </ext>
      </extLst>
    </cfRule>
  </conditionalFormatting>
  <conditionalFormatting sqref="N6:W6">
    <cfRule type="dataBar" priority="13">
      <dataBar>
        <cfvo type="min"/>
        <cfvo type="max"/>
        <color rgb="FF63C384"/>
      </dataBar>
      <extLst>
        <ext xmlns:x14="http://schemas.microsoft.com/office/spreadsheetml/2009/9/main" uri="{B025F937-C7B1-47D3-B67F-A62EFF666E3E}">
          <x14:id>{C34BD017-2655-4EC7-8813-1DD9D013F5A3}</x14:id>
        </ext>
      </extLst>
    </cfRule>
  </conditionalFormatting>
  <conditionalFormatting sqref="N7:W7">
    <cfRule type="dataBar" priority="12">
      <dataBar>
        <cfvo type="min"/>
        <cfvo type="max"/>
        <color rgb="FF63C384"/>
      </dataBar>
      <extLst>
        <ext xmlns:x14="http://schemas.microsoft.com/office/spreadsheetml/2009/9/main" uri="{B025F937-C7B1-47D3-B67F-A62EFF666E3E}">
          <x14:id>{EB63445F-0923-4FBA-AC67-E33688FB9A0C}</x14:id>
        </ext>
      </extLst>
    </cfRule>
  </conditionalFormatting>
  <conditionalFormatting sqref="E21">
    <cfRule type="cellIs" dxfId="200" priority="10" operator="greaterThan">
      <formula>3</formula>
    </cfRule>
    <cfRule type="cellIs" dxfId="199" priority="11" operator="lessThan">
      <formula>3</formula>
    </cfRule>
  </conditionalFormatting>
  <conditionalFormatting sqref="B16:D20">
    <cfRule type="cellIs" dxfId="198" priority="7" operator="between">
      <formula>0.05</formula>
      <formula>0.1</formula>
    </cfRule>
    <cfRule type="cellIs" dxfId="197" priority="8" operator="lessThan">
      <formula>0.05</formula>
    </cfRule>
    <cfRule type="cellIs" dxfId="196" priority="9" operator="greaterThan">
      <formula>0.1</formula>
    </cfRule>
  </conditionalFormatting>
  <conditionalFormatting sqref="C25:C27">
    <cfRule type="cellIs" dxfId="195" priority="4" operator="lessThan">
      <formula>0</formula>
    </cfRule>
    <cfRule type="cellIs" dxfId="194" priority="5" operator="between">
      <formula>0</formula>
      <formula>0.3</formula>
    </cfRule>
    <cfRule type="cellIs" dxfId="193" priority="6" operator="greaterThan">
      <formula>0.3</formula>
    </cfRule>
  </conditionalFormatting>
  <conditionalFormatting sqref="E25:E27">
    <cfRule type="cellIs" dxfId="192" priority="1" operator="lessThan">
      <formula>0</formula>
    </cfRule>
    <cfRule type="cellIs" dxfId="191" priority="2" operator="between">
      <formula>0</formula>
      <formula>0.3</formula>
    </cfRule>
    <cfRule type="cellIs" dxfId="190" priority="3" operator="greaterThan">
      <formula>0.3</formula>
    </cfRule>
  </conditionalFormatting>
  <hyperlinks>
    <hyperlink ref="B4" r:id="rId1" xr:uid="{4681F6DC-50DF-42A9-8EB7-E8B2B22A7C4D}"/>
    <hyperlink ref="A30" r:id="rId2" xr:uid="{94854628-5424-4364-A146-639B6BF7C318}"/>
  </hyperlinks>
  <pageMargins left="0.7" right="0.7" top="0.75" bottom="0.75" header="0.3" footer="0.3"/>
  <pageSetup paperSize="9" orientation="portrait" r:id="rId3"/>
  <legacyDrawing r:id="rId4"/>
  <tableParts count="3">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dataBar" id="{0AD2C017-626F-4EB4-A56C-0CBC467F7EEC}">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AF193BD8-A133-45D8-8A59-6200A6F35EF1}">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ABC0A7FD-4E1B-4543-B225-6D4FA7FC38A8}">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C34BD017-2655-4EC7-8813-1DD9D013F5A3}">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EB63445F-0923-4FBA-AC67-E33688FB9A0C}">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9B189-A831-47F8-984B-1C08DDE63DAA}">
  <dimension ref="A1:BA41"/>
  <sheetViews>
    <sheetView workbookViewId="0">
      <selection activeCell="G22" sqref="G22"/>
    </sheetView>
  </sheetViews>
  <sheetFormatPr defaultRowHeight="15" x14ac:dyDescent="0.25"/>
  <cols>
    <col min="1" max="1" width="19.85546875" bestFit="1" customWidth="1"/>
    <col min="2" max="2" width="18.5703125" customWidth="1"/>
    <col min="3" max="4" width="14.4257812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346</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MIN(B24:D24)</f>
        <v>0.13600000000000001</v>
      </c>
      <c r="AA2" s="8">
        <f>Z2</f>
        <v>0.13600000000000001</v>
      </c>
      <c r="AB2" s="9">
        <f t="shared" ref="AB2:AJ3" si="1">AA2</f>
        <v>0.13600000000000001</v>
      </c>
      <c r="AC2" s="9">
        <f t="shared" si="1"/>
        <v>0.13600000000000001</v>
      </c>
      <c r="AD2" s="9">
        <f t="shared" si="1"/>
        <v>0.13600000000000001</v>
      </c>
      <c r="AE2" s="9">
        <f t="shared" si="1"/>
        <v>0.13600000000000001</v>
      </c>
      <c r="AF2" s="9">
        <f t="shared" si="1"/>
        <v>0.13600000000000001</v>
      </c>
      <c r="AG2" s="9">
        <f t="shared" si="1"/>
        <v>0.13600000000000001</v>
      </c>
      <c r="AH2" s="9">
        <f t="shared" si="1"/>
        <v>0.13600000000000001</v>
      </c>
      <c r="AI2" s="9">
        <f t="shared" si="1"/>
        <v>0.13600000000000001</v>
      </c>
      <c r="AJ2" s="25">
        <f t="shared" si="1"/>
        <v>0.13600000000000001</v>
      </c>
      <c r="AL2" s="18" t="s">
        <v>36</v>
      </c>
      <c r="AM2" s="67">
        <f>Z2</f>
        <v>0.13600000000000001</v>
      </c>
      <c r="BA2" s="17"/>
    </row>
    <row r="3" spans="1:53" x14ac:dyDescent="0.25">
      <c r="A3" t="s">
        <v>49</v>
      </c>
      <c r="B3" s="58" t="s">
        <v>53</v>
      </c>
      <c r="H3" s="2" t="s">
        <v>6</v>
      </c>
      <c r="I3" s="8">
        <f>AVERAGE(M3:W3)</f>
        <v>0.13405454545454545</v>
      </c>
      <c r="J3" s="9">
        <f>AVERAGE(S3:W3)</f>
        <v>0.17861999999999997</v>
      </c>
      <c r="K3" s="9">
        <f>W3</f>
        <v>0.17069999999999999</v>
      </c>
      <c r="L3" s="10" t="s">
        <v>7</v>
      </c>
      <c r="M3" s="11">
        <v>7.7100000000000002E-2</v>
      </c>
      <c r="N3" s="12">
        <v>3.8199999999999998E-2</v>
      </c>
      <c r="O3" s="12">
        <v>8.2500000000000004E-2</v>
      </c>
      <c r="P3" s="12">
        <v>5.3499999999999999E-2</v>
      </c>
      <c r="Q3" s="12">
        <v>0.1431</v>
      </c>
      <c r="R3" s="12">
        <v>0.18710000000000002</v>
      </c>
      <c r="S3" s="12">
        <v>0.21940000000000001</v>
      </c>
      <c r="T3" s="12">
        <v>0.22519999999999998</v>
      </c>
      <c r="U3" s="12">
        <v>0.1565</v>
      </c>
      <c r="V3" s="12">
        <v>0.12130000000000001</v>
      </c>
      <c r="W3" s="13">
        <v>0.17069999999999999</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95</v>
      </c>
      <c r="H4" s="14" t="s">
        <v>8</v>
      </c>
      <c r="I4" s="15">
        <f>AVERAGE(M4:W4)</f>
        <v>0.13930000000000001</v>
      </c>
      <c r="J4" s="16">
        <f>AVERAGE(S4:W4)</f>
        <v>0.19500000000000001</v>
      </c>
      <c r="K4" s="16">
        <f>W4</f>
        <v>0.155</v>
      </c>
      <c r="L4" s="17" t="s">
        <v>7</v>
      </c>
      <c r="M4" s="18" t="s">
        <v>7</v>
      </c>
      <c r="N4" s="12">
        <v>4.8000000000000001E-2</v>
      </c>
      <c r="O4" s="12">
        <v>5.3999999999999999E-2</v>
      </c>
      <c r="P4" s="12">
        <v>7.3999999999999996E-2</v>
      </c>
      <c r="Q4" s="12">
        <v>6.6000000000000003E-2</v>
      </c>
      <c r="R4" s="12">
        <v>0.17599999999999999</v>
      </c>
      <c r="S4" s="12">
        <v>0.21</v>
      </c>
      <c r="T4" s="12">
        <v>0.23499999999999999</v>
      </c>
      <c r="U4" s="12">
        <v>0.23</v>
      </c>
      <c r="V4" s="12">
        <v>0.14499999999999999</v>
      </c>
      <c r="W4" s="13">
        <v>0.155</v>
      </c>
      <c r="Y4" s="5" t="s">
        <v>15</v>
      </c>
      <c r="Z4" s="29">
        <v>20</v>
      </c>
      <c r="AA4" s="30">
        <f t="shared" si="2"/>
        <v>20</v>
      </c>
      <c r="AB4" s="31">
        <f t="shared" si="2"/>
        <v>20</v>
      </c>
      <c r="AC4" s="31">
        <f t="shared" si="2"/>
        <v>20</v>
      </c>
      <c r="AD4" s="31">
        <f t="shared" si="2"/>
        <v>20</v>
      </c>
      <c r="AE4" s="31">
        <f t="shared" si="2"/>
        <v>20</v>
      </c>
      <c r="AF4" s="31">
        <f t="shared" si="2"/>
        <v>20</v>
      </c>
      <c r="AG4" s="31">
        <f t="shared" si="2"/>
        <v>20</v>
      </c>
      <c r="AH4" s="31">
        <f t="shared" si="2"/>
        <v>20</v>
      </c>
      <c r="AI4" s="31">
        <f t="shared" si="2"/>
        <v>20</v>
      </c>
      <c r="AJ4" s="32">
        <f t="shared" si="2"/>
        <v>20</v>
      </c>
      <c r="AL4" s="18" t="s">
        <v>38</v>
      </c>
      <c r="AM4" s="64">
        <v>15</v>
      </c>
      <c r="BA4" s="17"/>
    </row>
    <row r="5" spans="1:53" x14ac:dyDescent="0.25">
      <c r="A5" t="s">
        <v>34</v>
      </c>
      <c r="B5" s="59">
        <v>44896</v>
      </c>
      <c r="H5" s="14" t="s">
        <v>9</v>
      </c>
      <c r="I5" s="15">
        <f>AVERAGE(M5:W5)</f>
        <v>0.40280000000000005</v>
      </c>
      <c r="J5" s="16">
        <f>AVERAGE(S5:W5)</f>
        <v>0.2412</v>
      </c>
      <c r="K5" s="16">
        <f>W5</f>
        <v>0.59799999999999998</v>
      </c>
      <c r="L5" s="17" t="s">
        <v>7</v>
      </c>
      <c r="M5" s="18" t="s">
        <v>7</v>
      </c>
      <c r="N5" s="12">
        <v>-0.47499999999999998</v>
      </c>
      <c r="O5" s="12">
        <v>1.25</v>
      </c>
      <c r="P5" s="12">
        <v>-0.33300000000000002</v>
      </c>
      <c r="Q5" s="12">
        <v>1.87</v>
      </c>
      <c r="R5" s="12">
        <v>0.51</v>
      </c>
      <c r="S5" s="12">
        <v>0.41699999999999998</v>
      </c>
      <c r="T5" s="12">
        <v>0.46300000000000002</v>
      </c>
      <c r="U5" s="12">
        <v>-0.105</v>
      </c>
      <c r="V5" s="12">
        <v>-0.16700000000000001</v>
      </c>
      <c r="W5" s="13">
        <v>0.59799999999999998</v>
      </c>
      <c r="Y5" s="1" t="s">
        <v>16</v>
      </c>
      <c r="Z5" s="33">
        <v>11.85</v>
      </c>
      <c r="AA5" s="34">
        <f>Z5</f>
        <v>11.85</v>
      </c>
      <c r="AB5" s="35">
        <f t="shared" ref="AB5:AJ5" si="3">AA5*(1+$Z2)</f>
        <v>13.461600000000001</v>
      </c>
      <c r="AC5" s="35">
        <f t="shared" si="3"/>
        <v>15.292377600000002</v>
      </c>
      <c r="AD5" s="35">
        <f t="shared" si="3"/>
        <v>17.372140953600002</v>
      </c>
      <c r="AE5" s="35">
        <f t="shared" si="3"/>
        <v>19.734752123289606</v>
      </c>
      <c r="AF5" s="35">
        <f t="shared" si="3"/>
        <v>22.418678412056995</v>
      </c>
      <c r="AG5" s="35">
        <f t="shared" si="3"/>
        <v>25.467618676096748</v>
      </c>
      <c r="AH5" s="35">
        <f t="shared" si="3"/>
        <v>28.931214816045909</v>
      </c>
      <c r="AI5" s="35">
        <f t="shared" si="3"/>
        <v>32.865860031028156</v>
      </c>
      <c r="AJ5" s="36">
        <f t="shared" si="3"/>
        <v>37.335616995247989</v>
      </c>
      <c r="AL5" s="18" t="s">
        <v>39</v>
      </c>
      <c r="AM5" s="40">
        <v>330.32</v>
      </c>
      <c r="BA5" s="17"/>
    </row>
    <row r="6" spans="1:53" x14ac:dyDescent="0.25">
      <c r="A6" t="s">
        <v>44</v>
      </c>
      <c r="B6" s="62">
        <v>181.1</v>
      </c>
      <c r="H6" s="14" t="s">
        <v>10</v>
      </c>
      <c r="I6" s="15">
        <f>AVERAGE(M6:W6)</f>
        <v>0.15539999999999998</v>
      </c>
      <c r="J6" s="16">
        <f>AVERAGE(S6:W6)</f>
        <v>0.18779999999999997</v>
      </c>
      <c r="K6" s="16">
        <f>W6</f>
        <v>0.34300000000000003</v>
      </c>
      <c r="L6" s="17" t="s">
        <v>7</v>
      </c>
      <c r="M6" s="18" t="s">
        <v>7</v>
      </c>
      <c r="N6" s="12">
        <v>-1.2E-2</v>
      </c>
      <c r="O6" s="12">
        <v>0.106</v>
      </c>
      <c r="P6" s="12">
        <v>9.0999999999999998E-2</v>
      </c>
      <c r="Q6" s="12">
        <v>0.20499999999999999</v>
      </c>
      <c r="R6" s="12">
        <v>0.22500000000000001</v>
      </c>
      <c r="S6" s="12">
        <v>0.29599999999999999</v>
      </c>
      <c r="T6" s="12">
        <v>0.35599999999999998</v>
      </c>
      <c r="U6" s="12">
        <v>6.0000000000000001E-3</v>
      </c>
      <c r="V6" s="12">
        <v>-6.2E-2</v>
      </c>
      <c r="W6" s="13">
        <v>0.34300000000000003</v>
      </c>
      <c r="Y6" s="5" t="s">
        <v>19</v>
      </c>
      <c r="Z6" s="37">
        <f>AA6</f>
        <v>212.262250841525</v>
      </c>
      <c r="AA6" s="38">
        <f t="shared" ref="AA6:AI6" si="4">AB6/(1+$Z3)</f>
        <v>212.262250841525</v>
      </c>
      <c r="AB6" s="38">
        <f t="shared" si="4"/>
        <v>244.10158846775374</v>
      </c>
      <c r="AC6" s="38">
        <f t="shared" si="4"/>
        <v>280.71682673791679</v>
      </c>
      <c r="AD6" s="38">
        <f t="shared" si="4"/>
        <v>322.82435074860427</v>
      </c>
      <c r="AE6" s="38">
        <f t="shared" si="4"/>
        <v>371.24800336089487</v>
      </c>
      <c r="AF6" s="38">
        <f t="shared" si="4"/>
        <v>426.93520386502905</v>
      </c>
      <c r="AG6" s="38">
        <f t="shared" si="4"/>
        <v>490.97548444478338</v>
      </c>
      <c r="AH6" s="38">
        <f t="shared" si="4"/>
        <v>564.62180711150086</v>
      </c>
      <c r="AI6" s="38">
        <f t="shared" si="4"/>
        <v>649.31507817822592</v>
      </c>
      <c r="AJ6" s="39">
        <f>AJ5*$Z4</f>
        <v>746.71233990495978</v>
      </c>
      <c r="AL6" s="5" t="s">
        <v>40</v>
      </c>
      <c r="AM6" s="45">
        <v>19</v>
      </c>
      <c r="BA6" s="17"/>
    </row>
    <row r="7" spans="1:53" x14ac:dyDescent="0.25">
      <c r="A7" t="s">
        <v>45</v>
      </c>
      <c r="B7" s="58" t="s">
        <v>100</v>
      </c>
      <c r="H7" s="14" t="s">
        <v>11</v>
      </c>
      <c r="I7" s="15">
        <f>AVERAGE(M7:W7)</f>
        <v>1.1504000000000001</v>
      </c>
      <c r="J7" s="16">
        <f>AVERAGE(S7:W7)</f>
        <v>0.62980000000000003</v>
      </c>
      <c r="K7" s="16">
        <f>W7</f>
        <v>0.46</v>
      </c>
      <c r="L7" s="17" t="s">
        <v>7</v>
      </c>
      <c r="M7" s="18" t="s">
        <v>7</v>
      </c>
      <c r="N7" s="12">
        <v>-0.78300000000000003</v>
      </c>
      <c r="O7" s="12">
        <v>0</v>
      </c>
      <c r="P7" s="12">
        <v>9.4</v>
      </c>
      <c r="Q7" s="12">
        <v>-5.8000000000000003E-2</v>
      </c>
      <c r="R7" s="12">
        <v>-0.20399999999999999</v>
      </c>
      <c r="S7" s="12">
        <v>0.89700000000000002</v>
      </c>
      <c r="T7" s="12">
        <v>0.51400000000000001</v>
      </c>
      <c r="U7" s="12">
        <v>-0.11600000000000001</v>
      </c>
      <c r="V7" s="12">
        <v>1.3939999999999999</v>
      </c>
      <c r="W7" s="13">
        <v>0.46</v>
      </c>
      <c r="AL7" s="18"/>
      <c r="BA7" s="17"/>
    </row>
    <row r="8" spans="1:53" x14ac:dyDescent="0.25">
      <c r="A8" t="s">
        <v>46</v>
      </c>
      <c r="B8" s="58" t="s">
        <v>56</v>
      </c>
      <c r="H8" s="19" t="s">
        <v>12</v>
      </c>
      <c r="I8" s="5" t="s">
        <v>7</v>
      </c>
      <c r="J8" s="6" t="s">
        <v>7</v>
      </c>
      <c r="K8" s="6" t="s">
        <v>7</v>
      </c>
      <c r="L8" s="20">
        <f>151.19/341</f>
        <v>0.4433724340175953</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47</v>
      </c>
      <c r="B9" s="58" t="s">
        <v>97</v>
      </c>
      <c r="Y9" s="1" t="s">
        <v>13</v>
      </c>
      <c r="Z9" s="65">
        <f>AVERAGE(B24:D24)</f>
        <v>0.18966666666666665</v>
      </c>
      <c r="AA9" s="8">
        <f>Z9</f>
        <v>0.18966666666666665</v>
      </c>
      <c r="AB9" s="9">
        <f t="shared" ref="AB9:AJ10" si="5">AA9</f>
        <v>0.18966666666666665</v>
      </c>
      <c r="AC9" s="9">
        <f t="shared" si="5"/>
        <v>0.18966666666666665</v>
      </c>
      <c r="AD9" s="9">
        <f t="shared" si="5"/>
        <v>0.18966666666666665</v>
      </c>
      <c r="AE9" s="9">
        <f t="shared" si="5"/>
        <v>0.18966666666666665</v>
      </c>
      <c r="AF9" s="9">
        <f t="shared" si="5"/>
        <v>0.18966666666666665</v>
      </c>
      <c r="AG9" s="9">
        <f t="shared" si="5"/>
        <v>0.18966666666666665</v>
      </c>
      <c r="AH9" s="9">
        <f t="shared" si="5"/>
        <v>0.18966666666666665</v>
      </c>
      <c r="AI9" s="9">
        <f t="shared" si="5"/>
        <v>0.18966666666666665</v>
      </c>
      <c r="AJ9" s="25">
        <f t="shared" si="5"/>
        <v>0.18966666666666665</v>
      </c>
      <c r="AL9" s="1" t="s">
        <v>42</v>
      </c>
      <c r="AM9" s="10"/>
      <c r="AN9" s="48">
        <f>$AM1</f>
        <v>346</v>
      </c>
      <c r="AO9" s="49">
        <f t="shared" ref="AO9:AW9" si="6">AN9+AN9*$AM2</f>
        <v>393.05599999999998</v>
      </c>
      <c r="AP9" s="49">
        <f t="shared" si="6"/>
        <v>446.511616</v>
      </c>
      <c r="AQ9" s="49">
        <f t="shared" si="6"/>
        <v>507.23719577600002</v>
      </c>
      <c r="AR9" s="49">
        <f t="shared" si="6"/>
        <v>576.22145440153599</v>
      </c>
      <c r="AS9" s="49">
        <f t="shared" si="6"/>
        <v>654.5875722001449</v>
      </c>
      <c r="AT9" s="49">
        <f t="shared" si="6"/>
        <v>743.61148201936464</v>
      </c>
      <c r="AU9" s="49">
        <f t="shared" si="6"/>
        <v>844.74264357399829</v>
      </c>
      <c r="AV9" s="49">
        <f t="shared" si="6"/>
        <v>959.62764310006207</v>
      </c>
      <c r="AW9" s="49">
        <f t="shared" si="6"/>
        <v>1090.1370025616704</v>
      </c>
      <c r="AX9" s="50">
        <f>$AM4*AW9</f>
        <v>16352.055038425056</v>
      </c>
      <c r="AY9" s="51"/>
      <c r="AZ9" s="49"/>
      <c r="BA9" s="10"/>
    </row>
    <row r="10" spans="1:53" x14ac:dyDescent="0.25">
      <c r="A10" t="s">
        <v>48</v>
      </c>
      <c r="B10" s="58" t="s">
        <v>98</v>
      </c>
      <c r="Y10" s="18" t="s">
        <v>14</v>
      </c>
      <c r="Z10">
        <f>Z3</f>
        <v>0.15</v>
      </c>
      <c r="AA10" s="26">
        <f t="shared" ref="AA10:AJ11" si="7">Z10</f>
        <v>0.15</v>
      </c>
      <c r="AB10" s="27">
        <f t="shared" si="5"/>
        <v>0.15</v>
      </c>
      <c r="AC10" s="27">
        <f t="shared" si="5"/>
        <v>0.15</v>
      </c>
      <c r="AD10" s="27">
        <f t="shared" si="5"/>
        <v>0.15</v>
      </c>
      <c r="AE10" s="27">
        <f t="shared" si="5"/>
        <v>0.15</v>
      </c>
      <c r="AF10" s="27">
        <f t="shared" si="5"/>
        <v>0.15</v>
      </c>
      <c r="AG10" s="27">
        <f t="shared" si="5"/>
        <v>0.15</v>
      </c>
      <c r="AH10" s="27">
        <f t="shared" si="5"/>
        <v>0.15</v>
      </c>
      <c r="AI10" s="27">
        <f t="shared" si="5"/>
        <v>0.15</v>
      </c>
      <c r="AJ10" s="28">
        <f t="shared" si="5"/>
        <v>0.15</v>
      </c>
      <c r="AL10" s="5" t="s">
        <v>43</v>
      </c>
      <c r="AM10" s="7"/>
      <c r="AN10" s="52">
        <f>AN9/(1+$AM3)</f>
        <v>300.86956521739131</v>
      </c>
      <c r="AO10" s="53">
        <f t="shared" ref="AO10:AW10" si="8">(1+$AM2)*AN10/(1+$AM3)</f>
        <v>297.20680529300574</v>
      </c>
      <c r="AP10" s="53">
        <f t="shared" si="8"/>
        <v>293.58863548943873</v>
      </c>
      <c r="AQ10" s="53">
        <f t="shared" si="8"/>
        <v>290.0145129704369</v>
      </c>
      <c r="AR10" s="53">
        <f t="shared" si="8"/>
        <v>286.48390150818813</v>
      </c>
      <c r="AS10" s="53">
        <f t="shared" si="8"/>
        <v>282.99627140287112</v>
      </c>
      <c r="AT10" s="53">
        <f t="shared" si="8"/>
        <v>279.55109940318403</v>
      </c>
      <c r="AU10" s="53">
        <f t="shared" si="8"/>
        <v>276.14786862784092</v>
      </c>
      <c r="AV10" s="53">
        <f t="shared" si="8"/>
        <v>272.78606848802383</v>
      </c>
      <c r="AW10" s="53">
        <f t="shared" si="8"/>
        <v>269.46519461077838</v>
      </c>
      <c r="AX10" s="54">
        <f>AX9/(1+AM3)^AX8</f>
        <v>4041.9779191616735</v>
      </c>
      <c r="AY10" s="53">
        <f>SUM(AN10:AX10)</f>
        <v>6891.0878421728321</v>
      </c>
      <c r="AZ10" s="53">
        <f>AY10+AM5</f>
        <v>7221.4078421728318</v>
      </c>
      <c r="BA10" s="55">
        <f>AZ10/AM6</f>
        <v>380.07409695646481</v>
      </c>
    </row>
    <row r="11" spans="1:53" x14ac:dyDescent="0.25">
      <c r="A11" t="s">
        <v>65</v>
      </c>
      <c r="B11" s="59" t="s">
        <v>99</v>
      </c>
      <c r="Y11" s="5" t="s">
        <v>15</v>
      </c>
      <c r="Z11" s="7">
        <f>Z4</f>
        <v>20</v>
      </c>
      <c r="AA11" s="30">
        <f t="shared" si="7"/>
        <v>20</v>
      </c>
      <c r="AB11" s="31">
        <f t="shared" si="7"/>
        <v>20</v>
      </c>
      <c r="AC11" s="31">
        <f t="shared" si="7"/>
        <v>20</v>
      </c>
      <c r="AD11" s="31">
        <f t="shared" si="7"/>
        <v>20</v>
      </c>
      <c r="AE11" s="31">
        <f t="shared" si="7"/>
        <v>20</v>
      </c>
      <c r="AF11" s="31">
        <f t="shared" si="7"/>
        <v>20</v>
      </c>
      <c r="AG11" s="31">
        <f t="shared" si="7"/>
        <v>20</v>
      </c>
      <c r="AH11" s="31">
        <f t="shared" si="7"/>
        <v>20</v>
      </c>
      <c r="AI11" s="31">
        <f t="shared" si="7"/>
        <v>20</v>
      </c>
      <c r="AJ11" s="32">
        <f t="shared" si="7"/>
        <v>20</v>
      </c>
    </row>
    <row r="12" spans="1:53" x14ac:dyDescent="0.25">
      <c r="Y12" s="1" t="s">
        <v>16</v>
      </c>
      <c r="Z12">
        <f>Z5</f>
        <v>11.85</v>
      </c>
      <c r="AA12" s="34">
        <f>Z12</f>
        <v>11.85</v>
      </c>
      <c r="AB12" s="35">
        <f t="shared" ref="AB12:AJ12" si="9">AA12*(1+$Z9)</f>
        <v>14.09755</v>
      </c>
      <c r="AC12" s="35">
        <f t="shared" si="9"/>
        <v>16.771385316666667</v>
      </c>
      <c r="AD12" s="35">
        <f t="shared" si="9"/>
        <v>19.952358065061112</v>
      </c>
      <c r="AE12" s="35">
        <f t="shared" si="9"/>
        <v>23.736655311401037</v>
      </c>
      <c r="AF12" s="35">
        <f t="shared" si="9"/>
        <v>28.238707602130102</v>
      </c>
      <c r="AG12" s="35">
        <f t="shared" si="9"/>
        <v>33.594649144000776</v>
      </c>
      <c r="AH12" s="35">
        <f t="shared" si="9"/>
        <v>39.96643426497959</v>
      </c>
      <c r="AI12" s="35">
        <f t="shared" si="9"/>
        <v>47.546734630570718</v>
      </c>
      <c r="AJ12" s="36">
        <f t="shared" si="9"/>
        <v>56.564765298835631</v>
      </c>
      <c r="AL12" s="1" t="s">
        <v>35</v>
      </c>
      <c r="AM12" s="72">
        <f>AM1</f>
        <v>346</v>
      </c>
      <c r="AN12" s="42"/>
      <c r="AO12" s="42"/>
      <c r="AP12" s="42"/>
      <c r="AQ12" s="42"/>
      <c r="AR12" s="42"/>
      <c r="AS12" s="42"/>
      <c r="AT12" s="42"/>
      <c r="AU12" s="42"/>
      <c r="AV12" s="42"/>
      <c r="AW12" s="42"/>
      <c r="AX12" s="42"/>
      <c r="AY12" s="42"/>
      <c r="AZ12" s="42"/>
      <c r="BA12" s="10"/>
    </row>
    <row r="13" spans="1:53" ht="18.75" x14ac:dyDescent="0.3">
      <c r="A13" s="56" t="s">
        <v>29</v>
      </c>
      <c r="Y13" s="5" t="s">
        <v>19</v>
      </c>
      <c r="Z13" s="37">
        <f>AA13</f>
        <v>321.58473240663506</v>
      </c>
      <c r="AA13" s="38">
        <f t="shared" ref="AA13:AI13" si="10">AB13/(1+$Z10)</f>
        <v>321.58473240663506</v>
      </c>
      <c r="AB13" s="38">
        <f t="shared" si="10"/>
        <v>369.82244226763027</v>
      </c>
      <c r="AC13" s="38">
        <f t="shared" si="10"/>
        <v>425.2958086077748</v>
      </c>
      <c r="AD13" s="38">
        <f t="shared" si="10"/>
        <v>489.09017989894096</v>
      </c>
      <c r="AE13" s="38">
        <f t="shared" si="10"/>
        <v>562.45370688378205</v>
      </c>
      <c r="AF13" s="38">
        <f t="shared" si="10"/>
        <v>646.82176291634926</v>
      </c>
      <c r="AG13" s="38">
        <f t="shared" si="10"/>
        <v>743.84502735380158</v>
      </c>
      <c r="AH13" s="38">
        <f t="shared" si="10"/>
        <v>855.42178145687171</v>
      </c>
      <c r="AI13" s="38">
        <f t="shared" si="10"/>
        <v>983.73504867540237</v>
      </c>
      <c r="AJ13" s="39">
        <f>AJ12*$Z11</f>
        <v>1131.2953059767126</v>
      </c>
      <c r="AL13" s="18" t="s">
        <v>36</v>
      </c>
      <c r="AM13" s="68">
        <f>Z9</f>
        <v>0.18966666666666665</v>
      </c>
      <c r="BA13" s="17"/>
    </row>
    <row r="14" spans="1:53" x14ac:dyDescent="0.25">
      <c r="A14" s="43" t="s">
        <v>32</v>
      </c>
      <c r="B14" s="18" t="s">
        <v>0</v>
      </c>
      <c r="C14" t="s">
        <v>1</v>
      </c>
      <c r="D14" t="s">
        <v>2</v>
      </c>
      <c r="E14" t="s">
        <v>3</v>
      </c>
      <c r="AL14" s="18" t="s">
        <v>37</v>
      </c>
      <c r="AM14" s="69">
        <f>AM3</f>
        <v>0.15</v>
      </c>
      <c r="BA14" s="17"/>
    </row>
    <row r="15" spans="1:53" x14ac:dyDescent="0.25">
      <c r="A15" t="s">
        <v>52</v>
      </c>
      <c r="B15" t="s">
        <v>4</v>
      </c>
      <c r="C15" t="s">
        <v>4</v>
      </c>
      <c r="D15" t="s">
        <v>4</v>
      </c>
      <c r="E15" t="s">
        <v>5</v>
      </c>
      <c r="Y15" s="21" t="s">
        <v>61</v>
      </c>
      <c r="Z15" s="22"/>
      <c r="AA15" s="21">
        <v>2021</v>
      </c>
      <c r="AB15" s="23">
        <v>2022</v>
      </c>
      <c r="AC15" s="23">
        <v>2023</v>
      </c>
      <c r="AD15" s="23">
        <v>2024</v>
      </c>
      <c r="AE15" s="23">
        <v>2025</v>
      </c>
      <c r="AF15" s="23">
        <v>2026</v>
      </c>
      <c r="AG15" s="23">
        <v>2027</v>
      </c>
      <c r="AH15" s="23">
        <v>2028</v>
      </c>
      <c r="AI15" s="23">
        <v>2029</v>
      </c>
      <c r="AJ15" s="24">
        <v>2030</v>
      </c>
      <c r="AL15" s="18" t="s">
        <v>38</v>
      </c>
      <c r="AM15" s="69">
        <f t="shared" ref="AM15:AM17" si="11">AM4</f>
        <v>15</v>
      </c>
      <c r="BA15" s="17"/>
    </row>
    <row r="16" spans="1:53" x14ac:dyDescent="0.25">
      <c r="A16" t="s">
        <v>23</v>
      </c>
      <c r="B16" s="16">
        <f t="shared" ref="B16:D20" si="12">I3</f>
        <v>0.13405454545454545</v>
      </c>
      <c r="C16" s="16">
        <f t="shared" si="12"/>
        <v>0.17861999999999997</v>
      </c>
      <c r="D16" s="16">
        <f t="shared" si="12"/>
        <v>0.17069999999999999</v>
      </c>
      <c r="Y16" s="1" t="s">
        <v>13</v>
      </c>
      <c r="Z16" s="60">
        <f>MAX(B24:D24)</f>
        <v>0.29399999999999998</v>
      </c>
      <c r="AA16" s="8">
        <f>Z16</f>
        <v>0.29399999999999998</v>
      </c>
      <c r="AB16" s="9">
        <f t="shared" ref="AB16:AJ17" si="13">AA16</f>
        <v>0.29399999999999998</v>
      </c>
      <c r="AC16" s="9">
        <f t="shared" si="13"/>
        <v>0.29399999999999998</v>
      </c>
      <c r="AD16" s="9">
        <f t="shared" si="13"/>
        <v>0.29399999999999998</v>
      </c>
      <c r="AE16" s="9">
        <f t="shared" si="13"/>
        <v>0.29399999999999998</v>
      </c>
      <c r="AF16" s="9">
        <f t="shared" si="13"/>
        <v>0.29399999999999998</v>
      </c>
      <c r="AG16" s="9">
        <f t="shared" si="13"/>
        <v>0.29399999999999998</v>
      </c>
      <c r="AH16" s="9">
        <f t="shared" si="13"/>
        <v>0.29399999999999998</v>
      </c>
      <c r="AI16" s="9">
        <f t="shared" si="13"/>
        <v>0.29399999999999998</v>
      </c>
      <c r="AJ16" s="25">
        <f t="shared" si="13"/>
        <v>0.29399999999999998</v>
      </c>
      <c r="AL16" s="18" t="s">
        <v>39</v>
      </c>
      <c r="AM16" s="69">
        <f t="shared" si="11"/>
        <v>330.32</v>
      </c>
      <c r="BA16" s="17"/>
    </row>
    <row r="17" spans="1:53" x14ac:dyDescent="0.25">
      <c r="A17" t="s">
        <v>24</v>
      </c>
      <c r="B17" s="16">
        <f t="shared" si="12"/>
        <v>0.13930000000000001</v>
      </c>
      <c r="C17" s="16">
        <f t="shared" si="12"/>
        <v>0.19500000000000001</v>
      </c>
      <c r="D17" s="16">
        <f t="shared" si="12"/>
        <v>0.155</v>
      </c>
      <c r="Y17" s="18" t="s">
        <v>14</v>
      </c>
      <c r="Z17">
        <f>Z3</f>
        <v>0.15</v>
      </c>
      <c r="AA17" s="26">
        <f t="shared" ref="AA17:AJ18" si="14">Z17</f>
        <v>0.15</v>
      </c>
      <c r="AB17" s="27">
        <f t="shared" si="13"/>
        <v>0.15</v>
      </c>
      <c r="AC17" s="27">
        <f t="shared" si="13"/>
        <v>0.15</v>
      </c>
      <c r="AD17" s="27">
        <f t="shared" si="13"/>
        <v>0.15</v>
      </c>
      <c r="AE17" s="27">
        <f t="shared" si="13"/>
        <v>0.15</v>
      </c>
      <c r="AF17" s="27">
        <f t="shared" si="13"/>
        <v>0.15</v>
      </c>
      <c r="AG17" s="27">
        <f t="shared" si="13"/>
        <v>0.15</v>
      </c>
      <c r="AH17" s="27">
        <f t="shared" si="13"/>
        <v>0.15</v>
      </c>
      <c r="AI17" s="27">
        <f t="shared" si="13"/>
        <v>0.15</v>
      </c>
      <c r="AJ17" s="28">
        <f t="shared" si="13"/>
        <v>0.15</v>
      </c>
      <c r="AL17" s="5" t="s">
        <v>40</v>
      </c>
      <c r="AM17" s="70">
        <f t="shared" si="11"/>
        <v>19</v>
      </c>
      <c r="BA17" s="17"/>
    </row>
    <row r="18" spans="1:53" x14ac:dyDescent="0.25">
      <c r="A18" t="s">
        <v>25</v>
      </c>
      <c r="B18" s="16">
        <f t="shared" si="12"/>
        <v>0.40280000000000005</v>
      </c>
      <c r="C18" s="16">
        <f t="shared" si="12"/>
        <v>0.2412</v>
      </c>
      <c r="D18" s="16">
        <f t="shared" si="12"/>
        <v>0.59799999999999998</v>
      </c>
      <c r="Y18" s="5" t="s">
        <v>15</v>
      </c>
      <c r="Z18" s="7">
        <f>Z4</f>
        <v>20</v>
      </c>
      <c r="AA18" s="30">
        <f t="shared" si="14"/>
        <v>20</v>
      </c>
      <c r="AB18" s="31">
        <f t="shared" si="14"/>
        <v>20</v>
      </c>
      <c r="AC18" s="31">
        <f t="shared" si="14"/>
        <v>20</v>
      </c>
      <c r="AD18" s="31">
        <f t="shared" si="14"/>
        <v>20</v>
      </c>
      <c r="AE18" s="31">
        <f t="shared" si="14"/>
        <v>20</v>
      </c>
      <c r="AF18" s="31">
        <f t="shared" si="14"/>
        <v>20</v>
      </c>
      <c r="AG18" s="31">
        <f t="shared" si="14"/>
        <v>20</v>
      </c>
      <c r="AH18" s="31">
        <f t="shared" si="14"/>
        <v>20</v>
      </c>
      <c r="AI18" s="31">
        <f t="shared" si="14"/>
        <v>20</v>
      </c>
      <c r="AJ18" s="32">
        <f t="shared" si="14"/>
        <v>20</v>
      </c>
      <c r="AL18" s="18"/>
      <c r="BA18" s="17"/>
    </row>
    <row r="19" spans="1:53" x14ac:dyDescent="0.25">
      <c r="A19" t="s">
        <v>26</v>
      </c>
      <c r="B19" s="16">
        <f t="shared" si="12"/>
        <v>0.15539999999999998</v>
      </c>
      <c r="C19" s="16">
        <f t="shared" si="12"/>
        <v>0.18779999999999997</v>
      </c>
      <c r="D19" s="16">
        <f t="shared" si="12"/>
        <v>0.34300000000000003</v>
      </c>
      <c r="Y19" s="1" t="s">
        <v>16</v>
      </c>
      <c r="Z19">
        <f>Z5</f>
        <v>11.85</v>
      </c>
      <c r="AA19" s="34">
        <f>Z19</f>
        <v>11.85</v>
      </c>
      <c r="AB19" s="35">
        <f t="shared" ref="AB19:AJ19" si="15">AA19*(1+$Z16)</f>
        <v>15.3339</v>
      </c>
      <c r="AC19" s="35">
        <f t="shared" si="15"/>
        <v>19.842066599999999</v>
      </c>
      <c r="AD19" s="35">
        <f t="shared" si="15"/>
        <v>25.675634180399999</v>
      </c>
      <c r="AE19" s="35">
        <f t="shared" si="15"/>
        <v>33.224270629437598</v>
      </c>
      <c r="AF19" s="35">
        <f t="shared" si="15"/>
        <v>42.992206194492255</v>
      </c>
      <c r="AG19" s="35">
        <f t="shared" si="15"/>
        <v>55.631914815672978</v>
      </c>
      <c r="AH19" s="35">
        <f t="shared" si="15"/>
        <v>71.987697771480839</v>
      </c>
      <c r="AI19" s="35">
        <f t="shared" si="15"/>
        <v>93.152080916296214</v>
      </c>
      <c r="AJ19" s="36">
        <f t="shared" si="15"/>
        <v>120.5387927056873</v>
      </c>
      <c r="AL19" s="21"/>
      <c r="AM19" s="24"/>
      <c r="AN19" s="21">
        <v>1</v>
      </c>
      <c r="AO19" s="23">
        <v>2</v>
      </c>
      <c r="AP19" s="23">
        <v>3</v>
      </c>
      <c r="AQ19" s="23">
        <v>4</v>
      </c>
      <c r="AR19" s="23">
        <v>5</v>
      </c>
      <c r="AS19" s="23">
        <v>6</v>
      </c>
      <c r="AT19" s="23">
        <v>7</v>
      </c>
      <c r="AU19" s="23">
        <v>8</v>
      </c>
      <c r="AV19" s="23">
        <v>9</v>
      </c>
      <c r="AW19" s="23">
        <v>10</v>
      </c>
      <c r="AX19" s="24">
        <v>10</v>
      </c>
      <c r="AY19" s="46" t="s">
        <v>41</v>
      </c>
      <c r="AZ19" s="46" t="s">
        <v>62</v>
      </c>
      <c r="BA19" s="47" t="s">
        <v>63</v>
      </c>
    </row>
    <row r="20" spans="1:53" x14ac:dyDescent="0.25">
      <c r="A20" t="s">
        <v>27</v>
      </c>
      <c r="B20" s="16">
        <f t="shared" si="12"/>
        <v>1.1504000000000001</v>
      </c>
      <c r="C20" s="16">
        <f t="shared" si="12"/>
        <v>0.62980000000000003</v>
      </c>
      <c r="D20" s="16">
        <f t="shared" si="12"/>
        <v>0.46</v>
      </c>
      <c r="Y20" s="5" t="s">
        <v>19</v>
      </c>
      <c r="Z20" s="37">
        <f>AA20</f>
        <v>685.29295917851584</v>
      </c>
      <c r="AA20" s="38">
        <f t="shared" ref="AA20:AI20" si="16">AB20/(1+$Z17)</f>
        <v>685.29295917851584</v>
      </c>
      <c r="AB20" s="38">
        <f t="shared" si="16"/>
        <v>788.08690305529319</v>
      </c>
      <c r="AC20" s="38">
        <f t="shared" si="16"/>
        <v>906.29993851358711</v>
      </c>
      <c r="AD20" s="38">
        <f t="shared" si="16"/>
        <v>1042.2449292906251</v>
      </c>
      <c r="AE20" s="38">
        <f t="shared" si="16"/>
        <v>1198.5816686842188</v>
      </c>
      <c r="AF20" s="38">
        <f t="shared" si="16"/>
        <v>1378.3689189868514</v>
      </c>
      <c r="AG20" s="38">
        <f t="shared" si="16"/>
        <v>1585.1242568348791</v>
      </c>
      <c r="AH20" s="38">
        <f t="shared" si="16"/>
        <v>1822.8928953601107</v>
      </c>
      <c r="AI20" s="38">
        <f t="shared" si="16"/>
        <v>2096.3268296641272</v>
      </c>
      <c r="AJ20" s="39">
        <f>AJ19*$Z18</f>
        <v>2410.7758541137459</v>
      </c>
      <c r="AL20" s="1" t="s">
        <v>42</v>
      </c>
      <c r="AM20" s="10"/>
      <c r="AN20" s="48">
        <f>$AM12</f>
        <v>346</v>
      </c>
      <c r="AO20" s="49">
        <f t="shared" ref="AO20:AW20" si="17">AN20+AN20*$AM13</f>
        <v>411.62466666666666</v>
      </c>
      <c r="AP20" s="49">
        <f t="shared" si="17"/>
        <v>489.69614511111109</v>
      </c>
      <c r="AQ20" s="49">
        <f t="shared" si="17"/>
        <v>582.5751806338518</v>
      </c>
      <c r="AR20" s="49">
        <f t="shared" si="17"/>
        <v>693.07027322740566</v>
      </c>
      <c r="AS20" s="49">
        <f t="shared" si="17"/>
        <v>824.52260171620355</v>
      </c>
      <c r="AT20" s="49">
        <f t="shared" si="17"/>
        <v>980.90705517504352</v>
      </c>
      <c r="AU20" s="49">
        <f t="shared" si="17"/>
        <v>1166.9524266399101</v>
      </c>
      <c r="AV20" s="49">
        <f t="shared" si="17"/>
        <v>1388.2844035592798</v>
      </c>
      <c r="AW20" s="49">
        <f t="shared" si="17"/>
        <v>1651.5956787676898</v>
      </c>
      <c r="AX20" s="50">
        <f>$AM15*AW20</f>
        <v>24773.935181515346</v>
      </c>
      <c r="AY20" s="51"/>
      <c r="AZ20" s="49"/>
      <c r="BA20" s="10"/>
    </row>
    <row r="21" spans="1:53" x14ac:dyDescent="0.25">
      <c r="A21" t="s">
        <v>28</v>
      </c>
      <c r="E21" s="57">
        <f>L8</f>
        <v>0.4433724340175953</v>
      </c>
      <c r="AL21" s="5" t="s">
        <v>43</v>
      </c>
      <c r="AM21" s="7"/>
      <c r="AN21" s="52">
        <f>AN20/(1+$AM14)</f>
        <v>300.86956521739131</v>
      </c>
      <c r="AO21" s="53">
        <f t="shared" ref="AO21:AW21" si="18">(1+$AM13)*AN21/(1+$AM14)</f>
        <v>311.24738500315061</v>
      </c>
      <c r="AP21" s="53">
        <f t="shared" si="18"/>
        <v>321.98316436992593</v>
      </c>
      <c r="AQ21" s="53">
        <f t="shared" si="18"/>
        <v>333.08925032935235</v>
      </c>
      <c r="AR21" s="53">
        <f t="shared" si="18"/>
        <v>344.57841577549522</v>
      </c>
      <c r="AS21" s="53">
        <f t="shared" si="18"/>
        <v>356.463874174708</v>
      </c>
      <c r="AT21" s="53">
        <f t="shared" si="18"/>
        <v>368.75929476218346</v>
      </c>
      <c r="AU21" s="53">
        <f t="shared" si="18"/>
        <v>381.47881826267621</v>
      </c>
      <c r="AV21" s="53">
        <f t="shared" si="18"/>
        <v>394.6370731534758</v>
      </c>
      <c r="AW21" s="53">
        <f t="shared" si="18"/>
        <v>408.24919248833487</v>
      </c>
      <c r="AX21" s="54">
        <f>AX20/(1+AM14)^AX19</f>
        <v>6123.7378873250245</v>
      </c>
      <c r="AY21" s="53">
        <f>SUM(AN21:AX21)</f>
        <v>9645.0939208617183</v>
      </c>
      <c r="AZ21" s="53">
        <f>AY21+AM16</f>
        <v>9975.413920861718</v>
      </c>
      <c r="BA21" s="55">
        <f>AZ21/AM17</f>
        <v>525.02178530851143</v>
      </c>
    </row>
    <row r="22" spans="1:53" x14ac:dyDescent="0.25">
      <c r="AN22" s="75"/>
      <c r="AO22" s="75"/>
      <c r="AP22" s="75"/>
      <c r="AQ22" s="75"/>
      <c r="AR22" s="75"/>
      <c r="AS22" s="75"/>
      <c r="AT22" s="75"/>
      <c r="AU22" s="75"/>
      <c r="AV22" s="75"/>
      <c r="AW22" s="75"/>
      <c r="AX22" s="75"/>
      <c r="AY22" s="75"/>
      <c r="AZ22" s="75"/>
      <c r="BA22" s="76"/>
    </row>
    <row r="23" spans="1:53" ht="18.75" x14ac:dyDescent="0.3">
      <c r="A23" s="56" t="s">
        <v>30</v>
      </c>
      <c r="AL23" s="1" t="s">
        <v>35</v>
      </c>
      <c r="AM23" s="22">
        <f>AM1</f>
        <v>346</v>
      </c>
      <c r="AN23" s="42"/>
      <c r="AO23" s="42"/>
      <c r="AP23" s="42"/>
      <c r="AQ23" s="42"/>
      <c r="AR23" s="42"/>
      <c r="AS23" s="42"/>
      <c r="AT23" s="42"/>
      <c r="AU23" s="42"/>
      <c r="AV23" s="42"/>
      <c r="AW23" s="42"/>
      <c r="AX23" s="42"/>
      <c r="AY23" s="42"/>
      <c r="AZ23" s="42"/>
      <c r="BA23" s="10"/>
    </row>
    <row r="24" spans="1:53" x14ac:dyDescent="0.25">
      <c r="A24" s="81" t="s">
        <v>18</v>
      </c>
      <c r="B24" s="82">
        <v>0.13600000000000001</v>
      </c>
      <c r="C24" s="83">
        <v>0.13900000000000001</v>
      </c>
      <c r="D24" s="84">
        <v>0.29399999999999998</v>
      </c>
      <c r="AL24" s="18"/>
      <c r="AM24" s="69"/>
      <c r="BA24" s="17"/>
    </row>
    <row r="25" spans="1:53" ht="18.75" x14ac:dyDescent="0.3">
      <c r="A25" s="56"/>
      <c r="AL25" s="18"/>
      <c r="AM25" s="69"/>
      <c r="BA25" s="17"/>
    </row>
    <row r="26" spans="1:53" ht="30" x14ac:dyDescent="0.25">
      <c r="A26" t="s">
        <v>18</v>
      </c>
      <c r="B26" s="41" t="s">
        <v>20</v>
      </c>
      <c r="C26" s="41" t="s">
        <v>31</v>
      </c>
      <c r="D26" s="41" t="s">
        <v>21</v>
      </c>
      <c r="E26" s="41" t="s">
        <v>22</v>
      </c>
      <c r="AL26" s="18" t="s">
        <v>36</v>
      </c>
      <c r="AM26" s="71">
        <f>Z16</f>
        <v>0.29399999999999998</v>
      </c>
      <c r="BA26" s="17"/>
    </row>
    <row r="27" spans="1:53" x14ac:dyDescent="0.25">
      <c r="A27" t="s">
        <v>101</v>
      </c>
      <c r="B27" s="73">
        <f>Z6</f>
        <v>212.262250841525</v>
      </c>
      <c r="C27" s="63">
        <f>1-$B$6/Table112[[#This Row],[Fair Value
Method 1]]</f>
        <v>0.14681014037107687</v>
      </c>
      <c r="D27" s="66">
        <f>BA10</f>
        <v>380.07409695646481</v>
      </c>
      <c r="E27" s="63">
        <f>1-$B$6/Table112[[#This Row],[Fair Value 
Method 2]]</f>
        <v>0.52351396359235736</v>
      </c>
      <c r="AL27" s="18" t="s">
        <v>37</v>
      </c>
      <c r="AM27" s="69">
        <f>AM3</f>
        <v>0.15</v>
      </c>
      <c r="BA27" s="17"/>
    </row>
    <row r="28" spans="1:53" x14ac:dyDescent="0.25">
      <c r="A28" t="s">
        <v>102</v>
      </c>
      <c r="B28" s="73">
        <f>Z13</f>
        <v>321.58473240663506</v>
      </c>
      <c r="C28" s="63">
        <f>1-$B$6/Table112[[#This Row],[Fair Value
Method 1]]</f>
        <v>0.43685137461375489</v>
      </c>
      <c r="D28" s="66">
        <f>BA21</f>
        <v>525.02178530851143</v>
      </c>
      <c r="E28" s="63">
        <f>1-$B$6/Table112[[#This Row],[Fair Value 
Method 2]]</f>
        <v>0.65506193253755618</v>
      </c>
      <c r="AL28" s="18" t="s">
        <v>38</v>
      </c>
      <c r="AM28" s="69">
        <f>AM4</f>
        <v>15</v>
      </c>
      <c r="BA28" s="17"/>
    </row>
    <row r="29" spans="1:53" x14ac:dyDescent="0.25">
      <c r="A29" t="s">
        <v>103</v>
      </c>
      <c r="B29" s="73">
        <f>Z20</f>
        <v>685.29295917851584</v>
      </c>
      <c r="C29" s="63">
        <f>1-$B$6/Table112[[#This Row],[Fair Value
Method 1]]</f>
        <v>0.73573345884497221</v>
      </c>
      <c r="D29" s="41">
        <v>776</v>
      </c>
      <c r="E29" s="63">
        <f>1-$B$6/Table112[[#This Row],[Fair Value 
Method 2]]</f>
        <v>0.76662371134020613</v>
      </c>
      <c r="AL29" s="18" t="s">
        <v>39</v>
      </c>
      <c r="AM29" s="69">
        <f>AM5</f>
        <v>330.32</v>
      </c>
      <c r="BA29" s="17"/>
    </row>
    <row r="30" spans="1:53" x14ac:dyDescent="0.25">
      <c r="AL30" s="5" t="s">
        <v>40</v>
      </c>
      <c r="AM30" s="70">
        <f>AM6</f>
        <v>19</v>
      </c>
      <c r="BA30" s="17"/>
    </row>
    <row r="31" spans="1:53" ht="18.75" x14ac:dyDescent="0.3">
      <c r="A31" s="56" t="s">
        <v>64</v>
      </c>
      <c r="AL31" s="18"/>
      <c r="BA31" s="17"/>
    </row>
    <row r="32" spans="1:53" x14ac:dyDescent="0.25">
      <c r="A32" s="77" t="s">
        <v>66</v>
      </c>
      <c r="AL32" s="21"/>
      <c r="AM32" s="24"/>
      <c r="AN32" s="21">
        <v>1</v>
      </c>
      <c r="AO32" s="23">
        <v>2</v>
      </c>
      <c r="AP32" s="23">
        <v>3</v>
      </c>
      <c r="AQ32" s="23">
        <v>4</v>
      </c>
      <c r="AR32" s="23">
        <v>5</v>
      </c>
      <c r="AS32" s="23">
        <v>6</v>
      </c>
      <c r="AT32" s="23">
        <v>7</v>
      </c>
      <c r="AU32" s="23">
        <v>8</v>
      </c>
      <c r="AV32" s="23">
        <v>9</v>
      </c>
      <c r="AW32" s="23">
        <v>10</v>
      </c>
      <c r="AX32" s="24">
        <v>10</v>
      </c>
      <c r="AY32" s="46" t="s">
        <v>41</v>
      </c>
      <c r="AZ32" s="46" t="s">
        <v>62</v>
      </c>
      <c r="BA32" s="47" t="s">
        <v>63</v>
      </c>
    </row>
    <row r="33" spans="4:53" x14ac:dyDescent="0.25">
      <c r="AL33" s="1" t="s">
        <v>42</v>
      </c>
      <c r="AM33" s="10"/>
      <c r="AN33" s="48">
        <f>$AM23</f>
        <v>346</v>
      </c>
      <c r="AO33" s="49">
        <f t="shared" ref="AO33:AW33" si="19">AN33+AN33*$AM26</f>
        <v>447.72399999999999</v>
      </c>
      <c r="AP33" s="49">
        <f t="shared" si="19"/>
        <v>579.35485599999993</v>
      </c>
      <c r="AQ33" s="49">
        <f t="shared" si="19"/>
        <v>749.68518366399985</v>
      </c>
      <c r="AR33" s="49">
        <f t="shared" si="19"/>
        <v>970.09262766121583</v>
      </c>
      <c r="AS33" s="49">
        <f t="shared" si="19"/>
        <v>1255.2998601936133</v>
      </c>
      <c r="AT33" s="49">
        <f t="shared" si="19"/>
        <v>1624.3580190905357</v>
      </c>
      <c r="AU33" s="49">
        <f t="shared" si="19"/>
        <v>2101.9192767031532</v>
      </c>
      <c r="AV33" s="49">
        <f t="shared" si="19"/>
        <v>2719.8835440538801</v>
      </c>
      <c r="AW33" s="49">
        <f t="shared" si="19"/>
        <v>3519.5293060057206</v>
      </c>
      <c r="AX33" s="50">
        <f>$AM28*AW33</f>
        <v>52792.939590085807</v>
      </c>
      <c r="AY33" s="51"/>
      <c r="AZ33" s="49"/>
      <c r="BA33" s="10"/>
    </row>
    <row r="34" spans="4:53" x14ac:dyDescent="0.25">
      <c r="AL34" s="5" t="s">
        <v>43</v>
      </c>
      <c r="AM34" s="7"/>
      <c r="AN34" s="52">
        <f>AN33/(1+$AM27)</f>
        <v>300.86956521739131</v>
      </c>
      <c r="AO34" s="53">
        <f t="shared" ref="AO34:AW34" si="20">(1+$AM26)*AN34/(1+$AM27)</f>
        <v>338.54366729678645</v>
      </c>
      <c r="AP34" s="53">
        <f t="shared" si="20"/>
        <v>380.93522215829717</v>
      </c>
      <c r="AQ34" s="53">
        <f t="shared" si="20"/>
        <v>428.63493693290138</v>
      </c>
      <c r="AR34" s="53">
        <f t="shared" si="20"/>
        <v>482.30748555754303</v>
      </c>
      <c r="AS34" s="53">
        <f t="shared" si="20"/>
        <v>542.70077070561808</v>
      </c>
      <c r="AT34" s="53">
        <f t="shared" si="20"/>
        <v>610.65634547223465</v>
      </c>
      <c r="AU34" s="53">
        <f t="shared" si="20"/>
        <v>687.12114003571446</v>
      </c>
      <c r="AV34" s="53">
        <f t="shared" si="20"/>
        <v>773.16065670105615</v>
      </c>
      <c r="AW34" s="53">
        <f t="shared" si="20"/>
        <v>869.97381719231896</v>
      </c>
      <c r="AX34" s="54">
        <f>AX33/(1+AM27)^AX32</f>
        <v>13049.607257884778</v>
      </c>
      <c r="AY34" s="53">
        <f>SUM(AN34:AX34)</f>
        <v>18464.51086515464</v>
      </c>
      <c r="AZ34" s="53">
        <f>AY34+AM29</f>
        <v>18794.830865154639</v>
      </c>
      <c r="BA34" s="55">
        <f>AZ34/AM30</f>
        <v>989.20162448182316</v>
      </c>
    </row>
    <row r="38" spans="4:53" x14ac:dyDescent="0.25">
      <c r="D38" s="78"/>
      <c r="E38" s="78"/>
      <c r="G38" s="79"/>
    </row>
    <row r="41" spans="4:53" x14ac:dyDescent="0.25">
      <c r="D41" s="41"/>
    </row>
  </sheetData>
  <mergeCells count="11">
    <mergeCell ref="R1:R2"/>
    <mergeCell ref="M1:M2"/>
    <mergeCell ref="N1:N2"/>
    <mergeCell ref="O1:O2"/>
    <mergeCell ref="P1:P2"/>
    <mergeCell ref="Q1:Q2"/>
    <mergeCell ref="S1:S2"/>
    <mergeCell ref="T1:T2"/>
    <mergeCell ref="U1:U2"/>
    <mergeCell ref="V1:V2"/>
    <mergeCell ref="W1:W2"/>
  </mergeCells>
  <conditionalFormatting sqref="L8">
    <cfRule type="cellIs" dxfId="176" priority="20" operator="greaterThan">
      <formula>3</formula>
    </cfRule>
    <cfRule type="cellIs" dxfId="175" priority="21" operator="lessThan">
      <formula>3</formula>
    </cfRule>
  </conditionalFormatting>
  <conditionalFormatting sqref="I3:K7">
    <cfRule type="cellIs" dxfId="174" priority="17" operator="between">
      <formula>0.05</formula>
      <formula>0.1</formula>
    </cfRule>
    <cfRule type="cellIs" dxfId="173" priority="18" operator="lessThan">
      <formula>0.05</formula>
    </cfRule>
    <cfRule type="cellIs" dxfId="172" priority="19" operator="greaterThan">
      <formula>0.1</formula>
    </cfRule>
  </conditionalFormatting>
  <conditionalFormatting sqref="M3:W3">
    <cfRule type="dataBar" priority="16">
      <dataBar>
        <cfvo type="min"/>
        <cfvo type="max"/>
        <color rgb="FF63C384"/>
      </dataBar>
      <extLst>
        <ext xmlns:x14="http://schemas.microsoft.com/office/spreadsheetml/2009/9/main" uri="{B025F937-C7B1-47D3-B67F-A62EFF666E3E}">
          <x14:id>{1FC67655-E3D7-47DA-89E5-7AF663DAF5A1}</x14:id>
        </ext>
      </extLst>
    </cfRule>
  </conditionalFormatting>
  <conditionalFormatting sqref="N4:W4">
    <cfRule type="dataBar" priority="15">
      <dataBar>
        <cfvo type="min"/>
        <cfvo type="max"/>
        <color rgb="FF63C384"/>
      </dataBar>
      <extLst>
        <ext xmlns:x14="http://schemas.microsoft.com/office/spreadsheetml/2009/9/main" uri="{B025F937-C7B1-47D3-B67F-A62EFF666E3E}">
          <x14:id>{A93DE2E6-6017-4DEF-9FAF-7A8B19A7CD22}</x14:id>
        </ext>
      </extLst>
    </cfRule>
  </conditionalFormatting>
  <conditionalFormatting sqref="N5:W5">
    <cfRule type="dataBar" priority="14">
      <dataBar>
        <cfvo type="min"/>
        <cfvo type="max"/>
        <color rgb="FF63C384"/>
      </dataBar>
      <extLst>
        <ext xmlns:x14="http://schemas.microsoft.com/office/spreadsheetml/2009/9/main" uri="{B025F937-C7B1-47D3-B67F-A62EFF666E3E}">
          <x14:id>{3E67716F-B4C2-4B40-A1D7-B3392962D9A4}</x14:id>
        </ext>
      </extLst>
    </cfRule>
  </conditionalFormatting>
  <conditionalFormatting sqref="N6:W6">
    <cfRule type="dataBar" priority="13">
      <dataBar>
        <cfvo type="min"/>
        <cfvo type="max"/>
        <color rgb="FF63C384"/>
      </dataBar>
      <extLst>
        <ext xmlns:x14="http://schemas.microsoft.com/office/spreadsheetml/2009/9/main" uri="{B025F937-C7B1-47D3-B67F-A62EFF666E3E}">
          <x14:id>{58089FD8-9E58-4755-BDCA-F89E6B3899FC}</x14:id>
        </ext>
      </extLst>
    </cfRule>
  </conditionalFormatting>
  <conditionalFormatting sqref="N7:W7">
    <cfRule type="dataBar" priority="12">
      <dataBar>
        <cfvo type="min"/>
        <cfvo type="max"/>
        <color rgb="FF63C384"/>
      </dataBar>
      <extLst>
        <ext xmlns:x14="http://schemas.microsoft.com/office/spreadsheetml/2009/9/main" uri="{B025F937-C7B1-47D3-B67F-A62EFF666E3E}">
          <x14:id>{48DA92D6-4960-4042-A17B-B04C6BBC8E50}</x14:id>
        </ext>
      </extLst>
    </cfRule>
  </conditionalFormatting>
  <conditionalFormatting sqref="E21">
    <cfRule type="cellIs" dxfId="171" priority="10" operator="greaterThan">
      <formula>3</formula>
    </cfRule>
    <cfRule type="cellIs" dxfId="170" priority="11" operator="lessThan">
      <formula>3</formula>
    </cfRule>
  </conditionalFormatting>
  <conditionalFormatting sqref="B16:D20">
    <cfRule type="cellIs" dxfId="169" priority="7" operator="between">
      <formula>0.05</formula>
      <formula>0.1</formula>
    </cfRule>
    <cfRule type="cellIs" dxfId="168" priority="8" operator="lessThan">
      <formula>0.05</formula>
    </cfRule>
    <cfRule type="cellIs" dxfId="167" priority="9" operator="greaterThan">
      <formula>0.1</formula>
    </cfRule>
  </conditionalFormatting>
  <conditionalFormatting sqref="C27:C29">
    <cfRule type="cellIs" dxfId="166" priority="4" operator="lessThan">
      <formula>0</formula>
    </cfRule>
    <cfRule type="cellIs" dxfId="165" priority="5" operator="between">
      <formula>0</formula>
      <formula>0.3</formula>
    </cfRule>
    <cfRule type="cellIs" dxfId="164" priority="6" operator="greaterThan">
      <formula>0.3</formula>
    </cfRule>
  </conditionalFormatting>
  <conditionalFormatting sqref="E27:E29">
    <cfRule type="cellIs" dxfId="163" priority="1" operator="lessThan">
      <formula>0</formula>
    </cfRule>
    <cfRule type="cellIs" dxfId="162" priority="2" operator="between">
      <formula>0</formula>
      <formula>0.3</formula>
    </cfRule>
    <cfRule type="cellIs" dxfId="161" priority="3" operator="greaterThan">
      <formula>0.3</formula>
    </cfRule>
  </conditionalFormatting>
  <hyperlinks>
    <hyperlink ref="B4" r:id="rId1" display="THO" xr:uid="{ED5A165A-6468-4F66-9838-A87D3CDA3DBC}"/>
    <hyperlink ref="A32" r:id="rId2" xr:uid="{072A5734-7222-46C0-9E19-A32F7F356587}"/>
  </hyperlinks>
  <pageMargins left="0.7" right="0.7" top="0.75" bottom="0.75" header="0.3" footer="0.3"/>
  <pageSetup paperSize="9" orientation="portrait" r:id="rId3"/>
  <legacyDrawing r:id="rId4"/>
  <tableParts count="3">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dataBar" id="{1FC67655-E3D7-47DA-89E5-7AF663DAF5A1}">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A93DE2E6-6017-4DEF-9FAF-7A8B19A7CD22}">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3E67716F-B4C2-4B40-A1D7-B3392962D9A4}">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58089FD8-9E58-4755-BDCA-F89E6B3899FC}">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48DA92D6-4960-4042-A17B-B04C6BBC8E50}">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88F0D-CC12-427F-9EAB-73E72ED96581}">
  <dimension ref="A1:BA39"/>
  <sheetViews>
    <sheetView topLeftCell="A4" zoomScaleNormal="100" workbookViewId="0">
      <selection activeCell="C25" sqref="C25"/>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551</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MIN(Table124[Growth rate])</f>
        <v>0.156</v>
      </c>
      <c r="AA2" s="8">
        <f>Z2</f>
        <v>0.156</v>
      </c>
      <c r="AB2" s="9">
        <f t="shared" ref="AB2:AJ3" si="1">AA2</f>
        <v>0.156</v>
      </c>
      <c r="AC2" s="9">
        <f t="shared" si="1"/>
        <v>0.156</v>
      </c>
      <c r="AD2" s="9">
        <f t="shared" si="1"/>
        <v>0.156</v>
      </c>
      <c r="AE2" s="9">
        <f t="shared" si="1"/>
        <v>0.156</v>
      </c>
      <c r="AF2" s="9">
        <f t="shared" si="1"/>
        <v>0.156</v>
      </c>
      <c r="AG2" s="9">
        <f t="shared" si="1"/>
        <v>0.156</v>
      </c>
      <c r="AH2" s="9">
        <f t="shared" si="1"/>
        <v>0.156</v>
      </c>
      <c r="AI2" s="9">
        <f t="shared" si="1"/>
        <v>0.156</v>
      </c>
      <c r="AJ2" s="25">
        <f t="shared" si="1"/>
        <v>0.156</v>
      </c>
      <c r="AL2" s="18" t="s">
        <v>36</v>
      </c>
      <c r="AM2" s="67">
        <f>Z2</f>
        <v>0.156</v>
      </c>
      <c r="BA2" s="17"/>
    </row>
    <row r="3" spans="1:53" x14ac:dyDescent="0.25">
      <c r="A3" t="s">
        <v>49</v>
      </c>
      <c r="B3" s="58" t="s">
        <v>127</v>
      </c>
      <c r="H3" s="2" t="s">
        <v>6</v>
      </c>
      <c r="I3" s="8">
        <f>AVERAGE(M3:W3)</f>
        <v>0.22955</v>
      </c>
      <c r="J3" s="9">
        <f>AVERAGE(S3:W3)</f>
        <v>0.17161999999999999</v>
      </c>
      <c r="K3" s="9">
        <f>W3</f>
        <v>0.18010000000000001</v>
      </c>
      <c r="L3" s="10" t="s">
        <v>7</v>
      </c>
      <c r="M3" s="11"/>
      <c r="N3" s="12">
        <v>8.3499999999999991E-2</v>
      </c>
      <c r="O3" s="12">
        <v>1.0630999999999999</v>
      </c>
      <c r="P3" s="12">
        <v>6.7799999999999999E-2</v>
      </c>
      <c r="Q3" s="12">
        <v>0.11070000000000001</v>
      </c>
      <c r="R3" s="12">
        <v>0.11230000000000001</v>
      </c>
      <c r="S3" s="12">
        <v>0.1139</v>
      </c>
      <c r="T3" s="12">
        <v>0.1764</v>
      </c>
      <c r="U3" s="12">
        <v>0.2039</v>
      </c>
      <c r="V3" s="12">
        <v>0.18379999999999999</v>
      </c>
      <c r="W3" s="13">
        <v>0.18010000000000001</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128</v>
      </c>
      <c r="H4" s="14" t="s">
        <v>8</v>
      </c>
      <c r="I4" s="15">
        <f>AVERAGE(M4:W4)</f>
        <v>0.30414285714285721</v>
      </c>
      <c r="J4" s="16">
        <f>AVERAGE(S4:W4)</f>
        <v>0.31359999999999999</v>
      </c>
      <c r="K4" s="16">
        <f>W4</f>
        <v>0.32500000000000001</v>
      </c>
      <c r="L4" s="17" t="s">
        <v>7</v>
      </c>
      <c r="M4" s="18" t="s">
        <v>7</v>
      </c>
      <c r="N4" s="12"/>
      <c r="O4" s="12"/>
      <c r="P4" s="12"/>
      <c r="Q4" s="12">
        <v>0.34100000000000003</v>
      </c>
      <c r="R4" s="12">
        <v>0.22</v>
      </c>
      <c r="S4" s="12">
        <v>0.23699999999999999</v>
      </c>
      <c r="T4" s="12">
        <v>0.312</v>
      </c>
      <c r="U4" s="12">
        <v>0.35199999999999998</v>
      </c>
      <c r="V4" s="12">
        <v>0.34200000000000003</v>
      </c>
      <c r="W4" s="13">
        <v>0.32500000000000001</v>
      </c>
      <c r="Y4" s="5" t="s">
        <v>15</v>
      </c>
      <c r="Z4" s="29">
        <v>88</v>
      </c>
      <c r="AA4" s="30">
        <f t="shared" si="2"/>
        <v>88</v>
      </c>
      <c r="AB4" s="31">
        <f t="shared" si="2"/>
        <v>88</v>
      </c>
      <c r="AC4" s="31">
        <f t="shared" si="2"/>
        <v>88</v>
      </c>
      <c r="AD4" s="31">
        <f t="shared" si="2"/>
        <v>88</v>
      </c>
      <c r="AE4" s="31">
        <f t="shared" si="2"/>
        <v>88</v>
      </c>
      <c r="AF4" s="31">
        <f t="shared" si="2"/>
        <v>88</v>
      </c>
      <c r="AG4" s="31">
        <f t="shared" si="2"/>
        <v>88</v>
      </c>
      <c r="AH4" s="31">
        <f t="shared" si="2"/>
        <v>88</v>
      </c>
      <c r="AI4" s="31">
        <f t="shared" si="2"/>
        <v>88</v>
      </c>
      <c r="AJ4" s="32">
        <f t="shared" si="2"/>
        <v>88</v>
      </c>
      <c r="AL4" s="18" t="s">
        <v>38</v>
      </c>
      <c r="AM4" s="64">
        <v>15</v>
      </c>
      <c r="BA4" s="17"/>
    </row>
    <row r="5" spans="1:53" x14ac:dyDescent="0.25">
      <c r="A5" t="s">
        <v>34</v>
      </c>
      <c r="B5" s="59">
        <v>44591</v>
      </c>
      <c r="H5" s="14" t="s">
        <v>9</v>
      </c>
      <c r="I5" s="15">
        <f>AVERAGE(M5:W5)</f>
        <v>0.88922222222222225</v>
      </c>
      <c r="J5" s="16">
        <f>AVERAGE(S5:W5)</f>
        <v>0.45579999999999998</v>
      </c>
      <c r="K5" s="16">
        <f>W5</f>
        <v>0.24199999999999999</v>
      </c>
      <c r="L5" s="17" t="s">
        <v>7</v>
      </c>
      <c r="M5" s="18" t="s">
        <v>7</v>
      </c>
      <c r="N5" s="12"/>
      <c r="O5" s="12">
        <v>0.5</v>
      </c>
      <c r="P5" s="12">
        <v>4</v>
      </c>
      <c r="Q5" s="12">
        <v>0.86699999999999999</v>
      </c>
      <c r="R5" s="12">
        <v>0.35699999999999998</v>
      </c>
      <c r="S5" s="12">
        <v>0.39500000000000002</v>
      </c>
      <c r="T5" s="12">
        <v>0.84899999999999998</v>
      </c>
      <c r="U5" s="12">
        <v>0.5</v>
      </c>
      <c r="V5" s="12">
        <v>0.29299999999999998</v>
      </c>
      <c r="W5" s="13">
        <v>0.24199999999999999</v>
      </c>
      <c r="Y5" s="1" t="s">
        <v>16</v>
      </c>
      <c r="Z5" s="33">
        <v>2.36</v>
      </c>
      <c r="AA5" s="34">
        <f>Z5</f>
        <v>2.36</v>
      </c>
      <c r="AB5" s="35">
        <f t="shared" ref="AB5:AJ5" si="3">AA5*(1+$Z2)</f>
        <v>2.7281599999999995</v>
      </c>
      <c r="AC5" s="35">
        <f t="shared" si="3"/>
        <v>3.1537529599999994</v>
      </c>
      <c r="AD5" s="35">
        <f t="shared" si="3"/>
        <v>3.6457384217599991</v>
      </c>
      <c r="AE5" s="35">
        <f t="shared" si="3"/>
        <v>4.2144736155545584</v>
      </c>
      <c r="AF5" s="35">
        <f t="shared" si="3"/>
        <v>4.871931499581069</v>
      </c>
      <c r="AG5" s="35">
        <f t="shared" si="3"/>
        <v>5.6319528135157153</v>
      </c>
      <c r="AH5" s="35">
        <f t="shared" si="3"/>
        <v>6.5105374524241668</v>
      </c>
      <c r="AI5" s="35">
        <f t="shared" si="3"/>
        <v>7.5261812950023366</v>
      </c>
      <c r="AJ5" s="36">
        <f t="shared" si="3"/>
        <v>8.7002655770226998</v>
      </c>
      <c r="AL5" s="18" t="s">
        <v>39</v>
      </c>
      <c r="AM5" s="40">
        <v>730.5</v>
      </c>
      <c r="BA5" s="17"/>
    </row>
    <row r="6" spans="1:53" x14ac:dyDescent="0.25">
      <c r="A6" t="s">
        <v>44</v>
      </c>
      <c r="B6" s="62">
        <v>164.51</v>
      </c>
      <c r="H6" s="14" t="s">
        <v>10</v>
      </c>
      <c r="I6" s="15">
        <f>AVERAGE(M6:W6)</f>
        <v>0.50959999999999983</v>
      </c>
      <c r="J6" s="16">
        <f>AVERAGE(S6:W6)</f>
        <v>0.29120000000000001</v>
      </c>
      <c r="K6" s="16">
        <f>W6</f>
        <v>0.32700000000000001</v>
      </c>
      <c r="L6" s="17" t="s">
        <v>7</v>
      </c>
      <c r="M6" s="18" t="s">
        <v>7</v>
      </c>
      <c r="N6" s="12">
        <v>1.105</v>
      </c>
      <c r="O6" s="12">
        <v>1.115</v>
      </c>
      <c r="P6" s="12">
        <v>0.622</v>
      </c>
      <c r="Q6" s="12">
        <v>0.49099999999999999</v>
      </c>
      <c r="R6" s="12">
        <v>0.307</v>
      </c>
      <c r="S6" s="12">
        <v>0.34499999999999997</v>
      </c>
      <c r="T6" s="12">
        <v>0.254</v>
      </c>
      <c r="U6" s="12">
        <v>0.249</v>
      </c>
      <c r="V6" s="12">
        <v>0.28100000000000003</v>
      </c>
      <c r="W6" s="13">
        <v>0.32700000000000001</v>
      </c>
      <c r="Y6" s="5" t="s">
        <v>19</v>
      </c>
      <c r="Z6" s="37">
        <f>AA6</f>
        <v>217.63794609166035</v>
      </c>
      <c r="AA6" s="38">
        <f t="shared" ref="AA6:AI6" si="4">AB6/(1+$Z3)</f>
        <v>217.63794609166035</v>
      </c>
      <c r="AB6" s="38">
        <f t="shared" si="4"/>
        <v>250.28363800540939</v>
      </c>
      <c r="AC6" s="38">
        <f t="shared" si="4"/>
        <v>287.82618370622077</v>
      </c>
      <c r="AD6" s="38">
        <f t="shared" si="4"/>
        <v>331.00011126215389</v>
      </c>
      <c r="AE6" s="38">
        <f t="shared" si="4"/>
        <v>380.65012795147697</v>
      </c>
      <c r="AF6" s="38">
        <f t="shared" si="4"/>
        <v>437.74764714419848</v>
      </c>
      <c r="AG6" s="38">
        <f t="shared" si="4"/>
        <v>503.40979421582819</v>
      </c>
      <c r="AH6" s="38">
        <f t="shared" si="4"/>
        <v>578.92126334820239</v>
      </c>
      <c r="AI6" s="38">
        <f t="shared" si="4"/>
        <v>665.75945285043269</v>
      </c>
      <c r="AJ6" s="39">
        <f>AJ5*$Z4</f>
        <v>765.62337077799759</v>
      </c>
      <c r="AL6" s="5" t="s">
        <v>40</v>
      </c>
      <c r="AM6" s="45">
        <v>161</v>
      </c>
      <c r="BA6" s="17"/>
    </row>
    <row r="7" spans="1:53" x14ac:dyDescent="0.25">
      <c r="A7" t="s">
        <v>45</v>
      </c>
      <c r="B7" s="58" t="s">
        <v>55</v>
      </c>
      <c r="H7" s="14" t="s">
        <v>11</v>
      </c>
      <c r="I7" s="15">
        <f>AVERAGE(M7:W7)</f>
        <v>1.0110999999999999</v>
      </c>
      <c r="J7" s="16">
        <f>AVERAGE(S7:W7)</f>
        <v>0.6100000000000001</v>
      </c>
      <c r="K7" s="16">
        <f>W7</f>
        <v>0.27300000000000002</v>
      </c>
      <c r="L7" s="17" t="s">
        <v>7</v>
      </c>
      <c r="M7" s="18" t="s">
        <v>7</v>
      </c>
      <c r="N7" s="12">
        <v>0</v>
      </c>
      <c r="O7" s="12">
        <v>6.25</v>
      </c>
      <c r="P7" s="12">
        <v>0.34499999999999997</v>
      </c>
      <c r="Q7" s="12">
        <v>5.0999999999999997E-2</v>
      </c>
      <c r="R7" s="12">
        <v>0.41499999999999998</v>
      </c>
      <c r="S7" s="12">
        <v>1.3620000000000001</v>
      </c>
      <c r="T7" s="12">
        <v>0.62</v>
      </c>
      <c r="U7" s="12">
        <v>0.35599999999999998</v>
      </c>
      <c r="V7" s="12">
        <v>0.439</v>
      </c>
      <c r="W7" s="13">
        <v>0.27300000000000002</v>
      </c>
      <c r="AL7" s="18"/>
      <c r="BA7" s="17"/>
    </row>
    <row r="8" spans="1:53" x14ac:dyDescent="0.25">
      <c r="A8" t="s">
        <v>46</v>
      </c>
      <c r="B8" s="58" t="s">
        <v>93</v>
      </c>
      <c r="H8" s="19" t="s">
        <v>12</v>
      </c>
      <c r="I8" s="5" t="s">
        <v>7</v>
      </c>
      <c r="J8" s="6" t="s">
        <v>7</v>
      </c>
      <c r="K8" s="6" t="s">
        <v>7</v>
      </c>
      <c r="L8" s="20">
        <f>780/551</f>
        <v>1.4156079854809438</v>
      </c>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47</v>
      </c>
      <c r="B9" s="58" t="s">
        <v>121</v>
      </c>
      <c r="Y9" s="1" t="s">
        <v>13</v>
      </c>
      <c r="Z9" s="65">
        <f>AVERAGE(Table124[Growth rate])</f>
        <v>0.25333333333333335</v>
      </c>
      <c r="AA9" s="8">
        <f>Z9</f>
        <v>0.25333333333333335</v>
      </c>
      <c r="AB9" s="9">
        <f t="shared" ref="AB9:AJ10" si="5">AA9</f>
        <v>0.25333333333333335</v>
      </c>
      <c r="AC9" s="9">
        <f t="shared" si="5"/>
        <v>0.25333333333333335</v>
      </c>
      <c r="AD9" s="9">
        <f t="shared" si="5"/>
        <v>0.25333333333333335</v>
      </c>
      <c r="AE9" s="9">
        <f t="shared" si="5"/>
        <v>0.25333333333333335</v>
      </c>
      <c r="AF9" s="9">
        <f t="shared" si="5"/>
        <v>0.25333333333333335</v>
      </c>
      <c r="AG9" s="9">
        <f t="shared" si="5"/>
        <v>0.25333333333333335</v>
      </c>
      <c r="AH9" s="9">
        <f t="shared" si="5"/>
        <v>0.25333333333333335</v>
      </c>
      <c r="AI9" s="9">
        <f t="shared" si="5"/>
        <v>0.25333333333333335</v>
      </c>
      <c r="AJ9" s="25">
        <f t="shared" si="5"/>
        <v>0.25333333333333335</v>
      </c>
      <c r="AL9" s="1" t="s">
        <v>42</v>
      </c>
      <c r="AM9" s="10"/>
      <c r="AN9" s="48">
        <f>$AM1</f>
        <v>551</v>
      </c>
      <c r="AO9" s="49">
        <f t="shared" ref="AO9:AW9" si="6">AN9+AN9*$AM2</f>
        <v>636.95600000000002</v>
      </c>
      <c r="AP9" s="49">
        <f t="shared" si="6"/>
        <v>736.32113600000002</v>
      </c>
      <c r="AQ9" s="49">
        <f t="shared" si="6"/>
        <v>851.18723321599998</v>
      </c>
      <c r="AR9" s="49">
        <f t="shared" si="6"/>
        <v>983.97244159769593</v>
      </c>
      <c r="AS9" s="49">
        <f t="shared" si="6"/>
        <v>1137.4721424869365</v>
      </c>
      <c r="AT9" s="49">
        <f t="shared" si="6"/>
        <v>1314.9177967148985</v>
      </c>
      <c r="AU9" s="49">
        <f t="shared" si="6"/>
        <v>1520.0449730024227</v>
      </c>
      <c r="AV9" s="49">
        <f t="shared" si="6"/>
        <v>1757.1719887908007</v>
      </c>
      <c r="AW9" s="49">
        <f t="shared" si="6"/>
        <v>2031.2908190421656</v>
      </c>
      <c r="AX9" s="50">
        <f>$AM4*AW9</f>
        <v>30469.362285632484</v>
      </c>
      <c r="AY9" s="51"/>
      <c r="AZ9" s="49"/>
      <c r="BA9" s="10"/>
    </row>
    <row r="10" spans="1:53" x14ac:dyDescent="0.25">
      <c r="A10" t="s">
        <v>48</v>
      </c>
      <c r="B10" s="58" t="s">
        <v>129</v>
      </c>
      <c r="Y10" s="18" t="s">
        <v>14</v>
      </c>
      <c r="Z10">
        <f>Z3</f>
        <v>0.15</v>
      </c>
      <c r="AA10" s="26">
        <f t="shared" ref="AA10:AJ11" si="7">Z10</f>
        <v>0.15</v>
      </c>
      <c r="AB10" s="27">
        <f t="shared" si="5"/>
        <v>0.15</v>
      </c>
      <c r="AC10" s="27">
        <f t="shared" si="5"/>
        <v>0.15</v>
      </c>
      <c r="AD10" s="27">
        <f t="shared" si="5"/>
        <v>0.15</v>
      </c>
      <c r="AE10" s="27">
        <f t="shared" si="5"/>
        <v>0.15</v>
      </c>
      <c r="AF10" s="27">
        <f t="shared" si="5"/>
        <v>0.15</v>
      </c>
      <c r="AG10" s="27">
        <f t="shared" si="5"/>
        <v>0.15</v>
      </c>
      <c r="AH10" s="27">
        <f t="shared" si="5"/>
        <v>0.15</v>
      </c>
      <c r="AI10" s="27">
        <f t="shared" si="5"/>
        <v>0.15</v>
      </c>
      <c r="AJ10" s="28">
        <f t="shared" si="5"/>
        <v>0.15</v>
      </c>
      <c r="AL10" s="5" t="s">
        <v>43</v>
      </c>
      <c r="AM10" s="7"/>
      <c r="AN10" s="52">
        <f>AN9/(1+$AM3)</f>
        <v>479.13043478260875</v>
      </c>
      <c r="AO10" s="53">
        <f t="shared" ref="AO10:AW10" si="8">(1+$AM2)*AN10/(1+$AM3)</f>
        <v>481.63024574669191</v>
      </c>
      <c r="AP10" s="53">
        <f t="shared" si="8"/>
        <v>484.14309920276168</v>
      </c>
      <c r="AQ10" s="53">
        <f t="shared" si="8"/>
        <v>486.6690631986022</v>
      </c>
      <c r="AR10" s="53">
        <f t="shared" si="8"/>
        <v>489.20820613702966</v>
      </c>
      <c r="AS10" s="53">
        <f t="shared" si="8"/>
        <v>491.76059677774458</v>
      </c>
      <c r="AT10" s="53">
        <f t="shared" si="8"/>
        <v>494.32630423919369</v>
      </c>
      <c r="AU10" s="53">
        <f t="shared" si="8"/>
        <v>496.90539800044172</v>
      </c>
      <c r="AV10" s="53">
        <f t="shared" si="8"/>
        <v>499.4979479030527</v>
      </c>
      <c r="AW10" s="53">
        <f t="shared" si="8"/>
        <v>502.10402415298171</v>
      </c>
      <c r="AX10" s="54">
        <f>AX9/(1+AM3)^AX8</f>
        <v>7531.5603622947283</v>
      </c>
      <c r="AY10" s="53">
        <f>SUM(AN10:AX10)</f>
        <v>12436.935682435836</v>
      </c>
      <c r="AZ10" s="53">
        <f>AY10+AM5</f>
        <v>13167.435682435836</v>
      </c>
      <c r="BA10" s="55">
        <f>AZ10/AM6</f>
        <v>81.78531479773811</v>
      </c>
    </row>
    <row r="11" spans="1:53" x14ac:dyDescent="0.25">
      <c r="A11" t="s">
        <v>65</v>
      </c>
      <c r="B11" s="59">
        <v>44620</v>
      </c>
      <c r="Y11" s="5" t="s">
        <v>15</v>
      </c>
      <c r="Z11" s="7">
        <f>Z4</f>
        <v>88</v>
      </c>
      <c r="AA11" s="30">
        <f t="shared" si="7"/>
        <v>88</v>
      </c>
      <c r="AB11" s="31">
        <f t="shared" si="7"/>
        <v>88</v>
      </c>
      <c r="AC11" s="31">
        <f t="shared" si="7"/>
        <v>88</v>
      </c>
      <c r="AD11" s="31">
        <f t="shared" si="7"/>
        <v>88</v>
      </c>
      <c r="AE11" s="31">
        <f t="shared" si="7"/>
        <v>88</v>
      </c>
      <c r="AF11" s="31">
        <f t="shared" si="7"/>
        <v>88</v>
      </c>
      <c r="AG11" s="31">
        <f t="shared" si="7"/>
        <v>88</v>
      </c>
      <c r="AH11" s="31">
        <f t="shared" si="7"/>
        <v>88</v>
      </c>
      <c r="AI11" s="31">
        <f t="shared" si="7"/>
        <v>88</v>
      </c>
      <c r="AJ11" s="32">
        <f t="shared" si="7"/>
        <v>88</v>
      </c>
    </row>
    <row r="12" spans="1:53" x14ac:dyDescent="0.25">
      <c r="Y12" s="1" t="s">
        <v>16</v>
      </c>
      <c r="Z12">
        <f>Z5</f>
        <v>2.36</v>
      </c>
      <c r="AA12" s="34">
        <f>Z12</f>
        <v>2.36</v>
      </c>
      <c r="AB12" s="35">
        <f t="shared" ref="AB12:AJ12" si="9">AA12*(1+$Z9)</f>
        <v>2.9578666666666669</v>
      </c>
      <c r="AC12" s="35">
        <f t="shared" si="9"/>
        <v>3.7071928888888892</v>
      </c>
      <c r="AD12" s="35">
        <f t="shared" si="9"/>
        <v>4.6463484207407415</v>
      </c>
      <c r="AE12" s="35">
        <f t="shared" si="9"/>
        <v>5.8234233539950626</v>
      </c>
      <c r="AF12" s="35">
        <f t="shared" si="9"/>
        <v>7.2986906036738119</v>
      </c>
      <c r="AG12" s="35">
        <f t="shared" si="9"/>
        <v>9.1476922232711786</v>
      </c>
      <c r="AH12" s="35">
        <f t="shared" si="9"/>
        <v>11.465107586499878</v>
      </c>
      <c r="AI12" s="35">
        <f t="shared" si="9"/>
        <v>14.369601508413181</v>
      </c>
      <c r="AJ12" s="36">
        <f t="shared" si="9"/>
        <v>18.009900557211189</v>
      </c>
      <c r="AL12" s="1" t="s">
        <v>35</v>
      </c>
      <c r="AM12" s="72">
        <f>AM1</f>
        <v>551</v>
      </c>
      <c r="AN12" s="42"/>
      <c r="AO12" s="42"/>
      <c r="AP12" s="42"/>
      <c r="AQ12" s="42"/>
      <c r="AR12" s="42"/>
      <c r="AS12" s="42"/>
      <c r="AT12" s="42"/>
      <c r="AU12" s="42"/>
      <c r="AV12" s="42"/>
      <c r="AW12" s="42"/>
      <c r="AX12" s="42"/>
      <c r="AY12" s="42"/>
      <c r="AZ12" s="42"/>
      <c r="BA12" s="10"/>
    </row>
    <row r="13" spans="1:53" ht="18.75" x14ac:dyDescent="0.3">
      <c r="A13" s="56" t="s">
        <v>29</v>
      </c>
      <c r="Y13" s="5" t="s">
        <v>19</v>
      </c>
      <c r="Z13" s="37">
        <f>AA13</f>
        <v>450.51932402364957</v>
      </c>
      <c r="AA13" s="38">
        <f t="shared" ref="AA13:AI13" si="10">AB13/(1+$Z10)</f>
        <v>450.51932402364957</v>
      </c>
      <c r="AB13" s="38">
        <f t="shared" si="10"/>
        <v>518.09722262719697</v>
      </c>
      <c r="AC13" s="38">
        <f t="shared" si="10"/>
        <v>595.81180602127642</v>
      </c>
      <c r="AD13" s="38">
        <f t="shared" si="10"/>
        <v>685.18357692446784</v>
      </c>
      <c r="AE13" s="38">
        <f t="shared" si="10"/>
        <v>787.96111346313796</v>
      </c>
      <c r="AF13" s="38">
        <f t="shared" si="10"/>
        <v>906.15528048260853</v>
      </c>
      <c r="AG13" s="38">
        <f t="shared" si="10"/>
        <v>1042.0785725549997</v>
      </c>
      <c r="AH13" s="38">
        <f t="shared" si="10"/>
        <v>1198.3903584382495</v>
      </c>
      <c r="AI13" s="38">
        <f t="shared" si="10"/>
        <v>1378.1489122039868</v>
      </c>
      <c r="AJ13" s="39">
        <f>AJ12*$Z11</f>
        <v>1584.8712490345847</v>
      </c>
      <c r="AL13" s="18" t="s">
        <v>36</v>
      </c>
      <c r="AM13" s="68">
        <f>Z9</f>
        <v>0.25333333333333335</v>
      </c>
      <c r="BA13" s="17"/>
    </row>
    <row r="14" spans="1:53" x14ac:dyDescent="0.25">
      <c r="A14" s="43" t="s">
        <v>32</v>
      </c>
      <c r="B14" s="18" t="s">
        <v>0</v>
      </c>
      <c r="C14" t="s">
        <v>1</v>
      </c>
      <c r="D14" t="s">
        <v>2</v>
      </c>
      <c r="E14" t="s">
        <v>3</v>
      </c>
      <c r="AL14" s="18" t="s">
        <v>37</v>
      </c>
      <c r="AM14" s="69">
        <f>AM3</f>
        <v>0.15</v>
      </c>
      <c r="BA14" s="17"/>
    </row>
    <row r="15" spans="1:53" x14ac:dyDescent="0.25">
      <c r="A15" t="s">
        <v>52</v>
      </c>
      <c r="B15" t="s">
        <v>4</v>
      </c>
      <c r="C15" t="s">
        <v>4</v>
      </c>
      <c r="D15" t="s">
        <v>4</v>
      </c>
      <c r="E15" t="s">
        <v>5</v>
      </c>
      <c r="Y15" s="21" t="s">
        <v>61</v>
      </c>
      <c r="Z15" s="22"/>
      <c r="AA15" s="21">
        <v>2021</v>
      </c>
      <c r="AB15" s="23">
        <v>2022</v>
      </c>
      <c r="AC15" s="23">
        <v>2023</v>
      </c>
      <c r="AD15" s="23">
        <v>2024</v>
      </c>
      <c r="AE15" s="23">
        <v>2025</v>
      </c>
      <c r="AF15" s="23">
        <v>2026</v>
      </c>
      <c r="AG15" s="23">
        <v>2027</v>
      </c>
      <c r="AH15" s="23">
        <v>2028</v>
      </c>
      <c r="AI15" s="23">
        <v>2029</v>
      </c>
      <c r="AJ15" s="24">
        <v>2030</v>
      </c>
      <c r="AL15" s="18" t="s">
        <v>38</v>
      </c>
      <c r="AM15" s="69">
        <f t="shared" ref="AM15:AM17" si="11">AM4</f>
        <v>15</v>
      </c>
      <c r="BA15" s="17"/>
    </row>
    <row r="16" spans="1:53" x14ac:dyDescent="0.25">
      <c r="A16" t="s">
        <v>23</v>
      </c>
      <c r="B16" s="16">
        <f t="shared" ref="B16:D20" si="12">I3</f>
        <v>0.22955</v>
      </c>
      <c r="C16" s="16">
        <f t="shared" si="12"/>
        <v>0.17161999999999999</v>
      </c>
      <c r="D16" s="16">
        <f t="shared" si="12"/>
        <v>0.18010000000000001</v>
      </c>
      <c r="Y16" s="1" t="s">
        <v>13</v>
      </c>
      <c r="Z16" s="60">
        <f>MAX(Table124[Growth rate])</f>
        <v>0.30399999999999999</v>
      </c>
      <c r="AA16" s="8">
        <f>Z16</f>
        <v>0.30399999999999999</v>
      </c>
      <c r="AB16" s="9">
        <f t="shared" ref="AB16:AJ17" si="13">AA16</f>
        <v>0.30399999999999999</v>
      </c>
      <c r="AC16" s="9">
        <f t="shared" si="13"/>
        <v>0.30399999999999999</v>
      </c>
      <c r="AD16" s="9">
        <f t="shared" si="13"/>
        <v>0.30399999999999999</v>
      </c>
      <c r="AE16" s="9">
        <f t="shared" si="13"/>
        <v>0.30399999999999999</v>
      </c>
      <c r="AF16" s="9">
        <f t="shared" si="13"/>
        <v>0.30399999999999999</v>
      </c>
      <c r="AG16" s="9">
        <f t="shared" si="13"/>
        <v>0.30399999999999999</v>
      </c>
      <c r="AH16" s="9">
        <f t="shared" si="13"/>
        <v>0.30399999999999999</v>
      </c>
      <c r="AI16" s="9">
        <f t="shared" si="13"/>
        <v>0.30399999999999999</v>
      </c>
      <c r="AJ16" s="25">
        <f t="shared" si="13"/>
        <v>0.30399999999999999</v>
      </c>
      <c r="AL16" s="18" t="s">
        <v>39</v>
      </c>
      <c r="AM16" s="69">
        <f t="shared" si="11"/>
        <v>730.5</v>
      </c>
      <c r="BA16" s="17"/>
    </row>
    <row r="17" spans="1:53" x14ac:dyDescent="0.25">
      <c r="A17" t="s">
        <v>24</v>
      </c>
      <c r="B17" s="16">
        <f t="shared" si="12"/>
        <v>0.30414285714285721</v>
      </c>
      <c r="C17" s="16">
        <f t="shared" si="12"/>
        <v>0.31359999999999999</v>
      </c>
      <c r="D17" s="16">
        <f t="shared" si="12"/>
        <v>0.32500000000000001</v>
      </c>
      <c r="Y17" s="18" t="s">
        <v>14</v>
      </c>
      <c r="Z17">
        <f>Z3</f>
        <v>0.15</v>
      </c>
      <c r="AA17" s="26">
        <f t="shared" ref="AA17:AJ18" si="14">Z17</f>
        <v>0.15</v>
      </c>
      <c r="AB17" s="27">
        <f t="shared" si="13"/>
        <v>0.15</v>
      </c>
      <c r="AC17" s="27">
        <f t="shared" si="13"/>
        <v>0.15</v>
      </c>
      <c r="AD17" s="27">
        <f t="shared" si="13"/>
        <v>0.15</v>
      </c>
      <c r="AE17" s="27">
        <f t="shared" si="13"/>
        <v>0.15</v>
      </c>
      <c r="AF17" s="27">
        <f t="shared" si="13"/>
        <v>0.15</v>
      </c>
      <c r="AG17" s="27">
        <f t="shared" si="13"/>
        <v>0.15</v>
      </c>
      <c r="AH17" s="27">
        <f t="shared" si="13"/>
        <v>0.15</v>
      </c>
      <c r="AI17" s="27">
        <f t="shared" si="13"/>
        <v>0.15</v>
      </c>
      <c r="AJ17" s="28">
        <f t="shared" si="13"/>
        <v>0.15</v>
      </c>
      <c r="AL17" s="5" t="s">
        <v>40</v>
      </c>
      <c r="AM17" s="70">
        <f t="shared" si="11"/>
        <v>161</v>
      </c>
      <c r="BA17" s="17"/>
    </row>
    <row r="18" spans="1:53" x14ac:dyDescent="0.25">
      <c r="A18" t="s">
        <v>25</v>
      </c>
      <c r="B18" s="16">
        <f t="shared" si="12"/>
        <v>0.88922222222222225</v>
      </c>
      <c r="C18" s="16">
        <f t="shared" si="12"/>
        <v>0.45579999999999998</v>
      </c>
      <c r="D18" s="16">
        <f t="shared" si="12"/>
        <v>0.24199999999999999</v>
      </c>
      <c r="Y18" s="5" t="s">
        <v>15</v>
      </c>
      <c r="Z18" s="7">
        <f>Z4</f>
        <v>88</v>
      </c>
      <c r="AA18" s="30">
        <f t="shared" si="14"/>
        <v>88</v>
      </c>
      <c r="AB18" s="31">
        <f t="shared" si="14"/>
        <v>88</v>
      </c>
      <c r="AC18" s="31">
        <f t="shared" si="14"/>
        <v>88</v>
      </c>
      <c r="AD18" s="31">
        <f t="shared" si="14"/>
        <v>88</v>
      </c>
      <c r="AE18" s="31">
        <f t="shared" si="14"/>
        <v>88</v>
      </c>
      <c r="AF18" s="31">
        <f t="shared" si="14"/>
        <v>88</v>
      </c>
      <c r="AG18" s="31">
        <f t="shared" si="14"/>
        <v>88</v>
      </c>
      <c r="AH18" s="31">
        <f t="shared" si="14"/>
        <v>88</v>
      </c>
      <c r="AI18" s="31">
        <f t="shared" si="14"/>
        <v>88</v>
      </c>
      <c r="AJ18" s="32">
        <f t="shared" si="14"/>
        <v>88</v>
      </c>
      <c r="AL18" s="18"/>
      <c r="BA18" s="17"/>
    </row>
    <row r="19" spans="1:53" x14ac:dyDescent="0.25">
      <c r="A19" t="s">
        <v>26</v>
      </c>
      <c r="B19" s="16">
        <f t="shared" si="12"/>
        <v>0.50959999999999983</v>
      </c>
      <c r="C19" s="16">
        <f t="shared" si="12"/>
        <v>0.29120000000000001</v>
      </c>
      <c r="D19" s="16">
        <f t="shared" si="12"/>
        <v>0.32700000000000001</v>
      </c>
      <c r="Y19" s="1" t="s">
        <v>16</v>
      </c>
      <c r="Z19">
        <f>Z5</f>
        <v>2.36</v>
      </c>
      <c r="AA19" s="34">
        <f>Z19</f>
        <v>2.36</v>
      </c>
      <c r="AB19" s="35">
        <f t="shared" ref="AB19:AJ19" si="15">AA19*(1+$Z16)</f>
        <v>3.0774399999999997</v>
      </c>
      <c r="AC19" s="35">
        <f t="shared" si="15"/>
        <v>4.0129817599999997</v>
      </c>
      <c r="AD19" s="35">
        <f t="shared" si="15"/>
        <v>5.2329282150400003</v>
      </c>
      <c r="AE19" s="35">
        <f t="shared" si="15"/>
        <v>6.8237383924121602</v>
      </c>
      <c r="AF19" s="35">
        <f t="shared" si="15"/>
        <v>8.8981548637054573</v>
      </c>
      <c r="AG19" s="35">
        <f t="shared" si="15"/>
        <v>11.603193942271917</v>
      </c>
      <c r="AH19" s="35">
        <f t="shared" si="15"/>
        <v>15.130564900722581</v>
      </c>
      <c r="AI19" s="35">
        <f t="shared" si="15"/>
        <v>19.730256630542247</v>
      </c>
      <c r="AJ19" s="36">
        <f t="shared" si="15"/>
        <v>25.728254646227089</v>
      </c>
      <c r="AL19" s="21"/>
      <c r="AM19" s="24"/>
      <c r="AN19" s="21">
        <v>1</v>
      </c>
      <c r="AO19" s="23">
        <v>2</v>
      </c>
      <c r="AP19" s="23">
        <v>3</v>
      </c>
      <c r="AQ19" s="23">
        <v>4</v>
      </c>
      <c r="AR19" s="23">
        <v>5</v>
      </c>
      <c r="AS19" s="23">
        <v>6</v>
      </c>
      <c r="AT19" s="23">
        <v>7</v>
      </c>
      <c r="AU19" s="23">
        <v>8</v>
      </c>
      <c r="AV19" s="23">
        <v>9</v>
      </c>
      <c r="AW19" s="23">
        <v>10</v>
      </c>
      <c r="AX19" s="24">
        <v>10</v>
      </c>
      <c r="AY19" s="46" t="s">
        <v>41</v>
      </c>
      <c r="AZ19" s="46" t="s">
        <v>62</v>
      </c>
      <c r="BA19" s="47" t="s">
        <v>63</v>
      </c>
    </row>
    <row r="20" spans="1:53" x14ac:dyDescent="0.25">
      <c r="A20" t="s">
        <v>27</v>
      </c>
      <c r="B20" s="16">
        <f t="shared" si="12"/>
        <v>1.0110999999999999</v>
      </c>
      <c r="C20" s="16">
        <f t="shared" si="12"/>
        <v>0.6100000000000001</v>
      </c>
      <c r="D20" s="16">
        <f t="shared" si="12"/>
        <v>0.27300000000000002</v>
      </c>
      <c r="Y20" s="5" t="s">
        <v>19</v>
      </c>
      <c r="Z20" s="37">
        <f>AA20</f>
        <v>643.5946636521245</v>
      </c>
      <c r="AA20" s="38">
        <f t="shared" ref="AA20:AI20" si="16">AB20/(1+$Z17)</f>
        <v>643.5946636521245</v>
      </c>
      <c r="AB20" s="38">
        <f t="shared" si="16"/>
        <v>740.13386319994311</v>
      </c>
      <c r="AC20" s="38">
        <f t="shared" si="16"/>
        <v>851.15394267993452</v>
      </c>
      <c r="AD20" s="38">
        <f t="shared" si="16"/>
        <v>978.82703408192458</v>
      </c>
      <c r="AE20" s="38">
        <f t="shared" si="16"/>
        <v>1125.6510891942132</v>
      </c>
      <c r="AF20" s="38">
        <f t="shared" si="16"/>
        <v>1294.4987525733452</v>
      </c>
      <c r="AG20" s="38">
        <f t="shared" si="16"/>
        <v>1488.6735654593469</v>
      </c>
      <c r="AH20" s="38">
        <f t="shared" si="16"/>
        <v>1711.9746002782488</v>
      </c>
      <c r="AI20" s="38">
        <f t="shared" si="16"/>
        <v>1968.770790319986</v>
      </c>
      <c r="AJ20" s="39">
        <f>AJ19*$Z18</f>
        <v>2264.0864088679837</v>
      </c>
      <c r="AL20" s="1" t="s">
        <v>42</v>
      </c>
      <c r="AM20" s="10"/>
      <c r="AN20" s="48">
        <f>$AM12</f>
        <v>551</v>
      </c>
      <c r="AO20" s="49">
        <f t="shared" ref="AO20:AW20" si="17">AN20+AN20*$AM13</f>
        <v>690.5866666666667</v>
      </c>
      <c r="AP20" s="49">
        <f t="shared" si="17"/>
        <v>865.535288888889</v>
      </c>
      <c r="AQ20" s="49">
        <f t="shared" si="17"/>
        <v>1084.8042287407409</v>
      </c>
      <c r="AR20" s="49">
        <f t="shared" si="17"/>
        <v>1359.6213000217285</v>
      </c>
      <c r="AS20" s="49">
        <f t="shared" si="17"/>
        <v>1704.0586960272331</v>
      </c>
      <c r="AT20" s="49">
        <f t="shared" si="17"/>
        <v>2135.7535656874657</v>
      </c>
      <c r="AU20" s="49">
        <f t="shared" si="17"/>
        <v>2676.8111356616237</v>
      </c>
      <c r="AV20" s="49">
        <f t="shared" si="17"/>
        <v>3354.9366233625683</v>
      </c>
      <c r="AW20" s="49">
        <f t="shared" si="17"/>
        <v>4204.8539012810852</v>
      </c>
      <c r="AX20" s="50">
        <f>$AM15*AW20</f>
        <v>63072.808519216276</v>
      </c>
      <c r="AY20" s="51"/>
      <c r="AZ20" s="49"/>
      <c r="BA20" s="10"/>
    </row>
    <row r="21" spans="1:53" x14ac:dyDescent="0.25">
      <c r="A21" t="s">
        <v>28</v>
      </c>
      <c r="E21" s="57">
        <f>L8</f>
        <v>1.4156079854809438</v>
      </c>
      <c r="AL21" s="5" t="s">
        <v>43</v>
      </c>
      <c r="AM21" s="7"/>
      <c r="AN21" s="52">
        <f>AN20/(1+$AM14)</f>
        <v>479.13043478260875</v>
      </c>
      <c r="AO21" s="53">
        <f t="shared" ref="AO21:AW21" si="18">(1+$AM13)*AN21/(1+$AM14)</f>
        <v>522.18273471959685</v>
      </c>
      <c r="AP21" s="53">
        <f t="shared" si="18"/>
        <v>569.10350218715485</v>
      </c>
      <c r="AQ21" s="53">
        <f t="shared" si="18"/>
        <v>620.24033861556597</v>
      </c>
      <c r="AR21" s="53">
        <f t="shared" si="18"/>
        <v>675.97207918681988</v>
      </c>
      <c r="AS21" s="53">
        <f t="shared" si="18"/>
        <v>736.7115993456357</v>
      </c>
      <c r="AT21" s="53">
        <f t="shared" si="18"/>
        <v>802.90887348973638</v>
      </c>
      <c r="AU21" s="53">
        <f t="shared" si="18"/>
        <v>875.05430849895913</v>
      </c>
      <c r="AV21" s="53">
        <f t="shared" si="18"/>
        <v>953.68237679886579</v>
      </c>
      <c r="AW21" s="53">
        <f t="shared" si="18"/>
        <v>1039.3755758735467</v>
      </c>
      <c r="AX21" s="54">
        <f>AX20/(1+AM14)^AX19</f>
        <v>15590.633638103192</v>
      </c>
      <c r="AY21" s="53">
        <f>SUM(AN21:AX21)</f>
        <v>22864.995461601684</v>
      </c>
      <c r="AZ21" s="53">
        <f>AY21+AM16</f>
        <v>23595.495461601684</v>
      </c>
      <c r="BA21" s="55">
        <f>AZ21/AM17</f>
        <v>146.5558724323086</v>
      </c>
    </row>
    <row r="22" spans="1:53" x14ac:dyDescent="0.25">
      <c r="AN22" s="75"/>
      <c r="AO22" s="75"/>
      <c r="AP22" s="75"/>
      <c r="AQ22" s="75"/>
      <c r="AR22" s="75"/>
      <c r="AS22" s="75"/>
      <c r="AT22" s="75"/>
      <c r="AU22" s="75"/>
      <c r="AV22" s="75"/>
      <c r="AW22" s="75"/>
      <c r="AX22" s="75"/>
      <c r="AY22" s="75"/>
      <c r="AZ22" s="75"/>
      <c r="BA22" s="76"/>
    </row>
    <row r="23" spans="1:53" ht="18.75" x14ac:dyDescent="0.3">
      <c r="A23" s="56" t="s">
        <v>30</v>
      </c>
      <c r="AL23" s="1" t="s">
        <v>35</v>
      </c>
      <c r="AM23" s="22">
        <f>AM1</f>
        <v>551</v>
      </c>
      <c r="AN23" s="42"/>
      <c r="AO23" s="42"/>
      <c r="AP23" s="42"/>
      <c r="AQ23" s="42"/>
      <c r="AR23" s="42"/>
      <c r="AS23" s="42"/>
      <c r="AT23" s="42"/>
      <c r="AU23" s="42"/>
      <c r="AV23" s="42"/>
      <c r="AW23" s="42"/>
      <c r="AX23" s="42"/>
      <c r="AY23" s="42"/>
      <c r="AZ23" s="42"/>
      <c r="BA23" s="10"/>
    </row>
    <row r="24" spans="1:53" x14ac:dyDescent="0.25">
      <c r="A24" t="s">
        <v>107</v>
      </c>
      <c r="B24" t="s">
        <v>104</v>
      </c>
      <c r="C24" t="s">
        <v>105</v>
      </c>
      <c r="D24" t="s">
        <v>106</v>
      </c>
      <c r="AL24" s="18" t="s">
        <v>36</v>
      </c>
      <c r="AM24" s="71">
        <f>Z16</f>
        <v>0.30399999999999999</v>
      </c>
      <c r="BA24" s="17"/>
    </row>
    <row r="25" spans="1:53" x14ac:dyDescent="0.25">
      <c r="A25" s="16">
        <f>B17</f>
        <v>0.30414285714285721</v>
      </c>
      <c r="B25" s="86">
        <v>0.156</v>
      </c>
      <c r="C25" s="85">
        <v>0.3</v>
      </c>
      <c r="D25" s="86">
        <v>0.30399999999999999</v>
      </c>
      <c r="AL25" s="18" t="s">
        <v>37</v>
      </c>
      <c r="AM25" s="69">
        <f>AM3</f>
        <v>0.15</v>
      </c>
      <c r="BA25" s="17"/>
    </row>
    <row r="26" spans="1:53" x14ac:dyDescent="0.25">
      <c r="AL26" s="18" t="s">
        <v>38</v>
      </c>
      <c r="AM26" s="69">
        <f>AM4</f>
        <v>15</v>
      </c>
      <c r="BA26" s="17"/>
    </row>
    <row r="27" spans="1:53" ht="30" x14ac:dyDescent="0.25">
      <c r="A27" t="s">
        <v>18</v>
      </c>
      <c r="B27" s="41" t="s">
        <v>20</v>
      </c>
      <c r="C27" s="41" t="s">
        <v>31</v>
      </c>
      <c r="D27" s="41" t="s">
        <v>21</v>
      </c>
      <c r="E27" s="41" t="s">
        <v>22</v>
      </c>
      <c r="F27" t="s">
        <v>126</v>
      </c>
      <c r="AL27" s="18" t="s">
        <v>39</v>
      </c>
      <c r="AM27" s="69">
        <f>AM5</f>
        <v>730.5</v>
      </c>
      <c r="BA27" s="17"/>
    </row>
    <row r="28" spans="1:53" x14ac:dyDescent="0.25">
      <c r="A28" s="16">
        <f>B25</f>
        <v>0.156</v>
      </c>
      <c r="B28" s="73">
        <f>Z6</f>
        <v>217.63794609166035</v>
      </c>
      <c r="C28" s="63">
        <f>1-$B$6/Table124[[#This Row],[Fair Value
Method 1]]</f>
        <v>0.24411159471834476</v>
      </c>
      <c r="D28" s="66">
        <f>BA10</f>
        <v>81.78531479773811</v>
      </c>
      <c r="E28" s="63">
        <f>1-$B$6/Table124[[#This Row],[Fair Value 
Method 2]]</f>
        <v>-1.011485807774255</v>
      </c>
      <c r="F28" s="63">
        <f>AVERAGE(Table124[[#This Row],[MOS
Method 1]],Table124[[#This Row],[MOS 
Method 2]])</f>
        <v>-0.38368710652795512</v>
      </c>
      <c r="AL28" s="5" t="s">
        <v>40</v>
      </c>
      <c r="AM28" s="70">
        <f>AM6</f>
        <v>161</v>
      </c>
      <c r="BA28" s="17"/>
    </row>
    <row r="29" spans="1:53" x14ac:dyDescent="0.25">
      <c r="A29" s="61">
        <f>C25</f>
        <v>0.3</v>
      </c>
      <c r="B29" s="73">
        <f>Z13</f>
        <v>450.51932402364957</v>
      </c>
      <c r="C29" s="63">
        <f>1-$B$6/Table124[[#This Row],[Fair Value
Method 1]]</f>
        <v>0.63484363216490092</v>
      </c>
      <c r="D29" s="66">
        <f>BA21</f>
        <v>146.5558724323086</v>
      </c>
      <c r="E29" s="63">
        <f>1-$B$6/Table124[[#This Row],[Fair Value 
Method 2]]</f>
        <v>-0.12250704983509997</v>
      </c>
      <c r="F29" s="63">
        <f>AVERAGE(Table124[[#This Row],[MOS
Method 1]],Table124[[#This Row],[MOS 
Method 2]])</f>
        <v>0.25616829116490047</v>
      </c>
      <c r="AL29" s="18"/>
      <c r="BA29" s="17"/>
    </row>
    <row r="30" spans="1:53" x14ac:dyDescent="0.25">
      <c r="A30" s="61">
        <f>D25</f>
        <v>0.30399999999999999</v>
      </c>
      <c r="B30" s="73">
        <f>Z20</f>
        <v>643.5946636521245</v>
      </c>
      <c r="C30" s="63">
        <f>1-$B$6/Table124[[#This Row],[Fair Value
Method 1]]</f>
        <v>0.74438880666524465</v>
      </c>
      <c r="D30" s="66">
        <f>BA32</f>
        <v>198.74196074112641</v>
      </c>
      <c r="E30" s="63">
        <f>1-$B$6/Table124[[#This Row],[Fair Value 
Method 2]]</f>
        <v>0.17224324754305731</v>
      </c>
      <c r="F30" s="63">
        <f>AVERAGE(Table124[[#This Row],[MOS
Method 1]],Table124[[#This Row],[MOS 
Method 2]])</f>
        <v>0.45831602710415098</v>
      </c>
      <c r="AL30" s="21"/>
      <c r="AM30" s="24"/>
      <c r="AN30" s="21">
        <v>1</v>
      </c>
      <c r="AO30" s="23">
        <v>2</v>
      </c>
      <c r="AP30" s="23">
        <v>3</v>
      </c>
      <c r="AQ30" s="23">
        <v>4</v>
      </c>
      <c r="AR30" s="23">
        <v>5</v>
      </c>
      <c r="AS30" s="23">
        <v>6</v>
      </c>
      <c r="AT30" s="23">
        <v>7</v>
      </c>
      <c r="AU30" s="23">
        <v>8</v>
      </c>
      <c r="AV30" s="23">
        <v>9</v>
      </c>
      <c r="AW30" s="23">
        <v>10</v>
      </c>
      <c r="AX30" s="24">
        <v>10</v>
      </c>
      <c r="AY30" s="46" t="s">
        <v>41</v>
      </c>
      <c r="AZ30" s="46" t="s">
        <v>62</v>
      </c>
      <c r="BA30" s="47" t="s">
        <v>63</v>
      </c>
    </row>
    <row r="31" spans="1:53" x14ac:dyDescent="0.25">
      <c r="AL31" s="1" t="s">
        <v>42</v>
      </c>
      <c r="AM31" s="10"/>
      <c r="AN31" s="48">
        <f>$AM23</f>
        <v>551</v>
      </c>
      <c r="AO31" s="49">
        <f t="shared" ref="AO31:AW31" si="19">AN31+AN31*$AM24</f>
        <v>718.50400000000002</v>
      </c>
      <c r="AP31" s="49">
        <f t="shared" si="19"/>
        <v>936.929216</v>
      </c>
      <c r="AQ31" s="49">
        <f t="shared" si="19"/>
        <v>1221.7556976639999</v>
      </c>
      <c r="AR31" s="49">
        <f t="shared" si="19"/>
        <v>1593.1694297538559</v>
      </c>
      <c r="AS31" s="49">
        <f t="shared" si="19"/>
        <v>2077.4929363990282</v>
      </c>
      <c r="AT31" s="49">
        <f t="shared" si="19"/>
        <v>2709.0507890643325</v>
      </c>
      <c r="AU31" s="49">
        <f t="shared" si="19"/>
        <v>3532.6022289398898</v>
      </c>
      <c r="AV31" s="49">
        <f t="shared" si="19"/>
        <v>4606.5133065376158</v>
      </c>
      <c r="AW31" s="49">
        <f t="shared" si="19"/>
        <v>6006.8933517250507</v>
      </c>
      <c r="AX31" s="50">
        <f>$AM26*AW31</f>
        <v>90103.400275875756</v>
      </c>
      <c r="AY31" s="51"/>
      <c r="AZ31" s="49"/>
      <c r="BA31" s="10"/>
    </row>
    <row r="32" spans="1:53" ht="18.75" x14ac:dyDescent="0.3">
      <c r="A32" s="56" t="s">
        <v>64</v>
      </c>
      <c r="AL32" s="5" t="s">
        <v>43</v>
      </c>
      <c r="AM32" s="7"/>
      <c r="AN32" s="52">
        <f>AN31/(1+$AM25)</f>
        <v>479.13043478260875</v>
      </c>
      <c r="AO32" s="53">
        <f t="shared" ref="AO32:AW32" si="20">(1+$AM24)*AN32/(1+$AM25)</f>
        <v>543.29224952741026</v>
      </c>
      <c r="AP32" s="53">
        <f t="shared" si="20"/>
        <v>616.04616815977658</v>
      </c>
      <c r="AQ32" s="53">
        <f t="shared" si="20"/>
        <v>698.5427854611728</v>
      </c>
      <c r="AR32" s="53">
        <f t="shared" si="20"/>
        <v>792.08677586206034</v>
      </c>
      <c r="AS32" s="53">
        <f t="shared" si="20"/>
        <v>898.15752671663199</v>
      </c>
      <c r="AT32" s="53">
        <f t="shared" si="20"/>
        <v>1018.4325346421637</v>
      </c>
      <c r="AU32" s="53">
        <f t="shared" si="20"/>
        <v>1154.8139349333753</v>
      </c>
      <c r="AV32" s="53">
        <f t="shared" si="20"/>
        <v>1309.4585836114099</v>
      </c>
      <c r="AW32" s="53">
        <f t="shared" si="20"/>
        <v>1484.8121678515467</v>
      </c>
      <c r="AX32" s="54">
        <f>AX31/(1+AM25)^AX30</f>
        <v>22272.182517773195</v>
      </c>
      <c r="AY32" s="53">
        <f>SUM(AN32:AX32)</f>
        <v>31266.955679321352</v>
      </c>
      <c r="AZ32" s="53">
        <f>AY32+AM27</f>
        <v>31997.455679321352</v>
      </c>
      <c r="BA32" s="55">
        <f>AZ32/AM28</f>
        <v>198.74196074112641</v>
      </c>
    </row>
    <row r="33" spans="1:7" x14ac:dyDescent="0.25">
      <c r="A33" s="77" t="s">
        <v>66</v>
      </c>
    </row>
    <row r="36" spans="1:7" x14ac:dyDescent="0.25">
      <c r="D36" s="78"/>
      <c r="E36" s="78"/>
      <c r="G36" s="79"/>
    </row>
    <row r="39" spans="1:7" x14ac:dyDescent="0.25">
      <c r="D39" s="41"/>
    </row>
  </sheetData>
  <mergeCells count="11">
    <mergeCell ref="R1:R2"/>
    <mergeCell ref="M1:M2"/>
    <mergeCell ref="N1:N2"/>
    <mergeCell ref="O1:O2"/>
    <mergeCell ref="P1:P2"/>
    <mergeCell ref="Q1:Q2"/>
    <mergeCell ref="S1:S2"/>
    <mergeCell ref="T1:T2"/>
    <mergeCell ref="U1:U2"/>
    <mergeCell ref="V1:V2"/>
    <mergeCell ref="W1:W2"/>
  </mergeCells>
  <conditionalFormatting sqref="L8">
    <cfRule type="cellIs" dxfId="148" priority="23" operator="greaterThan">
      <formula>3</formula>
    </cfRule>
    <cfRule type="cellIs" dxfId="147" priority="24" operator="lessThan">
      <formula>3</formula>
    </cfRule>
  </conditionalFormatting>
  <conditionalFormatting sqref="I3:K7">
    <cfRule type="cellIs" dxfId="146" priority="20" operator="between">
      <formula>0.05</formula>
      <formula>0.1</formula>
    </cfRule>
    <cfRule type="cellIs" dxfId="145" priority="21" operator="lessThan">
      <formula>0.05</formula>
    </cfRule>
    <cfRule type="cellIs" dxfId="144"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{C127701A-FF25-45AF-BE9C-8D278D556B16}</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{DDB2C22F-129F-4102-9AEA-3B36D23412D8}</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{A334B784-607D-4794-BE1A-D481BDE5B860}</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{7EBD19DD-11DE-4801-9B45-A1E905AAF03B}</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{230345D5-5F64-462B-BB20-7838BC60D0A0}</x14:id>
        </ext>
      </extLst>
    </cfRule>
  </conditionalFormatting>
  <conditionalFormatting sqref="E21">
    <cfRule type="cellIs" dxfId="143" priority="13" operator="greaterThan">
      <formula>3</formula>
    </cfRule>
    <cfRule type="cellIs" dxfId="142" priority="14" operator="lessThan">
      <formula>3</formula>
    </cfRule>
  </conditionalFormatting>
  <conditionalFormatting sqref="B16:D20">
    <cfRule type="cellIs" dxfId="141" priority="10" operator="between">
      <formula>0.05</formula>
      <formula>0.1</formula>
    </cfRule>
    <cfRule type="cellIs" dxfId="140" priority="11" operator="lessThan">
      <formula>0.05</formula>
    </cfRule>
    <cfRule type="cellIs" dxfId="139" priority="12" operator="greaterThan">
      <formula>0.1</formula>
    </cfRule>
  </conditionalFormatting>
  <conditionalFormatting sqref="C28:C30">
    <cfRule type="cellIs" dxfId="138" priority="7" operator="lessThan">
      <formula>0</formula>
    </cfRule>
    <cfRule type="cellIs" dxfId="137" priority="8" operator="between">
      <formula>0</formula>
      <formula>0.3</formula>
    </cfRule>
    <cfRule type="cellIs" dxfId="136" priority="9" operator="greaterThan">
      <formula>0.3</formula>
    </cfRule>
  </conditionalFormatting>
  <conditionalFormatting sqref="E28:E30">
    <cfRule type="cellIs" dxfId="135" priority="4" operator="lessThan">
      <formula>0</formula>
    </cfRule>
    <cfRule type="cellIs" dxfId="134" priority="5" operator="between">
      <formula>0</formula>
      <formula>0.3</formula>
    </cfRule>
    <cfRule type="cellIs" dxfId="133" priority="6" operator="greaterThan">
      <formula>0.3</formula>
    </cfRule>
  </conditionalFormatting>
  <conditionalFormatting sqref="F28:F30">
    <cfRule type="cellIs" dxfId="132" priority="1" operator="lessThan">
      <formula>0</formula>
    </cfRule>
    <cfRule type="cellIs" dxfId="131" priority="2" operator="between">
      <formula>0</formula>
      <formula>0.3</formula>
    </cfRule>
    <cfRule type="cellIs" dxfId="130" priority="3" operator="greaterThan">
      <formula>0.3</formula>
    </cfRule>
  </conditionalFormatting>
  <hyperlinks>
    <hyperlink ref="B4" r:id="rId1" xr:uid="{3FC38D5A-786C-4710-9F22-C449047368BE}"/>
    <hyperlink ref="A33" r:id="rId2" xr:uid="{04E5D304-D007-4C09-8BED-5AE872E5AB90}"/>
  </hyperlinks>
  <pageMargins left="0.7" right="0.7" top="0.75" bottom="0.75" header="0.3" footer="0.3"/>
  <pageSetup paperSize="9" orientation="portrait" r:id="rId3"/>
  <legacyDrawing r:id="rId4"/>
  <tableParts count="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dataBar" id="{C127701A-FF25-45AF-BE9C-8D278D556B16}">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DDB2C22F-129F-4102-9AEA-3B36D23412D8}">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A334B784-607D-4794-BE1A-D481BDE5B860}">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7EBD19DD-11DE-4801-9B45-A1E905AAF03B}">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230345D5-5F64-462B-BB20-7838BC60D0A0}">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545E2-8F87-4934-8F91-A592AC38DB66}">
  <dimension ref="A1:BA40"/>
  <sheetViews>
    <sheetView zoomScaleNormal="100" workbookViewId="0">
      <selection activeCell="F33" sqref="F33"/>
    </sheetView>
  </sheetViews>
  <sheetFormatPr defaultRowHeight="15" x14ac:dyDescent="0.25"/>
  <cols>
    <col min="1" max="1" width="19.85546875" bestFit="1" customWidth="1"/>
    <col min="2" max="2" width="18.5703125" customWidth="1"/>
    <col min="3" max="3" width="18.85546875" customWidth="1"/>
    <col min="4" max="4" width="18.7109375" customWidth="1"/>
    <col min="5" max="5" width="11.85546875" customWidth="1"/>
    <col min="7" max="7" width="179.140625" customWidth="1"/>
    <col min="8" max="8" width="40.7109375" bestFit="1" customWidth="1"/>
    <col min="9" max="9" width="16.140625" bestFit="1" customWidth="1"/>
    <col min="10" max="11" width="14.7109375" bestFit="1" customWidth="1"/>
    <col min="12" max="12" width="12.7109375" customWidth="1"/>
    <col min="13" max="23" width="8.5703125" customWidth="1"/>
    <col min="24" max="24" width="9.5703125" customWidth="1"/>
    <col min="25" max="25" width="22.7109375" bestFit="1" customWidth="1"/>
    <col min="26" max="33" width="10.42578125" bestFit="1" customWidth="1"/>
    <col min="34" max="36" width="12" bestFit="1" customWidth="1"/>
    <col min="37" max="37" width="23.42578125" bestFit="1" customWidth="1"/>
    <col min="38" max="38" width="30.42578125" bestFit="1" customWidth="1"/>
    <col min="51" max="51" width="13.5703125" bestFit="1" customWidth="1"/>
    <col min="52" max="52" width="22.140625" bestFit="1" customWidth="1"/>
    <col min="53" max="53" width="22" bestFit="1" customWidth="1"/>
  </cols>
  <sheetData>
    <row r="1" spans="1:53" ht="18.75" x14ac:dyDescent="0.3">
      <c r="A1" s="56" t="s">
        <v>51</v>
      </c>
      <c r="H1" s="1" t="s">
        <v>17</v>
      </c>
      <c r="I1" s="2" t="s">
        <v>0</v>
      </c>
      <c r="J1" s="3" t="s">
        <v>1</v>
      </c>
      <c r="K1" s="3" t="s">
        <v>2</v>
      </c>
      <c r="L1" s="4" t="s">
        <v>3</v>
      </c>
      <c r="M1" s="105">
        <f t="shared" ref="M1:U1" ca="1" si="0">N1-1</f>
        <v>2011</v>
      </c>
      <c r="N1" s="105">
        <f t="shared" ca="1" si="0"/>
        <v>2012</v>
      </c>
      <c r="O1" s="105">
        <f t="shared" ca="1" si="0"/>
        <v>2013</v>
      </c>
      <c r="P1" s="105">
        <f t="shared" ca="1" si="0"/>
        <v>2014</v>
      </c>
      <c r="Q1" s="105">
        <f t="shared" ca="1" si="0"/>
        <v>2015</v>
      </c>
      <c r="R1" s="105">
        <f t="shared" ca="1" si="0"/>
        <v>2016</v>
      </c>
      <c r="S1" s="105">
        <f t="shared" ca="1" si="0"/>
        <v>2017</v>
      </c>
      <c r="T1" s="105">
        <f t="shared" ca="1" si="0"/>
        <v>2018</v>
      </c>
      <c r="U1" s="105">
        <f t="shared" ca="1" si="0"/>
        <v>2019</v>
      </c>
      <c r="V1" s="105">
        <f ca="1">W1-1</f>
        <v>2020</v>
      </c>
      <c r="W1" s="107">
        <f ca="1">YEAR(TODAY())-1</f>
        <v>2021</v>
      </c>
      <c r="Y1" s="21" t="s">
        <v>59</v>
      </c>
      <c r="Z1" s="22"/>
      <c r="AA1" s="21">
        <v>2021</v>
      </c>
      <c r="AB1" s="23">
        <v>2022</v>
      </c>
      <c r="AC1" s="23">
        <v>2023</v>
      </c>
      <c r="AD1" s="23">
        <v>2024</v>
      </c>
      <c r="AE1" s="23">
        <v>2025</v>
      </c>
      <c r="AF1" s="23">
        <v>2026</v>
      </c>
      <c r="AG1" s="23">
        <v>2027</v>
      </c>
      <c r="AH1" s="23">
        <v>2028</v>
      </c>
      <c r="AI1" s="23">
        <v>2029</v>
      </c>
      <c r="AJ1" s="24">
        <v>2030</v>
      </c>
      <c r="AL1" s="1" t="s">
        <v>35</v>
      </c>
      <c r="AM1" s="44">
        <v>764</v>
      </c>
      <c r="AN1" s="42"/>
      <c r="AO1" s="42"/>
      <c r="AP1" s="42"/>
      <c r="AQ1" s="42"/>
      <c r="AR1" s="42"/>
      <c r="AS1" s="42"/>
      <c r="AT1" s="42"/>
      <c r="AU1" s="42"/>
      <c r="AV1" s="42"/>
      <c r="AW1" s="42"/>
      <c r="AX1" s="42"/>
      <c r="AY1" s="42"/>
      <c r="AZ1" s="42"/>
      <c r="BA1" s="10"/>
    </row>
    <row r="2" spans="1:53" x14ac:dyDescent="0.25">
      <c r="A2" t="s">
        <v>32</v>
      </c>
      <c r="B2" t="s">
        <v>33</v>
      </c>
      <c r="H2" s="5"/>
      <c r="I2" s="5" t="s">
        <v>4</v>
      </c>
      <c r="J2" s="6" t="s">
        <v>4</v>
      </c>
      <c r="K2" s="6" t="s">
        <v>4</v>
      </c>
      <c r="L2" s="7" t="s">
        <v>5</v>
      </c>
      <c r="M2" s="106"/>
      <c r="N2" s="106"/>
      <c r="O2" s="106"/>
      <c r="P2" s="106"/>
      <c r="Q2" s="106"/>
      <c r="R2" s="106"/>
      <c r="S2" s="106"/>
      <c r="T2" s="106"/>
      <c r="U2" s="106"/>
      <c r="V2" s="106"/>
      <c r="W2" s="108"/>
      <c r="Y2" s="1" t="s">
        <v>13</v>
      </c>
      <c r="Z2" s="65">
        <f>MIN(Table154755[])</f>
        <v>0.13100000000000001</v>
      </c>
      <c r="AA2" s="8">
        <f>Z2</f>
        <v>0.13100000000000001</v>
      </c>
      <c r="AB2" s="9">
        <f t="shared" ref="AB2:AJ3" si="1">AA2</f>
        <v>0.13100000000000001</v>
      </c>
      <c r="AC2" s="9">
        <f t="shared" si="1"/>
        <v>0.13100000000000001</v>
      </c>
      <c r="AD2" s="9">
        <f t="shared" si="1"/>
        <v>0.13100000000000001</v>
      </c>
      <c r="AE2" s="9">
        <f t="shared" si="1"/>
        <v>0.13100000000000001</v>
      </c>
      <c r="AF2" s="9">
        <f t="shared" si="1"/>
        <v>0.13100000000000001</v>
      </c>
      <c r="AG2" s="9">
        <f t="shared" si="1"/>
        <v>0.13100000000000001</v>
      </c>
      <c r="AH2" s="9">
        <f t="shared" si="1"/>
        <v>0.13100000000000001</v>
      </c>
      <c r="AI2" s="9">
        <f t="shared" si="1"/>
        <v>0.13100000000000001</v>
      </c>
      <c r="AJ2" s="25">
        <f t="shared" si="1"/>
        <v>0.13100000000000001</v>
      </c>
      <c r="AL2" s="18" t="s">
        <v>36</v>
      </c>
      <c r="AM2" s="67">
        <f>Z2</f>
        <v>0.13100000000000001</v>
      </c>
      <c r="BA2" s="17"/>
    </row>
    <row r="3" spans="1:53" x14ac:dyDescent="0.25">
      <c r="A3" t="s">
        <v>49</v>
      </c>
      <c r="B3" s="58" t="s">
        <v>53</v>
      </c>
      <c r="H3" s="2" t="s">
        <v>6</v>
      </c>
      <c r="I3" s="8">
        <f>AVERAGE(M3:W3)</f>
        <v>0.22293636363636365</v>
      </c>
      <c r="J3" s="9">
        <f>AVERAGE(S3:W3)</f>
        <v>0.1802</v>
      </c>
      <c r="K3" s="9">
        <f>W3</f>
        <v>0.15679999999999999</v>
      </c>
      <c r="L3" s="10" t="s">
        <v>7</v>
      </c>
      <c r="M3" s="11">
        <v>8.3499999999999991E-2</v>
      </c>
      <c r="N3" s="12">
        <v>1.0630999999999999</v>
      </c>
      <c r="O3" s="12">
        <v>6.7799999999999999E-2</v>
      </c>
      <c r="P3" s="12">
        <v>0.11070000000000001</v>
      </c>
      <c r="Q3" s="12">
        <v>0.11230000000000001</v>
      </c>
      <c r="R3" s="12">
        <v>0.1139</v>
      </c>
      <c r="S3" s="12">
        <v>0.1764</v>
      </c>
      <c r="T3" s="12">
        <v>0.2039</v>
      </c>
      <c r="U3" s="12">
        <v>0.18379999999999999</v>
      </c>
      <c r="V3" s="12">
        <v>0.18010000000000001</v>
      </c>
      <c r="W3" s="13">
        <v>0.15679999999999999</v>
      </c>
      <c r="Y3" s="18" t="s">
        <v>14</v>
      </c>
      <c r="Z3" s="64">
        <v>0.15</v>
      </c>
      <c r="AA3" s="26">
        <f t="shared" ref="AA3:AJ4" si="2">Z3</f>
        <v>0.15</v>
      </c>
      <c r="AB3" s="27">
        <f t="shared" si="1"/>
        <v>0.15</v>
      </c>
      <c r="AC3" s="27">
        <f t="shared" si="1"/>
        <v>0.15</v>
      </c>
      <c r="AD3" s="27">
        <f t="shared" si="1"/>
        <v>0.15</v>
      </c>
      <c r="AE3" s="27">
        <f t="shared" si="1"/>
        <v>0.15</v>
      </c>
      <c r="AF3" s="27">
        <f t="shared" si="1"/>
        <v>0.15</v>
      </c>
      <c r="AG3" s="27">
        <f t="shared" si="1"/>
        <v>0.15</v>
      </c>
      <c r="AH3" s="27">
        <f t="shared" si="1"/>
        <v>0.15</v>
      </c>
      <c r="AI3" s="27">
        <f t="shared" si="1"/>
        <v>0.15</v>
      </c>
      <c r="AJ3" s="28">
        <f t="shared" si="1"/>
        <v>0.15</v>
      </c>
      <c r="AL3" s="18" t="s">
        <v>37</v>
      </c>
      <c r="AM3" s="64">
        <v>0.15</v>
      </c>
      <c r="BA3" s="17"/>
    </row>
    <row r="4" spans="1:53" x14ac:dyDescent="0.25">
      <c r="A4" t="s">
        <v>50</v>
      </c>
      <c r="B4" s="74" t="s">
        <v>128</v>
      </c>
      <c r="H4" s="14" t="s">
        <v>8</v>
      </c>
      <c r="I4" s="15">
        <f>AVERAGE(M4:W4)</f>
        <v>0.30325000000000008</v>
      </c>
      <c r="J4" s="16">
        <f>AVERAGE(S4:W4)</f>
        <v>0.3256</v>
      </c>
      <c r="K4" s="16">
        <f>W4</f>
        <v>0.29699999999999999</v>
      </c>
      <c r="L4" s="17" t="s">
        <v>7</v>
      </c>
      <c r="M4" s="18" t="s">
        <v>7</v>
      </c>
      <c r="N4" s="12"/>
      <c r="O4" s="12"/>
      <c r="P4" s="12">
        <v>0.34100000000000003</v>
      </c>
      <c r="Q4" s="12">
        <v>0.22</v>
      </c>
      <c r="R4" s="12">
        <v>0.23699999999999999</v>
      </c>
      <c r="S4" s="12">
        <v>0.312</v>
      </c>
      <c r="T4" s="12">
        <v>0.35199999999999998</v>
      </c>
      <c r="U4" s="12">
        <v>0.34200000000000003</v>
      </c>
      <c r="V4" s="12">
        <v>0.32500000000000001</v>
      </c>
      <c r="W4" s="13">
        <v>0.29699999999999999</v>
      </c>
      <c r="Y4" s="5" t="s">
        <v>15</v>
      </c>
      <c r="Z4" s="29">
        <v>85</v>
      </c>
      <c r="AA4" s="30">
        <f t="shared" si="2"/>
        <v>85</v>
      </c>
      <c r="AB4" s="31">
        <f t="shared" si="2"/>
        <v>85</v>
      </c>
      <c r="AC4" s="31">
        <f t="shared" si="2"/>
        <v>85</v>
      </c>
      <c r="AD4" s="31">
        <f t="shared" si="2"/>
        <v>85</v>
      </c>
      <c r="AE4" s="31">
        <f t="shared" si="2"/>
        <v>85</v>
      </c>
      <c r="AF4" s="31">
        <f t="shared" si="2"/>
        <v>85</v>
      </c>
      <c r="AG4" s="31">
        <f t="shared" si="2"/>
        <v>85</v>
      </c>
      <c r="AH4" s="31">
        <f t="shared" si="2"/>
        <v>85</v>
      </c>
      <c r="AI4" s="31">
        <f t="shared" si="2"/>
        <v>85</v>
      </c>
      <c r="AJ4" s="32">
        <f t="shared" si="2"/>
        <v>85</v>
      </c>
      <c r="AL4" s="18" t="s">
        <v>38</v>
      </c>
      <c r="AM4" s="64">
        <v>15</v>
      </c>
      <c r="BA4" s="17"/>
    </row>
    <row r="5" spans="1:53" x14ac:dyDescent="0.25">
      <c r="A5" t="s">
        <v>34</v>
      </c>
      <c r="B5" s="92">
        <v>44686</v>
      </c>
      <c r="H5" s="14" t="s">
        <v>9</v>
      </c>
      <c r="I5" s="15">
        <f>AVERAGE(M5:W5)</f>
        <v>0.81170000000000009</v>
      </c>
      <c r="J5" s="16">
        <f>AVERAGE(S5:W5)</f>
        <v>0.39960000000000001</v>
      </c>
      <c r="K5" s="16">
        <f>W5</f>
        <v>0.114</v>
      </c>
      <c r="L5" s="17" t="s">
        <v>7</v>
      </c>
      <c r="M5" s="18" t="s">
        <v>7</v>
      </c>
      <c r="N5" s="12">
        <v>0.5</v>
      </c>
      <c r="O5" s="12">
        <v>4</v>
      </c>
      <c r="P5" s="12">
        <v>0.86699999999999999</v>
      </c>
      <c r="Q5" s="12">
        <v>0.35699999999999998</v>
      </c>
      <c r="R5" s="12">
        <v>0.39500000000000002</v>
      </c>
      <c r="S5" s="12">
        <v>0.84899999999999998</v>
      </c>
      <c r="T5" s="12">
        <v>0.5</v>
      </c>
      <c r="U5" s="12">
        <v>0.29299999999999998</v>
      </c>
      <c r="V5" s="12">
        <v>0.24199999999999999</v>
      </c>
      <c r="W5" s="13">
        <v>0.114</v>
      </c>
      <c r="Y5" s="1" t="s">
        <v>16</v>
      </c>
      <c r="Z5" s="33">
        <v>2.63</v>
      </c>
      <c r="AA5" s="34">
        <f>Z5</f>
        <v>2.63</v>
      </c>
      <c r="AB5" s="35">
        <f t="shared" ref="AB5:AJ5" si="3">AA5*(1+$Z2)</f>
        <v>2.9745299999999997</v>
      </c>
      <c r="AC5" s="35">
        <f t="shared" si="3"/>
        <v>3.3641934299999998</v>
      </c>
      <c r="AD5" s="35">
        <f t="shared" si="3"/>
        <v>3.8049027693299999</v>
      </c>
      <c r="AE5" s="35">
        <f t="shared" si="3"/>
        <v>4.3033450321122295</v>
      </c>
      <c r="AF5" s="35">
        <f t="shared" si="3"/>
        <v>4.8670832313189312</v>
      </c>
      <c r="AG5" s="35">
        <f t="shared" si="3"/>
        <v>5.5046711346217112</v>
      </c>
      <c r="AH5" s="35">
        <f t="shared" si="3"/>
        <v>6.225783053257155</v>
      </c>
      <c r="AI5" s="35">
        <f t="shared" si="3"/>
        <v>7.0413606332338423</v>
      </c>
      <c r="AJ5" s="36">
        <f t="shared" si="3"/>
        <v>7.9637788761874759</v>
      </c>
      <c r="AL5" s="18" t="s">
        <v>39</v>
      </c>
      <c r="AM5" s="40">
        <v>1138</v>
      </c>
      <c r="BA5" s="17"/>
    </row>
    <row r="6" spans="1:53" x14ac:dyDescent="0.25">
      <c r="A6" t="s">
        <v>44</v>
      </c>
      <c r="B6" s="62">
        <v>164.51</v>
      </c>
      <c r="H6" s="14" t="s">
        <v>10</v>
      </c>
      <c r="I6" s="15">
        <f>AVERAGE(M6:W6)</f>
        <v>0.42540000000000006</v>
      </c>
      <c r="J6" s="16">
        <f>AVERAGE(S6:W6)</f>
        <v>0.27480000000000004</v>
      </c>
      <c r="K6" s="16">
        <f>W6</f>
        <v>0.26300000000000001</v>
      </c>
      <c r="L6" s="17" t="s">
        <v>7</v>
      </c>
      <c r="M6" s="18" t="s">
        <v>7</v>
      </c>
      <c r="N6" s="12">
        <v>1.115</v>
      </c>
      <c r="O6" s="12">
        <v>0.622</v>
      </c>
      <c r="P6" s="12">
        <v>0.49099999999999999</v>
      </c>
      <c r="Q6" s="12">
        <v>0.307</v>
      </c>
      <c r="R6" s="12">
        <v>0.34499999999999997</v>
      </c>
      <c r="S6" s="12">
        <v>0.254</v>
      </c>
      <c r="T6" s="12">
        <v>0.249</v>
      </c>
      <c r="U6" s="12">
        <v>0.28100000000000003</v>
      </c>
      <c r="V6" s="12">
        <v>0.32700000000000001</v>
      </c>
      <c r="W6" s="13">
        <v>0.26300000000000001</v>
      </c>
      <c r="Y6" s="5" t="s">
        <v>19</v>
      </c>
      <c r="Z6" s="37">
        <f>AA6</f>
        <v>192.42325434545012</v>
      </c>
      <c r="AA6" s="38">
        <f t="shared" ref="AA6:AI6" si="4">AB6/(1+$Z3)</f>
        <v>192.42325434545012</v>
      </c>
      <c r="AB6" s="38">
        <f t="shared" si="4"/>
        <v>221.28674249726762</v>
      </c>
      <c r="AC6" s="38">
        <f t="shared" si="4"/>
        <v>254.47975387185775</v>
      </c>
      <c r="AD6" s="38">
        <f t="shared" si="4"/>
        <v>292.65171695263638</v>
      </c>
      <c r="AE6" s="38">
        <f t="shared" si="4"/>
        <v>336.5494744955318</v>
      </c>
      <c r="AF6" s="38">
        <f t="shared" si="4"/>
        <v>387.03189566986151</v>
      </c>
      <c r="AG6" s="38">
        <f t="shared" si="4"/>
        <v>445.08668002034068</v>
      </c>
      <c r="AH6" s="38">
        <f t="shared" si="4"/>
        <v>511.84968202339172</v>
      </c>
      <c r="AI6" s="38">
        <f t="shared" si="4"/>
        <v>588.62713432690043</v>
      </c>
      <c r="AJ6" s="39">
        <f>AJ5*$Z4</f>
        <v>676.9212044759355</v>
      </c>
      <c r="AL6" s="5" t="s">
        <v>40</v>
      </c>
      <c r="AM6" s="45">
        <v>162</v>
      </c>
      <c r="BA6" s="17"/>
    </row>
    <row r="7" spans="1:53" x14ac:dyDescent="0.25">
      <c r="A7" t="s">
        <v>45</v>
      </c>
      <c r="B7" s="58" t="s">
        <v>55</v>
      </c>
      <c r="H7" s="14" t="s">
        <v>11</v>
      </c>
      <c r="I7" s="15">
        <f>AVERAGE(M7:W7)</f>
        <v>1.0497999999999998</v>
      </c>
      <c r="J7" s="16">
        <f>AVERAGE(S7:W7)</f>
        <v>0.41500000000000004</v>
      </c>
      <c r="K7" s="16">
        <f>W7</f>
        <v>0.38700000000000001</v>
      </c>
      <c r="L7" s="17" t="s">
        <v>7</v>
      </c>
      <c r="M7" s="18" t="s">
        <v>7</v>
      </c>
      <c r="N7" s="12">
        <v>6.25</v>
      </c>
      <c r="O7" s="12">
        <v>0.34499999999999997</v>
      </c>
      <c r="P7" s="12">
        <v>5.0999999999999997E-2</v>
      </c>
      <c r="Q7" s="12">
        <v>0.41499999999999998</v>
      </c>
      <c r="R7" s="12">
        <v>1.3620000000000001</v>
      </c>
      <c r="S7" s="12">
        <v>0.62</v>
      </c>
      <c r="T7" s="12">
        <v>0.35599999999999998</v>
      </c>
      <c r="U7" s="12">
        <v>0.439</v>
      </c>
      <c r="V7" s="12">
        <v>0.27300000000000002</v>
      </c>
      <c r="W7" s="13">
        <v>0.38700000000000001</v>
      </c>
      <c r="AL7" s="18"/>
      <c r="BA7" s="17"/>
    </row>
    <row r="8" spans="1:53" x14ac:dyDescent="0.25">
      <c r="A8" t="s">
        <v>46</v>
      </c>
      <c r="B8" s="58"/>
      <c r="H8" s="19" t="s">
        <v>12</v>
      </c>
      <c r="I8" s="5" t="s">
        <v>7</v>
      </c>
      <c r="J8" s="6" t="s">
        <v>7</v>
      </c>
      <c r="K8" s="6" t="s">
        <v>7</v>
      </c>
      <c r="L8" s="20"/>
      <c r="M8" s="5" t="s">
        <v>7</v>
      </c>
      <c r="N8" s="6" t="s">
        <v>7</v>
      </c>
      <c r="O8" s="6" t="s">
        <v>7</v>
      </c>
      <c r="P8" s="6" t="s">
        <v>7</v>
      </c>
      <c r="Q8" s="6" t="s">
        <v>7</v>
      </c>
      <c r="R8" s="6" t="s">
        <v>7</v>
      </c>
      <c r="S8" s="6" t="s">
        <v>7</v>
      </c>
      <c r="T8" s="6" t="s">
        <v>7</v>
      </c>
      <c r="U8" s="6" t="s">
        <v>7</v>
      </c>
      <c r="V8" s="6" t="s">
        <v>7</v>
      </c>
      <c r="W8" s="7" t="s">
        <v>7</v>
      </c>
      <c r="Y8" s="21" t="s">
        <v>60</v>
      </c>
      <c r="Z8" s="22"/>
      <c r="AA8" s="21">
        <v>2021</v>
      </c>
      <c r="AB8" s="23">
        <v>2022</v>
      </c>
      <c r="AC8" s="23">
        <v>2023</v>
      </c>
      <c r="AD8" s="23">
        <v>2024</v>
      </c>
      <c r="AE8" s="23">
        <v>2025</v>
      </c>
      <c r="AF8" s="23">
        <v>2026</v>
      </c>
      <c r="AG8" s="23">
        <v>2027</v>
      </c>
      <c r="AH8" s="23">
        <v>2028</v>
      </c>
      <c r="AI8" s="23">
        <v>2029</v>
      </c>
      <c r="AJ8" s="24">
        <v>2030</v>
      </c>
      <c r="AL8" s="21"/>
      <c r="AM8" s="24"/>
      <c r="AN8" s="21">
        <v>1</v>
      </c>
      <c r="AO8" s="23">
        <v>2</v>
      </c>
      <c r="AP8" s="23">
        <v>3</v>
      </c>
      <c r="AQ8" s="23">
        <v>4</v>
      </c>
      <c r="AR8" s="23">
        <v>5</v>
      </c>
      <c r="AS8" s="23">
        <v>6</v>
      </c>
      <c r="AT8" s="23">
        <v>7</v>
      </c>
      <c r="AU8" s="23">
        <v>8</v>
      </c>
      <c r="AV8" s="23">
        <v>9</v>
      </c>
      <c r="AW8" s="23">
        <v>10</v>
      </c>
      <c r="AX8" s="24">
        <v>10</v>
      </c>
      <c r="AY8" s="46" t="s">
        <v>41</v>
      </c>
      <c r="AZ8" s="46" t="s">
        <v>62</v>
      </c>
      <c r="BA8" s="47" t="s">
        <v>63</v>
      </c>
    </row>
    <row r="9" spans="1:53" x14ac:dyDescent="0.25">
      <c r="A9" t="s">
        <v>82</v>
      </c>
      <c r="B9" s="58"/>
      <c r="H9" s="43"/>
      <c r="Y9" s="1"/>
      <c r="AA9" s="1"/>
      <c r="AB9" s="42"/>
      <c r="AC9" s="42"/>
      <c r="AD9" s="42"/>
      <c r="AE9" s="42"/>
      <c r="AF9" s="42"/>
      <c r="AG9" s="42"/>
      <c r="AH9" s="42"/>
      <c r="AI9" s="42"/>
      <c r="AJ9" s="10"/>
      <c r="AL9" s="1"/>
      <c r="AM9" s="10"/>
      <c r="AN9" s="1"/>
      <c r="AO9" s="42"/>
      <c r="AP9" s="42"/>
      <c r="AQ9" s="42"/>
      <c r="AR9" s="42"/>
      <c r="AS9" s="42"/>
      <c r="AT9" s="42"/>
      <c r="AU9" s="42"/>
      <c r="AV9" s="42"/>
      <c r="AW9" s="42"/>
      <c r="AX9" s="10"/>
      <c r="AY9" s="93"/>
      <c r="AZ9" s="93"/>
      <c r="BA9" s="94"/>
    </row>
    <row r="10" spans="1:53" x14ac:dyDescent="0.25">
      <c r="A10" t="s">
        <v>47</v>
      </c>
      <c r="B10" s="58"/>
      <c r="Y10" s="1" t="s">
        <v>13</v>
      </c>
      <c r="Z10" s="65">
        <f>AVERAGE(Table154755[])</f>
        <v>0.20498333333333338</v>
      </c>
      <c r="AA10" s="8">
        <f>Z10</f>
        <v>0.20498333333333338</v>
      </c>
      <c r="AB10" s="9">
        <f t="shared" ref="AB10:AJ11" si="5">AA10</f>
        <v>0.20498333333333338</v>
      </c>
      <c r="AC10" s="9">
        <f t="shared" si="5"/>
        <v>0.20498333333333338</v>
      </c>
      <c r="AD10" s="9">
        <f t="shared" si="5"/>
        <v>0.20498333333333338</v>
      </c>
      <c r="AE10" s="9">
        <f t="shared" si="5"/>
        <v>0.20498333333333338</v>
      </c>
      <c r="AF10" s="9">
        <f t="shared" si="5"/>
        <v>0.20498333333333338</v>
      </c>
      <c r="AG10" s="9">
        <f t="shared" si="5"/>
        <v>0.20498333333333338</v>
      </c>
      <c r="AH10" s="9">
        <f t="shared" si="5"/>
        <v>0.20498333333333338</v>
      </c>
      <c r="AI10" s="9">
        <f t="shared" si="5"/>
        <v>0.20498333333333338</v>
      </c>
      <c r="AJ10" s="25">
        <f t="shared" si="5"/>
        <v>0.20498333333333338</v>
      </c>
      <c r="AL10" s="1" t="s">
        <v>42</v>
      </c>
      <c r="AM10" s="10"/>
      <c r="AN10" s="48">
        <f>$AM1</f>
        <v>764</v>
      </c>
      <c r="AO10" s="49">
        <f t="shared" ref="AO10:AW10" si="6">AN10+AN10*$AM2</f>
        <v>864.08400000000006</v>
      </c>
      <c r="AP10" s="49">
        <f t="shared" si="6"/>
        <v>977.2790040000001</v>
      </c>
      <c r="AQ10" s="49">
        <f t="shared" si="6"/>
        <v>1105.3025535240001</v>
      </c>
      <c r="AR10" s="49">
        <f t="shared" si="6"/>
        <v>1250.0971880356442</v>
      </c>
      <c r="AS10" s="49">
        <f t="shared" si="6"/>
        <v>1413.8599196683135</v>
      </c>
      <c r="AT10" s="49">
        <f t="shared" si="6"/>
        <v>1599.0755691448626</v>
      </c>
      <c r="AU10" s="49">
        <f t="shared" si="6"/>
        <v>1808.5544687028396</v>
      </c>
      <c r="AV10" s="49">
        <f t="shared" si="6"/>
        <v>2045.4751041029117</v>
      </c>
      <c r="AW10" s="49">
        <f t="shared" si="6"/>
        <v>2313.4323427403933</v>
      </c>
      <c r="AX10" s="50">
        <f>$AM4*AW10</f>
        <v>34701.485141105899</v>
      </c>
      <c r="AY10" s="51"/>
      <c r="AZ10" s="49"/>
      <c r="BA10" s="10"/>
    </row>
    <row r="11" spans="1:53" x14ac:dyDescent="0.25">
      <c r="A11" t="s">
        <v>48</v>
      </c>
      <c r="B11" s="58"/>
      <c r="Y11" s="18" t="s">
        <v>14</v>
      </c>
      <c r="Z11">
        <f>Z3</f>
        <v>0.15</v>
      </c>
      <c r="AA11" s="26">
        <f t="shared" ref="AA11:AJ12" si="7">Z11</f>
        <v>0.15</v>
      </c>
      <c r="AB11" s="27">
        <f t="shared" si="5"/>
        <v>0.15</v>
      </c>
      <c r="AC11" s="27">
        <f t="shared" si="5"/>
        <v>0.15</v>
      </c>
      <c r="AD11" s="27">
        <f t="shared" si="5"/>
        <v>0.15</v>
      </c>
      <c r="AE11" s="27">
        <f t="shared" si="5"/>
        <v>0.15</v>
      </c>
      <c r="AF11" s="27">
        <f t="shared" si="5"/>
        <v>0.15</v>
      </c>
      <c r="AG11" s="27">
        <f t="shared" si="5"/>
        <v>0.15</v>
      </c>
      <c r="AH11" s="27">
        <f t="shared" si="5"/>
        <v>0.15</v>
      </c>
      <c r="AI11" s="27">
        <f t="shared" si="5"/>
        <v>0.15</v>
      </c>
      <c r="AJ11" s="28">
        <f t="shared" si="5"/>
        <v>0.15</v>
      </c>
      <c r="AL11" s="5" t="s">
        <v>43</v>
      </c>
      <c r="AM11" s="7"/>
      <c r="AN11" s="52">
        <f>AN10/(1+$AM3)</f>
        <v>664.34782608695662</v>
      </c>
      <c r="AO11" s="53">
        <f t="shared" ref="AO11:AW11" si="8">(1+$AM2)*AN11/(1+$AM3)</f>
        <v>653.37164461247653</v>
      </c>
      <c r="AP11" s="53">
        <f t="shared" si="8"/>
        <v>642.57680874496612</v>
      </c>
      <c r="AQ11" s="53">
        <f t="shared" si="8"/>
        <v>631.96032233961455</v>
      </c>
      <c r="AR11" s="53">
        <f t="shared" si="8"/>
        <v>621.519238753134</v>
      </c>
      <c r="AS11" s="53">
        <f t="shared" si="8"/>
        <v>611.25066002590836</v>
      </c>
      <c r="AT11" s="53">
        <f t="shared" si="8"/>
        <v>601.15173607765428</v>
      </c>
      <c r="AU11" s="53">
        <f t="shared" si="8"/>
        <v>591.21966391637136</v>
      </c>
      <c r="AV11" s="53">
        <f t="shared" si="8"/>
        <v>581.45168686036186</v>
      </c>
      <c r="AW11" s="53">
        <f t="shared" si="8"/>
        <v>571.84509377310383</v>
      </c>
      <c r="AX11" s="54">
        <f>AX10/(1+AM3)^AX8</f>
        <v>8577.6764065965563</v>
      </c>
      <c r="AY11" s="53">
        <f>SUM(AN11:AX11)</f>
        <v>14748.371087787105</v>
      </c>
      <c r="AZ11" s="53">
        <f>AY11+AM5</f>
        <v>15886.371087787105</v>
      </c>
      <c r="BA11" s="55">
        <f>AZ11/AM6</f>
        <v>98.064019060414225</v>
      </c>
    </row>
    <row r="12" spans="1:53" x14ac:dyDescent="0.25">
      <c r="A12" t="s">
        <v>65</v>
      </c>
      <c r="B12" s="92"/>
      <c r="Y12" s="5" t="s">
        <v>15</v>
      </c>
      <c r="Z12" s="7">
        <f>Z4</f>
        <v>85</v>
      </c>
      <c r="AA12" s="30">
        <f t="shared" si="7"/>
        <v>85</v>
      </c>
      <c r="AB12" s="31">
        <f t="shared" si="7"/>
        <v>85</v>
      </c>
      <c r="AC12" s="31">
        <f t="shared" si="7"/>
        <v>85</v>
      </c>
      <c r="AD12" s="31">
        <f t="shared" si="7"/>
        <v>85</v>
      </c>
      <c r="AE12" s="31">
        <f t="shared" si="7"/>
        <v>85</v>
      </c>
      <c r="AF12" s="31">
        <f t="shared" si="7"/>
        <v>85</v>
      </c>
      <c r="AG12" s="31">
        <f t="shared" si="7"/>
        <v>85</v>
      </c>
      <c r="AH12" s="31">
        <f t="shared" si="7"/>
        <v>85</v>
      </c>
      <c r="AI12" s="31">
        <f t="shared" si="7"/>
        <v>85</v>
      </c>
      <c r="AJ12" s="32">
        <f t="shared" si="7"/>
        <v>85</v>
      </c>
    </row>
    <row r="13" spans="1:53" x14ac:dyDescent="0.25">
      <c r="Y13" s="1" t="s">
        <v>16</v>
      </c>
      <c r="Z13">
        <f>Z5</f>
        <v>2.63</v>
      </c>
      <c r="AA13" s="34">
        <f>Z13</f>
        <v>2.63</v>
      </c>
      <c r="AB13" s="35">
        <f t="shared" ref="AB13:AJ13" si="9">AA13*(1+$Z10)</f>
        <v>3.1691061666666664</v>
      </c>
      <c r="AC13" s="35">
        <f t="shared" si="9"/>
        <v>3.8187201123972216</v>
      </c>
      <c r="AD13" s="35">
        <f t="shared" si="9"/>
        <v>4.6014940901034453</v>
      </c>
      <c r="AE13" s="35">
        <f t="shared" si="9"/>
        <v>5.5447236870064831</v>
      </c>
      <c r="AF13" s="35">
        <f t="shared" si="9"/>
        <v>6.6812996307813615</v>
      </c>
      <c r="AG13" s="35">
        <f t="shared" si="9"/>
        <v>8.0508547000976947</v>
      </c>
      <c r="AH13" s="35">
        <f t="shared" si="9"/>
        <v>9.7011457327060526</v>
      </c>
      <c r="AI13" s="35">
        <f t="shared" si="9"/>
        <v>11.689718922148581</v>
      </c>
      <c r="AJ13" s="36">
        <f t="shared" si="9"/>
        <v>14.085916472540337</v>
      </c>
      <c r="AL13" s="1" t="s">
        <v>35</v>
      </c>
      <c r="AM13" s="72">
        <f>AM1</f>
        <v>764</v>
      </c>
      <c r="AN13" s="42"/>
      <c r="AO13" s="42"/>
      <c r="AP13" s="42"/>
      <c r="AQ13" s="42"/>
      <c r="AR13" s="42"/>
      <c r="AS13" s="42"/>
      <c r="AT13" s="42"/>
      <c r="AU13" s="42"/>
      <c r="AV13" s="42"/>
      <c r="AW13" s="42"/>
      <c r="AX13" s="42"/>
      <c r="AY13" s="42"/>
      <c r="AZ13" s="42"/>
      <c r="BA13" s="10"/>
    </row>
    <row r="14" spans="1:53" ht="18.75" x14ac:dyDescent="0.3">
      <c r="A14" s="56" t="s">
        <v>29</v>
      </c>
      <c r="Y14" s="5" t="s">
        <v>19</v>
      </c>
      <c r="Z14" s="37">
        <f>AA14</f>
        <v>340.34821034382867</v>
      </c>
      <c r="AA14" s="38">
        <f t="shared" ref="AA14:AI14" si="10">AB14/(1+$Z11)</f>
        <v>340.34821034382867</v>
      </c>
      <c r="AB14" s="38">
        <f t="shared" si="10"/>
        <v>391.40044189540293</v>
      </c>
      <c r="AC14" s="38">
        <f t="shared" si="10"/>
        <v>450.11050817971335</v>
      </c>
      <c r="AD14" s="38">
        <f t="shared" si="10"/>
        <v>517.62708440667029</v>
      </c>
      <c r="AE14" s="38">
        <f t="shared" si="10"/>
        <v>595.27114706767077</v>
      </c>
      <c r="AF14" s="38">
        <f t="shared" si="10"/>
        <v>684.56181912782131</v>
      </c>
      <c r="AG14" s="38">
        <f t="shared" si="10"/>
        <v>787.24609199699444</v>
      </c>
      <c r="AH14" s="38">
        <f t="shared" si="10"/>
        <v>905.33300579654349</v>
      </c>
      <c r="AI14" s="38">
        <f t="shared" si="10"/>
        <v>1041.1329566660249</v>
      </c>
      <c r="AJ14" s="39">
        <f>AJ13*$Z12</f>
        <v>1197.3029001659286</v>
      </c>
      <c r="AL14" s="18" t="s">
        <v>36</v>
      </c>
      <c r="AM14" s="68">
        <f>Z10</f>
        <v>0.20498333333333338</v>
      </c>
      <c r="BA14" s="17"/>
    </row>
    <row r="15" spans="1:53" x14ac:dyDescent="0.25">
      <c r="A15" s="43" t="s">
        <v>32</v>
      </c>
      <c r="B15" s="18" t="s">
        <v>0</v>
      </c>
      <c r="C15" t="s">
        <v>1</v>
      </c>
      <c r="D15" t="s">
        <v>2</v>
      </c>
      <c r="E15" t="s">
        <v>3</v>
      </c>
      <c r="AL15" s="18" t="s">
        <v>37</v>
      </c>
      <c r="AM15" s="69">
        <f>AM3</f>
        <v>0.15</v>
      </c>
      <c r="BA15" s="17"/>
    </row>
    <row r="16" spans="1:53" x14ac:dyDescent="0.25">
      <c r="A16" t="s">
        <v>52</v>
      </c>
      <c r="B16" t="s">
        <v>4</v>
      </c>
      <c r="C16" t="s">
        <v>4</v>
      </c>
      <c r="D16" t="s">
        <v>4</v>
      </c>
      <c r="E16" t="s">
        <v>5</v>
      </c>
      <c r="Y16" s="21" t="s">
        <v>61</v>
      </c>
      <c r="Z16" s="22"/>
      <c r="AA16" s="21">
        <v>2021</v>
      </c>
      <c r="AB16" s="23">
        <v>2022</v>
      </c>
      <c r="AC16" s="23">
        <v>2023</v>
      </c>
      <c r="AD16" s="23">
        <v>2024</v>
      </c>
      <c r="AE16" s="23">
        <v>2025</v>
      </c>
      <c r="AF16" s="23">
        <v>2026</v>
      </c>
      <c r="AG16" s="23">
        <v>2027</v>
      </c>
      <c r="AH16" s="23">
        <v>2028</v>
      </c>
      <c r="AI16" s="23">
        <v>2029</v>
      </c>
      <c r="AJ16" s="24">
        <v>2030</v>
      </c>
      <c r="AL16" s="18" t="s">
        <v>38</v>
      </c>
      <c r="AM16" s="69">
        <f>AM4</f>
        <v>15</v>
      </c>
      <c r="BA16" s="17"/>
    </row>
    <row r="17" spans="1:53" x14ac:dyDescent="0.25">
      <c r="A17" t="s">
        <v>23</v>
      </c>
      <c r="B17" s="16">
        <f t="shared" ref="B17:D21" si="11">I3</f>
        <v>0.22293636363636365</v>
      </c>
      <c r="C17" s="16">
        <f t="shared" si="11"/>
        <v>0.1802</v>
      </c>
      <c r="D17" s="16">
        <f t="shared" si="11"/>
        <v>0.15679999999999999</v>
      </c>
      <c r="Y17" s="1" t="s">
        <v>13</v>
      </c>
      <c r="Z17" s="60">
        <f>MAX(Table154755[])</f>
        <v>0.30325000000000008</v>
      </c>
      <c r="AA17" s="8">
        <f>Z17</f>
        <v>0.30325000000000008</v>
      </c>
      <c r="AB17" s="9">
        <f t="shared" ref="AB17:AJ18" si="12">AA17</f>
        <v>0.30325000000000008</v>
      </c>
      <c r="AC17" s="9">
        <f t="shared" si="12"/>
        <v>0.30325000000000008</v>
      </c>
      <c r="AD17" s="9">
        <f t="shared" si="12"/>
        <v>0.30325000000000008</v>
      </c>
      <c r="AE17" s="9">
        <f t="shared" si="12"/>
        <v>0.30325000000000008</v>
      </c>
      <c r="AF17" s="9">
        <f t="shared" si="12"/>
        <v>0.30325000000000008</v>
      </c>
      <c r="AG17" s="9">
        <f t="shared" si="12"/>
        <v>0.30325000000000008</v>
      </c>
      <c r="AH17" s="9">
        <f t="shared" si="12"/>
        <v>0.30325000000000008</v>
      </c>
      <c r="AI17" s="9">
        <f t="shared" si="12"/>
        <v>0.30325000000000008</v>
      </c>
      <c r="AJ17" s="25">
        <f t="shared" si="12"/>
        <v>0.30325000000000008</v>
      </c>
      <c r="AL17" s="18" t="s">
        <v>39</v>
      </c>
      <c r="AM17" s="69">
        <f>AM5</f>
        <v>1138</v>
      </c>
      <c r="BA17" s="17"/>
    </row>
    <row r="18" spans="1:53" x14ac:dyDescent="0.25">
      <c r="A18" t="s">
        <v>24</v>
      </c>
      <c r="B18" s="16">
        <f t="shared" si="11"/>
        <v>0.30325000000000008</v>
      </c>
      <c r="C18" s="16">
        <f t="shared" si="11"/>
        <v>0.3256</v>
      </c>
      <c r="D18" s="16">
        <f t="shared" si="11"/>
        <v>0.29699999999999999</v>
      </c>
      <c r="Y18" s="18" t="s">
        <v>14</v>
      </c>
      <c r="Z18">
        <f>Z3</f>
        <v>0.15</v>
      </c>
      <c r="AA18" s="26">
        <f t="shared" ref="AA18:AJ19" si="13">Z18</f>
        <v>0.15</v>
      </c>
      <c r="AB18" s="27">
        <f t="shared" si="12"/>
        <v>0.15</v>
      </c>
      <c r="AC18" s="27">
        <f t="shared" si="12"/>
        <v>0.15</v>
      </c>
      <c r="AD18" s="27">
        <f t="shared" si="12"/>
        <v>0.15</v>
      </c>
      <c r="AE18" s="27">
        <f t="shared" si="12"/>
        <v>0.15</v>
      </c>
      <c r="AF18" s="27">
        <f t="shared" si="12"/>
        <v>0.15</v>
      </c>
      <c r="AG18" s="27">
        <f t="shared" si="12"/>
        <v>0.15</v>
      </c>
      <c r="AH18" s="27">
        <f t="shared" si="12"/>
        <v>0.15</v>
      </c>
      <c r="AI18" s="27">
        <f t="shared" si="12"/>
        <v>0.15</v>
      </c>
      <c r="AJ18" s="28">
        <f t="shared" si="12"/>
        <v>0.15</v>
      </c>
      <c r="AL18" s="5" t="s">
        <v>40</v>
      </c>
      <c r="AM18" s="70">
        <f>AM6</f>
        <v>162</v>
      </c>
      <c r="BA18" s="17"/>
    </row>
    <row r="19" spans="1:53" x14ac:dyDescent="0.25">
      <c r="A19" t="s">
        <v>25</v>
      </c>
      <c r="B19" s="16">
        <f t="shared" si="11"/>
        <v>0.81170000000000009</v>
      </c>
      <c r="C19" s="16">
        <f t="shared" si="11"/>
        <v>0.39960000000000001</v>
      </c>
      <c r="D19" s="16">
        <f t="shared" si="11"/>
        <v>0.114</v>
      </c>
      <c r="Y19" s="5" t="s">
        <v>15</v>
      </c>
      <c r="Z19" s="7">
        <f>Z4</f>
        <v>85</v>
      </c>
      <c r="AA19" s="30">
        <f t="shared" si="13"/>
        <v>85</v>
      </c>
      <c r="AB19" s="31">
        <f t="shared" si="13"/>
        <v>85</v>
      </c>
      <c r="AC19" s="31">
        <f t="shared" si="13"/>
        <v>85</v>
      </c>
      <c r="AD19" s="31">
        <f t="shared" si="13"/>
        <v>85</v>
      </c>
      <c r="AE19" s="31">
        <f t="shared" si="13"/>
        <v>85</v>
      </c>
      <c r="AF19" s="31">
        <f t="shared" si="13"/>
        <v>85</v>
      </c>
      <c r="AG19" s="31">
        <f t="shared" si="13"/>
        <v>85</v>
      </c>
      <c r="AH19" s="31">
        <f t="shared" si="13"/>
        <v>85</v>
      </c>
      <c r="AI19" s="31">
        <f t="shared" si="13"/>
        <v>85</v>
      </c>
      <c r="AJ19" s="32">
        <f t="shared" si="13"/>
        <v>85</v>
      </c>
      <c r="AL19" s="18"/>
      <c r="BA19" s="17"/>
    </row>
    <row r="20" spans="1:53" x14ac:dyDescent="0.25">
      <c r="A20" t="s">
        <v>26</v>
      </c>
      <c r="B20" s="16">
        <f t="shared" si="11"/>
        <v>0.42540000000000006</v>
      </c>
      <c r="C20" s="16">
        <f t="shared" si="11"/>
        <v>0.27480000000000004</v>
      </c>
      <c r="D20" s="16">
        <f t="shared" si="11"/>
        <v>0.26300000000000001</v>
      </c>
      <c r="Y20" s="1" t="s">
        <v>16</v>
      </c>
      <c r="Z20">
        <f>Z5</f>
        <v>2.63</v>
      </c>
      <c r="AA20" s="34">
        <f>Z20</f>
        <v>2.63</v>
      </c>
      <c r="AB20" s="35">
        <f t="shared" ref="AB20:AJ20" si="14">AA20*(1+$Z17)</f>
        <v>3.4275474999999997</v>
      </c>
      <c r="AC20" s="35">
        <f t="shared" si="14"/>
        <v>4.4669512793749995</v>
      </c>
      <c r="AD20" s="35">
        <f t="shared" si="14"/>
        <v>5.8215542548454682</v>
      </c>
      <c r="AE20" s="35">
        <f t="shared" si="14"/>
        <v>7.5869405826273564</v>
      </c>
      <c r="AF20" s="35">
        <f t="shared" si="14"/>
        <v>9.8876803143091028</v>
      </c>
      <c r="AG20" s="35">
        <f t="shared" si="14"/>
        <v>12.886119369623339</v>
      </c>
      <c r="AH20" s="35">
        <f t="shared" si="14"/>
        <v>16.793835068461618</v>
      </c>
      <c r="AI20" s="35">
        <f t="shared" si="14"/>
        <v>21.886565552972606</v>
      </c>
      <c r="AJ20" s="36">
        <f t="shared" si="14"/>
        <v>28.52366655691155</v>
      </c>
      <c r="AL20" s="21"/>
      <c r="AM20" s="24"/>
      <c r="AN20" s="21">
        <v>1</v>
      </c>
      <c r="AO20" s="23">
        <v>2</v>
      </c>
      <c r="AP20" s="23">
        <v>3</v>
      </c>
      <c r="AQ20" s="23">
        <v>4</v>
      </c>
      <c r="AR20" s="23">
        <v>5</v>
      </c>
      <c r="AS20" s="23">
        <v>6</v>
      </c>
      <c r="AT20" s="23">
        <v>7</v>
      </c>
      <c r="AU20" s="23">
        <v>8</v>
      </c>
      <c r="AV20" s="23">
        <v>9</v>
      </c>
      <c r="AW20" s="23">
        <v>10</v>
      </c>
      <c r="AX20" s="24">
        <v>10</v>
      </c>
      <c r="AY20" s="46" t="s">
        <v>41</v>
      </c>
      <c r="AZ20" s="46" t="s">
        <v>62</v>
      </c>
      <c r="BA20" s="47" t="s">
        <v>63</v>
      </c>
    </row>
    <row r="21" spans="1:53" x14ac:dyDescent="0.25">
      <c r="A21" t="s">
        <v>27</v>
      </c>
      <c r="B21" s="16">
        <f t="shared" si="11"/>
        <v>1.0497999999999998</v>
      </c>
      <c r="C21" s="16">
        <f t="shared" si="11"/>
        <v>0.41500000000000004</v>
      </c>
      <c r="D21" s="16">
        <f t="shared" si="11"/>
        <v>0.38700000000000001</v>
      </c>
      <c r="Y21" s="5" t="s">
        <v>19</v>
      </c>
      <c r="Z21" s="37">
        <f>AA21</f>
        <v>689.19753173420361</v>
      </c>
      <c r="AA21" s="38">
        <f t="shared" ref="AA21:AI21" si="15">AB21/(1+$Z18)</f>
        <v>689.19753173420361</v>
      </c>
      <c r="AB21" s="38">
        <f t="shared" si="15"/>
        <v>792.57716149433406</v>
      </c>
      <c r="AC21" s="38">
        <f t="shared" si="15"/>
        <v>911.46373571848414</v>
      </c>
      <c r="AD21" s="38">
        <f t="shared" si="15"/>
        <v>1048.1832960762567</v>
      </c>
      <c r="AE21" s="38">
        <f t="shared" si="15"/>
        <v>1205.4107904876951</v>
      </c>
      <c r="AF21" s="38">
        <f t="shared" si="15"/>
        <v>1386.2224090608493</v>
      </c>
      <c r="AG21" s="38">
        <f t="shared" si="15"/>
        <v>1594.1557704199765</v>
      </c>
      <c r="AH21" s="38">
        <f t="shared" si="15"/>
        <v>1833.279135982973</v>
      </c>
      <c r="AI21" s="38">
        <f t="shared" si="15"/>
        <v>2108.2710063804188</v>
      </c>
      <c r="AJ21" s="39">
        <f>AJ20*$Z19</f>
        <v>2424.5116573374817</v>
      </c>
      <c r="AL21" s="1" t="s">
        <v>42</v>
      </c>
      <c r="AM21" s="10"/>
      <c r="AN21" s="48">
        <f>$AM13</f>
        <v>764</v>
      </c>
      <c r="AO21" s="49">
        <f t="shared" ref="AO21:AW21" si="16">AN21+AN21*$AM14</f>
        <v>920.60726666666665</v>
      </c>
      <c r="AP21" s="49">
        <f t="shared" si="16"/>
        <v>1109.316412878889</v>
      </c>
      <c r="AQ21" s="49">
        <f t="shared" si="16"/>
        <v>1336.7077889121799</v>
      </c>
      <c r="AR21" s="49">
        <f t="shared" si="16"/>
        <v>1610.7106071760284</v>
      </c>
      <c r="AS21" s="49">
        <f t="shared" si="16"/>
        <v>1940.8794364703281</v>
      </c>
      <c r="AT21" s="49">
        <f t="shared" si="16"/>
        <v>2338.7273729561375</v>
      </c>
      <c r="AU21" s="49">
        <f t="shared" si="16"/>
        <v>2818.1275056225963</v>
      </c>
      <c r="AV21" s="49">
        <f t="shared" si="16"/>
        <v>3395.7966754834683</v>
      </c>
      <c r="AW21" s="49">
        <f t="shared" si="16"/>
        <v>4091.8783973463214</v>
      </c>
      <c r="AX21" s="50">
        <f>$AM16*AW21</f>
        <v>61378.175960194822</v>
      </c>
      <c r="AY21" s="51"/>
      <c r="AZ21" s="49"/>
      <c r="BA21" s="10"/>
    </row>
    <row r="22" spans="1:53" x14ac:dyDescent="0.25">
      <c r="A22" t="s">
        <v>28</v>
      </c>
      <c r="E22" s="57">
        <f>L8</f>
        <v>0</v>
      </c>
      <c r="AL22" s="5" t="s">
        <v>43</v>
      </c>
      <c r="AM22" s="7"/>
      <c r="AN22" s="52">
        <f>AN21/(1+$AM15)</f>
        <v>664.34782608695662</v>
      </c>
      <c r="AO22" s="53">
        <f t="shared" ref="AO22:AW22" si="17">(1+$AM14)*AN22/(1+$AM15)</f>
        <v>696.11135475740411</v>
      </c>
      <c r="AP22" s="53">
        <f t="shared" si="17"/>
        <v>729.39354837109511</v>
      </c>
      <c r="AQ22" s="53">
        <f t="shared" si="17"/>
        <v>764.26701672002616</v>
      </c>
      <c r="AR22" s="53">
        <f t="shared" si="17"/>
        <v>800.80784118610393</v>
      </c>
      <c r="AS22" s="53">
        <f t="shared" si="17"/>
        <v>839.09574072339319</v>
      </c>
      <c r="AT22" s="53">
        <f t="shared" si="17"/>
        <v>879.21424577624077</v>
      </c>
      <c r="AU22" s="53">
        <f t="shared" si="17"/>
        <v>921.250880512702</v>
      </c>
      <c r="AV22" s="53">
        <f t="shared" si="17"/>
        <v>965.29735377083841</v>
      </c>
      <c r="AW22" s="53">
        <f t="shared" si="17"/>
        <v>1011.4497591344617</v>
      </c>
      <c r="AX22" s="54">
        <f>AX21/(1+AM15)^AX20</f>
        <v>15171.746387016929</v>
      </c>
      <c r="AY22" s="53">
        <f>SUM(AN22:AX22)</f>
        <v>23442.981954056151</v>
      </c>
      <c r="AZ22" s="53">
        <f>AY22+AM17</f>
        <v>24580.981954056151</v>
      </c>
      <c r="BA22" s="55">
        <f>AZ22/AM18</f>
        <v>151.73445650651945</v>
      </c>
    </row>
    <row r="23" spans="1:53" x14ac:dyDescent="0.25">
      <c r="AN23" s="75"/>
      <c r="AO23" s="75"/>
      <c r="AP23" s="75"/>
      <c r="AQ23" s="75"/>
      <c r="AR23" s="75"/>
      <c r="AS23" s="75"/>
      <c r="AT23" s="75"/>
      <c r="AU23" s="75"/>
      <c r="AV23" s="75"/>
      <c r="AW23" s="75"/>
      <c r="AX23" s="75"/>
      <c r="AY23" s="75"/>
      <c r="AZ23" s="75"/>
      <c r="BA23" s="76"/>
    </row>
    <row r="24" spans="1:53" ht="18.75" x14ac:dyDescent="0.3">
      <c r="A24" s="56" t="s">
        <v>30</v>
      </c>
      <c r="AL24" s="1" t="s">
        <v>35</v>
      </c>
      <c r="AM24" s="22">
        <f>AM1</f>
        <v>764</v>
      </c>
      <c r="AN24" s="42"/>
      <c r="AO24" s="42"/>
      <c r="AP24" s="42"/>
      <c r="AQ24" s="42"/>
      <c r="AR24" s="42"/>
      <c r="AS24" s="42"/>
      <c r="AT24" s="42"/>
      <c r="AU24" s="42"/>
      <c r="AV24" s="42"/>
      <c r="AW24" s="42"/>
      <c r="AX24" s="42"/>
      <c r="AY24" s="42"/>
      <c r="AZ24" s="42"/>
      <c r="BA24" s="10"/>
    </row>
    <row r="25" spans="1:53" x14ac:dyDescent="0.25">
      <c r="A25" t="s">
        <v>107</v>
      </c>
      <c r="B25" t="s">
        <v>137</v>
      </c>
      <c r="C25" t="s">
        <v>138</v>
      </c>
      <c r="AL25" s="18" t="s">
        <v>36</v>
      </c>
      <c r="AM25" s="71">
        <f>Z17</f>
        <v>0.30325000000000008</v>
      </c>
      <c r="BA25" s="17"/>
    </row>
    <row r="26" spans="1:53" x14ac:dyDescent="0.25">
      <c r="A26" s="16">
        <f>B18</f>
        <v>0.30325000000000008</v>
      </c>
      <c r="B26" s="86">
        <v>0.13100000000000001</v>
      </c>
      <c r="C26" s="85">
        <v>0.1807</v>
      </c>
      <c r="AL26" s="18" t="s">
        <v>37</v>
      </c>
      <c r="AM26" s="69">
        <f>AM3</f>
        <v>0.15</v>
      </c>
      <c r="BA26" s="17"/>
    </row>
    <row r="27" spans="1:53" x14ac:dyDescent="0.25">
      <c r="AL27" s="18" t="s">
        <v>38</v>
      </c>
      <c r="AM27" s="69">
        <f>AM4</f>
        <v>15</v>
      </c>
      <c r="BA27" s="17"/>
    </row>
    <row r="28" spans="1:53" ht="30" x14ac:dyDescent="0.25">
      <c r="A28" t="s">
        <v>18</v>
      </c>
      <c r="B28" s="41" t="s">
        <v>20</v>
      </c>
      <c r="C28" s="41" t="s">
        <v>31</v>
      </c>
      <c r="D28" s="41" t="s">
        <v>21</v>
      </c>
      <c r="E28" s="41" t="s">
        <v>22</v>
      </c>
      <c r="F28" t="s">
        <v>126</v>
      </c>
      <c r="AL28" s="18" t="s">
        <v>39</v>
      </c>
      <c r="AM28" s="69">
        <f>AM5</f>
        <v>1138</v>
      </c>
      <c r="BA28" s="17"/>
    </row>
    <row r="29" spans="1:53" x14ac:dyDescent="0.25">
      <c r="A29" s="16">
        <f>MIN(Table154755[])</f>
        <v>0.13100000000000001</v>
      </c>
      <c r="B29" s="73">
        <f>Z6</f>
        <v>192.42325434545012</v>
      </c>
      <c r="C29" s="63">
        <f>1-$B$6/Table14452[[#This Row],[Fair Value
Method 1]]</f>
        <v>0.1450617517118723</v>
      </c>
      <c r="D29" s="66">
        <f>BA11</f>
        <v>98.064019060414225</v>
      </c>
      <c r="E29" s="63">
        <f>1-$B$6/Table14452[[#This Row],[Fair Value 
Method 2]]</f>
        <v>-0.67757758223890918</v>
      </c>
      <c r="F29" s="63">
        <f>AVERAGE(Table14452[[#This Row],[MOS
Method 1]],Table14452[[#This Row],[MOS 
Method 2]])</f>
        <v>-0.26625791526351844</v>
      </c>
      <c r="AL29" s="5" t="s">
        <v>40</v>
      </c>
      <c r="AM29" s="70">
        <f>AM6</f>
        <v>162</v>
      </c>
      <c r="BA29" s="17"/>
    </row>
    <row r="30" spans="1:53" x14ac:dyDescent="0.25">
      <c r="A30" s="61">
        <f>AVERAGE(Table154755[])</f>
        <v>0.20498333333333338</v>
      </c>
      <c r="B30" s="73">
        <f>Z14</f>
        <v>340.34821034382867</v>
      </c>
      <c r="C30" s="63">
        <f>1-$B$6/Table14452[[#This Row],[Fair Value
Method 1]]</f>
        <v>0.51664208889534724</v>
      </c>
      <c r="D30" s="66">
        <f>BA22</f>
        <v>151.73445650651945</v>
      </c>
      <c r="E30" s="63">
        <f>1-$B$6/Table14452[[#This Row],[Fair Value 
Method 2]]</f>
        <v>-8.4196719635211137E-2</v>
      </c>
      <c r="F30" s="63">
        <f>AVERAGE(Table14452[[#This Row],[MOS
Method 1]],Table14452[[#This Row],[MOS 
Method 2]])</f>
        <v>0.21622268463006805</v>
      </c>
      <c r="AL30" s="18"/>
      <c r="BA30" s="17"/>
    </row>
    <row r="31" spans="1:53" x14ac:dyDescent="0.25">
      <c r="A31" s="61">
        <f>MAX(Table154755[])</f>
        <v>0.30325000000000008</v>
      </c>
      <c r="B31" s="73">
        <f>Z21</f>
        <v>689.19753173420361</v>
      </c>
      <c r="C31" s="63">
        <f>1-$B$6/Table14452[[#This Row],[Fair Value
Method 1]]</f>
        <v>0.76130210509307938</v>
      </c>
      <c r="D31" s="66">
        <f>BA33</f>
        <v>273.41277762532491</v>
      </c>
      <c r="E31" s="63">
        <f>1-$B$6/Table14452[[#This Row],[Fair Value 
Method 2]]</f>
        <v>0.3983090277315473</v>
      </c>
      <c r="F31" s="63">
        <f>AVERAGE(Table14452[[#This Row],[MOS
Method 1]],Table14452[[#This Row],[MOS 
Method 2]])</f>
        <v>0.5798055664123134</v>
      </c>
      <c r="AL31" s="21"/>
      <c r="AM31" s="24"/>
      <c r="AN31" s="21">
        <v>1</v>
      </c>
      <c r="AO31" s="23">
        <v>2</v>
      </c>
      <c r="AP31" s="23">
        <v>3</v>
      </c>
      <c r="AQ31" s="23">
        <v>4</v>
      </c>
      <c r="AR31" s="23">
        <v>5</v>
      </c>
      <c r="AS31" s="23">
        <v>6</v>
      </c>
      <c r="AT31" s="23">
        <v>7</v>
      </c>
      <c r="AU31" s="23">
        <v>8</v>
      </c>
      <c r="AV31" s="23">
        <v>9</v>
      </c>
      <c r="AW31" s="23">
        <v>10</v>
      </c>
      <c r="AX31" s="24">
        <v>10</v>
      </c>
      <c r="AY31" s="46" t="s">
        <v>41</v>
      </c>
      <c r="AZ31" s="46" t="s">
        <v>62</v>
      </c>
      <c r="BA31" s="47" t="s">
        <v>63</v>
      </c>
    </row>
    <row r="32" spans="1:53" x14ac:dyDescent="0.25">
      <c r="AL32" s="1" t="s">
        <v>42</v>
      </c>
      <c r="AM32" s="10"/>
      <c r="AN32" s="48">
        <f>$AM24</f>
        <v>764</v>
      </c>
      <c r="AO32" s="49">
        <f t="shared" ref="AO32:AW32" si="18">AN32+AN32*$AM25</f>
        <v>995.68299999999999</v>
      </c>
      <c r="AP32" s="49">
        <f t="shared" si="18"/>
        <v>1297.62386975</v>
      </c>
      <c r="AQ32" s="49">
        <f t="shared" si="18"/>
        <v>1691.1283082516877</v>
      </c>
      <c r="AR32" s="49">
        <f t="shared" si="18"/>
        <v>2203.9629677290122</v>
      </c>
      <c r="AS32" s="49">
        <f t="shared" si="18"/>
        <v>2872.3147376928355</v>
      </c>
      <c r="AT32" s="49">
        <f t="shared" si="18"/>
        <v>3743.3441818981883</v>
      </c>
      <c r="AU32" s="49">
        <f t="shared" si="18"/>
        <v>4878.5133050588138</v>
      </c>
      <c r="AV32" s="49">
        <f t="shared" si="18"/>
        <v>6357.9224648178997</v>
      </c>
      <c r="AW32" s="49">
        <f t="shared" si="18"/>
        <v>8285.9624522739286</v>
      </c>
      <c r="AX32" s="50">
        <f>$AM27*AW32</f>
        <v>124289.43678410893</v>
      </c>
      <c r="AY32" s="51"/>
      <c r="AZ32" s="49"/>
      <c r="BA32" s="10"/>
    </row>
    <row r="33" spans="1:53" ht="18.75" x14ac:dyDescent="0.3">
      <c r="A33" s="56" t="s">
        <v>64</v>
      </c>
      <c r="F33" s="27"/>
      <c r="AL33" s="5" t="s">
        <v>43</v>
      </c>
      <c r="AM33" s="7"/>
      <c r="AN33" s="52">
        <f>AN32/(1+$AM26)</f>
        <v>664.34782608695662</v>
      </c>
      <c r="AO33" s="53">
        <f t="shared" ref="AO33:AW33" si="19">(1+$AM25)*AN33/(1+$AM26)</f>
        <v>752.87939508506634</v>
      </c>
      <c r="AP33" s="53">
        <f t="shared" si="19"/>
        <v>853.20875795183724</v>
      </c>
      <c r="AQ33" s="53">
        <f t="shared" si="19"/>
        <v>966.90809895715824</v>
      </c>
      <c r="AR33" s="53">
        <f t="shared" si="19"/>
        <v>1095.7591130138405</v>
      </c>
      <c r="AS33" s="53">
        <f t="shared" si="19"/>
        <v>1241.7809252480765</v>
      </c>
      <c r="AT33" s="53">
        <f t="shared" si="19"/>
        <v>1407.2617311561355</v>
      </c>
      <c r="AU33" s="53">
        <f t="shared" si="19"/>
        <v>1594.7946531558555</v>
      </c>
      <c r="AV33" s="53">
        <f t="shared" si="19"/>
        <v>1807.3183754133643</v>
      </c>
      <c r="AW33" s="53">
        <f t="shared" si="19"/>
        <v>2048.1631937021452</v>
      </c>
      <c r="AX33" s="54">
        <f>AX32/(1+AM26)^AX31</f>
        <v>30722.44790553219</v>
      </c>
      <c r="AY33" s="53">
        <f>SUM(AN33:AX33)</f>
        <v>43154.86997530263</v>
      </c>
      <c r="AZ33" s="53">
        <f>AY33+AM28</f>
        <v>44292.86997530263</v>
      </c>
      <c r="BA33" s="55">
        <f>AZ33/AM29</f>
        <v>273.41277762532491</v>
      </c>
    </row>
    <row r="34" spans="1:53" x14ac:dyDescent="0.25">
      <c r="A34" s="77" t="s">
        <v>66</v>
      </c>
    </row>
    <row r="37" spans="1:53" x14ac:dyDescent="0.25">
      <c r="D37" s="78"/>
      <c r="E37" s="78"/>
      <c r="G37" s="79"/>
    </row>
    <row r="40" spans="1:53" x14ac:dyDescent="0.25">
      <c r="D40" s="41"/>
    </row>
  </sheetData>
  <mergeCells count="11">
    <mergeCell ref="R1:R2"/>
    <mergeCell ref="M1:M2"/>
    <mergeCell ref="N1:N2"/>
    <mergeCell ref="O1:O2"/>
    <mergeCell ref="P1:P2"/>
    <mergeCell ref="Q1:Q2"/>
    <mergeCell ref="S1:S2"/>
    <mergeCell ref="T1:T2"/>
    <mergeCell ref="U1:U2"/>
    <mergeCell ref="V1:V2"/>
    <mergeCell ref="W1:W2"/>
  </mergeCells>
  <conditionalFormatting sqref="L8">
    <cfRule type="cellIs" dxfId="110" priority="23" operator="greaterThan">
      <formula>3</formula>
    </cfRule>
    <cfRule type="cellIs" dxfId="109" priority="24" operator="lessThan">
      <formula>3</formula>
    </cfRule>
  </conditionalFormatting>
  <conditionalFormatting sqref="I3:K7">
    <cfRule type="cellIs" dxfId="108" priority="20" operator="between">
      <formula>0.05</formula>
      <formula>0.1</formula>
    </cfRule>
    <cfRule type="cellIs" dxfId="107" priority="21" operator="lessThan">
      <formula>0.05</formula>
    </cfRule>
    <cfRule type="cellIs" dxfId="106" priority="22" operator="greaterThan">
      <formula>0.1</formula>
    </cfRule>
  </conditionalFormatting>
  <conditionalFormatting sqref="M3:W3">
    <cfRule type="dataBar" priority="19">
      <dataBar>
        <cfvo type="min"/>
        <cfvo type="max"/>
        <color rgb="FF63C384"/>
      </dataBar>
      <extLst>
        <ext xmlns:x14="http://schemas.microsoft.com/office/spreadsheetml/2009/9/main" uri="{B025F937-C7B1-47D3-B67F-A62EFF666E3E}">
          <x14:id>{CCFA7A6D-CE3E-467C-84B8-866CB4C1944E}</x14:id>
        </ext>
      </extLst>
    </cfRule>
  </conditionalFormatting>
  <conditionalFormatting sqref="N4:W4">
    <cfRule type="dataBar" priority="18">
      <dataBar>
        <cfvo type="min"/>
        <cfvo type="max"/>
        <color rgb="FF63C384"/>
      </dataBar>
      <extLst>
        <ext xmlns:x14="http://schemas.microsoft.com/office/spreadsheetml/2009/9/main" uri="{B025F937-C7B1-47D3-B67F-A62EFF666E3E}">
          <x14:id>{B7E2952F-8649-4186-A2CE-20F7831DAE73}</x14:id>
        </ext>
      </extLst>
    </cfRule>
  </conditionalFormatting>
  <conditionalFormatting sqref="N5:W5">
    <cfRule type="dataBar" priority="17">
      <dataBar>
        <cfvo type="min"/>
        <cfvo type="max"/>
        <color rgb="FF63C384"/>
      </dataBar>
      <extLst>
        <ext xmlns:x14="http://schemas.microsoft.com/office/spreadsheetml/2009/9/main" uri="{B025F937-C7B1-47D3-B67F-A62EFF666E3E}">
          <x14:id>{7CB9A0CD-DF77-404B-A0C7-BEA05969D451}</x14:id>
        </ext>
      </extLst>
    </cfRule>
  </conditionalFormatting>
  <conditionalFormatting sqref="N6:W6">
    <cfRule type="dataBar" priority="16">
      <dataBar>
        <cfvo type="min"/>
        <cfvo type="max"/>
        <color rgb="FF63C384"/>
      </dataBar>
      <extLst>
        <ext xmlns:x14="http://schemas.microsoft.com/office/spreadsheetml/2009/9/main" uri="{B025F937-C7B1-47D3-B67F-A62EFF666E3E}">
          <x14:id>{FD532730-37AB-41D4-BC1D-070FAAE94337}</x14:id>
        </ext>
      </extLst>
    </cfRule>
  </conditionalFormatting>
  <conditionalFormatting sqref="N7:W7">
    <cfRule type="dataBar" priority="15">
      <dataBar>
        <cfvo type="min"/>
        <cfvo type="max"/>
        <color rgb="FF63C384"/>
      </dataBar>
      <extLst>
        <ext xmlns:x14="http://schemas.microsoft.com/office/spreadsheetml/2009/9/main" uri="{B025F937-C7B1-47D3-B67F-A62EFF666E3E}">
          <x14:id>{69C519E5-3676-4C6E-BABF-2AB8C75CCD46}</x14:id>
        </ext>
      </extLst>
    </cfRule>
  </conditionalFormatting>
  <conditionalFormatting sqref="E22">
    <cfRule type="cellIs" dxfId="105" priority="13" operator="greaterThan">
      <formula>3</formula>
    </cfRule>
    <cfRule type="cellIs" dxfId="104" priority="14" operator="lessThan">
      <formula>3</formula>
    </cfRule>
  </conditionalFormatting>
  <conditionalFormatting sqref="B17:D21">
    <cfRule type="cellIs" dxfId="103" priority="10" operator="between">
      <formula>0.05</formula>
      <formula>0.1</formula>
    </cfRule>
    <cfRule type="cellIs" dxfId="102" priority="11" operator="lessThan">
      <formula>0.05</formula>
    </cfRule>
    <cfRule type="cellIs" dxfId="101" priority="12" operator="greaterThan">
      <formula>0.1</formula>
    </cfRule>
  </conditionalFormatting>
  <conditionalFormatting sqref="C29:C31">
    <cfRule type="cellIs" dxfId="100" priority="7" operator="lessThan">
      <formula>0</formula>
    </cfRule>
    <cfRule type="cellIs" dxfId="99" priority="8" operator="between">
      <formula>0</formula>
      <formula>0.3</formula>
    </cfRule>
    <cfRule type="cellIs" dxfId="98" priority="9" operator="greaterThan">
      <formula>0.3</formula>
    </cfRule>
  </conditionalFormatting>
  <conditionalFormatting sqref="E29:E31">
    <cfRule type="cellIs" dxfId="97" priority="4" operator="lessThan">
      <formula>0</formula>
    </cfRule>
    <cfRule type="cellIs" dxfId="96" priority="5" operator="between">
      <formula>0</formula>
      <formula>0.3</formula>
    </cfRule>
    <cfRule type="cellIs" dxfId="95" priority="6" operator="greaterThan">
      <formula>0.3</formula>
    </cfRule>
  </conditionalFormatting>
  <conditionalFormatting sqref="F29:F31">
    <cfRule type="cellIs" dxfId="94" priority="1" operator="lessThan">
      <formula>0</formula>
    </cfRule>
    <cfRule type="cellIs" dxfId="93" priority="2" operator="between">
      <formula>0</formula>
      <formula>0.3</formula>
    </cfRule>
    <cfRule type="cellIs" dxfId="92" priority="3" operator="greaterThan">
      <formula>0.3</formula>
    </cfRule>
  </conditionalFormatting>
  <hyperlinks>
    <hyperlink ref="B4" r:id="rId1" xr:uid="{550A02FA-F210-4D71-AE64-0D9186DFC22F}"/>
    <hyperlink ref="A34" r:id="rId2" xr:uid="{83359D7E-E0FA-4D79-B14C-CB1E99F3561B}"/>
  </hyperlinks>
  <pageMargins left="0.7" right="0.7" top="0.75" bottom="0.75" header="0.3" footer="0.3"/>
  <pageSetup paperSize="9" orientation="portrait" r:id="rId3"/>
  <drawing r:id="rId4"/>
  <legacyDrawing r:id="rId5"/>
  <tableParts count="4">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dataBar" id="{CCFA7A6D-CE3E-467C-84B8-866CB4C1944E}">
            <x14:dataBar minLength="0" maxLength="100" border="1" negativeBarBorderColorSameAsPositive="0">
              <x14:cfvo type="autoMin"/>
              <x14:cfvo type="autoMax"/>
              <x14:borderColor rgb="FF63C384"/>
              <x14:negativeFillColor rgb="FFFF0000"/>
              <x14:negativeBorderColor rgb="FFFF0000"/>
              <x14:axisColor rgb="FF000000"/>
            </x14:dataBar>
          </x14:cfRule>
          <xm:sqref>M3:W3</xm:sqref>
        </x14:conditionalFormatting>
        <x14:conditionalFormatting xmlns:xm="http://schemas.microsoft.com/office/excel/2006/main">
          <x14:cfRule type="dataBar" id="{B7E2952F-8649-4186-A2CE-20F7831DAE73}">
            <x14:dataBar minLength="0" maxLength="100" border="1" negativeBarBorderColorSameAsPositive="0">
              <x14:cfvo type="autoMin"/>
              <x14:cfvo type="autoMax"/>
              <x14:borderColor rgb="FF63C384"/>
              <x14:negativeFillColor rgb="FFFF0000"/>
              <x14:negativeBorderColor rgb="FFFF0000"/>
              <x14:axisColor rgb="FF000000"/>
            </x14:dataBar>
          </x14:cfRule>
          <xm:sqref>N4:W4</xm:sqref>
        </x14:conditionalFormatting>
        <x14:conditionalFormatting xmlns:xm="http://schemas.microsoft.com/office/excel/2006/main">
          <x14:cfRule type="dataBar" id="{7CB9A0CD-DF77-404B-A0C7-BEA05969D451}">
            <x14:dataBar minLength="0" maxLength="100" border="1" negativeBarBorderColorSameAsPositive="0">
              <x14:cfvo type="autoMin"/>
              <x14:cfvo type="autoMax"/>
              <x14:borderColor rgb="FF63C384"/>
              <x14:negativeFillColor rgb="FFFF0000"/>
              <x14:negativeBorderColor rgb="FFFF0000"/>
              <x14:axisColor rgb="FF000000"/>
            </x14:dataBar>
          </x14:cfRule>
          <xm:sqref>N5:W5</xm:sqref>
        </x14:conditionalFormatting>
        <x14:conditionalFormatting xmlns:xm="http://schemas.microsoft.com/office/excel/2006/main">
          <x14:cfRule type="dataBar" id="{FD532730-37AB-41D4-BC1D-070FAAE94337}">
            <x14:dataBar minLength="0" maxLength="100" border="1" negativeBarBorderColorSameAsPositive="0">
              <x14:cfvo type="autoMin"/>
              <x14:cfvo type="autoMax"/>
              <x14:borderColor rgb="FF63C384"/>
              <x14:negativeFillColor rgb="FFFF0000"/>
              <x14:negativeBorderColor rgb="FFFF0000"/>
              <x14:axisColor rgb="FF000000"/>
            </x14:dataBar>
          </x14:cfRule>
          <xm:sqref>N6:W6</xm:sqref>
        </x14:conditionalFormatting>
        <x14:conditionalFormatting xmlns:xm="http://schemas.microsoft.com/office/excel/2006/main">
          <x14:cfRule type="dataBar" id="{69C519E5-3676-4C6E-BABF-2AB8C75CCD46}">
            <x14:dataBar minLength="0" maxLength="100" border="1" negativeBarBorderColorSameAsPositive="0">
              <x14:cfvo type="autoMin"/>
              <x14:cfvo type="autoMax"/>
              <x14:borderColor rgb="FF63C384"/>
              <x14:negativeFillColor rgb="FFFF0000"/>
              <x14:negativeBorderColor rgb="FFFF0000"/>
              <x14:axisColor rgb="FF000000"/>
            </x14:dataBar>
          </x14:cfRule>
          <xm:sqref>N7:W7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Summary</vt:lpstr>
      <vt:lpstr>Template</vt:lpstr>
      <vt:lpstr>ADBE</vt:lpstr>
      <vt:lpstr>AMD</vt:lpstr>
      <vt:lpstr>AMZN</vt:lpstr>
      <vt:lpstr>ASML</vt:lpstr>
      <vt:lpstr>ADYEN</vt:lpstr>
      <vt:lpstr>BLK</vt:lpstr>
      <vt:lpstr>BWXT</vt:lpstr>
      <vt:lpstr>CMCSA</vt:lpstr>
      <vt:lpstr>CRM</vt:lpstr>
      <vt:lpstr>CWEN</vt:lpstr>
      <vt:lpstr>EFX</vt:lpstr>
      <vt:lpstr>FMG</vt:lpstr>
      <vt:lpstr>MKTX</vt:lpstr>
      <vt:lpstr>MSFT</vt:lpstr>
      <vt:lpstr>NVDA</vt:lpstr>
      <vt:lpstr>NFLX</vt:lpstr>
      <vt:lpstr>PYPL</vt:lpstr>
      <vt:lpstr>TSM</vt:lpstr>
      <vt:lpstr>THO</vt:lpstr>
      <vt:lpstr>TRI</vt:lpstr>
      <vt:lpstr>VEEV</vt:lpstr>
      <vt:lpstr>VEEV2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Roel</dc:creator>
  <cp:lastModifiedBy>Roel</cp:lastModifiedBy>
  <dcterms:created xsi:type="dcterms:W3CDTF">2022-01-07T11:52:56Z</dcterms:created>
  <dcterms:modified xsi:type="dcterms:W3CDTF">2022-12-30T13:23:58Z</dcterms:modified>
</cp:coreProperties>
</file>