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440" windowWidth="16200" windowHeight="7992" firstSheet="16" activeTab="22"/>
  </bookViews>
  <sheets>
    <sheet name="Hoja4" sheetId="59" r:id="rId1"/>
    <sheet name="FLUJO DE CAJA" sheetId="1" r:id="rId2"/>
    <sheet name="Impermeabilizacion" sheetId="42" r:id="rId3"/>
    <sheet name="SOBREPISO" sheetId="62" r:id="rId4"/>
    <sheet name="SIST.INCENDIO" sheetId="54" r:id="rId5"/>
    <sheet name="CIELO RASO" sheetId="55" r:id="rId6"/>
    <sheet name="CORNISAS" sheetId="56" r:id="rId7"/>
    <sheet name="VIDRIOS" sheetId="28" r:id="rId8"/>
    <sheet name="SISTEMA HIDRONEUMATICO" sheetId="57" r:id="rId9"/>
    <sheet name="MOVIMIENTO DE TIERRA" sheetId="58" r:id="rId10"/>
    <sheet name="pavimento concreto" sheetId="5" r:id="rId11"/>
    <sheet name="pavimento asfalto" sheetId="45" r:id="rId12"/>
    <sheet name="CEMENTO PULIDO" sheetId="61" r:id="rId13"/>
    <sheet name="TERRACOTA" sheetId="17" r:id="rId14"/>
    <sheet name="PINTURA " sheetId="14" r:id="rId15"/>
    <sheet name="BARANDAS" sheetId="18" r:id="rId16"/>
    <sheet name="MALLA PUESTA A TIERRA" sheetId="38" r:id="rId17"/>
    <sheet name="TRANSFORMADOR" sheetId="21" r:id="rId18"/>
    <sheet name="ILUMINACION" sheetId="24" r:id="rId19"/>
    <sheet name="POSTE Y HERRAJE" sheetId="23" r:id="rId20"/>
    <sheet name="CABLES" sheetId="25" r:id="rId21"/>
    <sheet name="PAISAJISMO" sheetId="33" r:id="rId22"/>
    <sheet name="PUERTAS DE MADERA" sheetId="35" r:id="rId23"/>
    <sheet name="TABIQUERIA DE BAÑOS" sheetId="34" r:id="rId24"/>
    <sheet name="REMATES DE MAMPOSTERIA" sheetId="20" r:id="rId25"/>
    <sheet name="REPA.TANQUILLAS" sheetId="41" r:id="rId26"/>
    <sheet name="M.O GRIETAS EN PAREDES" sheetId="39" r:id="rId27"/>
    <sheet name="COMUNICACIONES" sheetId="30" r:id="rId28"/>
    <sheet name="AVISOS CORPOREOS" sheetId="37" r:id="rId29"/>
    <sheet name="INSTALACIONES SANITARIAS" sheetId="36" r:id="rId30"/>
    <sheet name="ACONDICIONAMIENTO DE TANQUE" sheetId="43" r:id="rId31"/>
    <sheet name="CONTROL CONT PALMERAS" sheetId="27" r:id="rId32"/>
    <sheet name="Hoja1" sheetId="29" r:id="rId33"/>
    <sheet name="Hoja3" sheetId="48" r:id="rId34"/>
    <sheet name="Hoja2" sheetId="53" r:id="rId35"/>
    <sheet name="Hoja5" sheetId="60" r:id="rId36"/>
  </sheets>
  <definedNames>
    <definedName name="_xlnm.Print_Area" localSheetId="15">BARANDAS!$B$18:$E$22</definedName>
    <definedName name="_xlnm.Print_Area" localSheetId="12">'CEMENTO PULIDO'!$F$246:$K$256</definedName>
    <definedName name="_xlnm.Print_Area" localSheetId="5">'CIELO RASO'!#REF!</definedName>
    <definedName name="_xlnm.Print_Area" localSheetId="31">'CONTROL CONT PALMERAS'!$A$1:$T$19</definedName>
    <definedName name="_xlnm.Print_Area" localSheetId="1">'FLUJO DE CAJA'!$C$5:$C$52</definedName>
    <definedName name="_xlnm.Print_Area" localSheetId="32">Hoja1!$C$4:$H$11</definedName>
    <definedName name="_xlnm.Print_Area" localSheetId="2">Impermeabilizacion!$B$39:$F$43</definedName>
    <definedName name="_xlnm.Print_Area" localSheetId="26">'M.O GRIETAS EN PAREDES'!$D$9:$O$21</definedName>
    <definedName name="_xlnm.Print_Area" localSheetId="9">'MOVIMIENTO DE TIERRA'!$B$157:$H$166</definedName>
    <definedName name="_xlnm.Print_Area" localSheetId="11">'pavimento asfalto'!#REF!</definedName>
    <definedName name="_xlnm.Print_Area" localSheetId="10">'pavimento concreto'!$F$151:$J$165</definedName>
    <definedName name="_xlnm.Print_Area" localSheetId="14">'PINTURA '!$A$128:$F$140</definedName>
    <definedName name="_xlnm.Print_Area" localSheetId="25">REPA.TANQUILLAS!$D$9:$I$16</definedName>
    <definedName name="_xlnm.Print_Area" localSheetId="4">SIST.INCENDIO!$C$5:$F$19</definedName>
    <definedName name="_xlnm.Print_Area" localSheetId="8">'SISTEMA HIDRONEUMATICO'!$A$1:$Y$42</definedName>
    <definedName name="_xlnm.Print_Area" localSheetId="3">SOBREPISO!$B$16:$F$16</definedName>
    <definedName name="_xlnm.Print_Area" localSheetId="7">VIDRIOS!$A$1:$Y$16</definedName>
  </definedNames>
  <calcPr calcId="145621"/>
</workbook>
</file>

<file path=xl/calcChain.xml><?xml version="1.0" encoding="utf-8"?>
<calcChain xmlns="http://schemas.openxmlformats.org/spreadsheetml/2006/main">
  <c r="F36" i="1" l="1"/>
  <c r="J17" i="14"/>
  <c r="J21" i="14"/>
  <c r="J22" i="14"/>
  <c r="J20" i="14"/>
  <c r="J19" i="14"/>
  <c r="J18" i="14"/>
  <c r="K16" i="17"/>
  <c r="F32" i="1"/>
  <c r="G27" i="1"/>
  <c r="H27" i="1"/>
  <c r="E25" i="1"/>
  <c r="I22" i="1"/>
  <c r="K22" i="1"/>
  <c r="H22" i="1"/>
  <c r="G22" i="1"/>
  <c r="F22" i="1"/>
  <c r="F17" i="1"/>
  <c r="G75" i="5"/>
  <c r="F12" i="1"/>
  <c r="F11" i="1"/>
  <c r="I39" i="54"/>
  <c r="I20" i="54"/>
  <c r="I9" i="54"/>
  <c r="I10" i="54"/>
  <c r="I11" i="54"/>
  <c r="I12" i="54"/>
  <c r="I13" i="54"/>
  <c r="I14" i="54"/>
  <c r="I15" i="54"/>
  <c r="I16" i="54"/>
  <c r="I17" i="54"/>
  <c r="I18" i="54"/>
  <c r="I19" i="54"/>
  <c r="I8" i="54"/>
  <c r="F7" i="1"/>
  <c r="D188" i="62"/>
  <c r="D186" i="62"/>
  <c r="D189" i="62" s="1"/>
  <c r="D182" i="62"/>
  <c r="D181" i="62"/>
  <c r="D180" i="62"/>
  <c r="D179" i="62"/>
  <c r="D173" i="62"/>
  <c r="D172" i="62"/>
  <c r="D166" i="62"/>
  <c r="D165" i="62"/>
  <c r="D164" i="62"/>
  <c r="D163" i="62"/>
  <c r="D157" i="62"/>
  <c r="D156" i="62"/>
  <c r="D155" i="62"/>
  <c r="D154" i="62"/>
  <c r="D137" i="62"/>
  <c r="D128" i="62"/>
  <c r="D127" i="62"/>
  <c r="D126" i="62"/>
  <c r="D129" i="62" s="1"/>
  <c r="D61" i="62"/>
  <c r="D58" i="62"/>
  <c r="D57" i="62"/>
  <c r="D56" i="62"/>
  <c r="D55" i="62"/>
  <c r="D53" i="62"/>
  <c r="D52" i="62"/>
  <c r="D51" i="62"/>
  <c r="F40" i="62"/>
  <c r="D40" i="62"/>
  <c r="D28" i="62"/>
  <c r="D24" i="62"/>
  <c r="D22" i="62"/>
  <c r="D21" i="62"/>
  <c r="F12" i="62"/>
  <c r="B8" i="62"/>
  <c r="E7" i="1"/>
  <c r="F17" i="42"/>
  <c r="B8" i="42"/>
  <c r="I27" i="1" l="1"/>
  <c r="S27" i="1" s="1"/>
  <c r="AD27" i="1" s="1"/>
  <c r="D130" i="62"/>
  <c r="F47" i="1"/>
  <c r="F18" i="1"/>
  <c r="D10" i="28"/>
  <c r="AD50" i="1" l="1"/>
  <c r="U36" i="1"/>
  <c r="P36" i="1"/>
  <c r="M36" i="1"/>
  <c r="M34" i="1"/>
  <c r="AD34" i="1" s="1"/>
  <c r="R19" i="1"/>
  <c r="P19" i="1"/>
  <c r="M19" i="1"/>
  <c r="G19" i="1"/>
  <c r="O17" i="1"/>
  <c r="P17" i="1"/>
  <c r="Q17" i="1"/>
  <c r="R17" i="1"/>
  <c r="S17" i="1"/>
  <c r="N17" i="1"/>
  <c r="M12" i="1"/>
  <c r="M6" i="1"/>
  <c r="G51" i="1"/>
  <c r="F50" i="1"/>
  <c r="F52" i="1" l="1"/>
  <c r="F48" i="1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6" i="25" s="1"/>
  <c r="K33" i="25"/>
  <c r="K34" i="25"/>
  <c r="K35" i="25"/>
  <c r="K16" i="25"/>
  <c r="S55" i="25"/>
  <c r="S54" i="25"/>
  <c r="AS53" i="25"/>
  <c r="AK53" i="25"/>
  <c r="AU52" i="25"/>
  <c r="AV52" i="25" s="1"/>
  <c r="AR52" i="25"/>
  <c r="AS52" i="25" s="1"/>
  <c r="AN52" i="25"/>
  <c r="AK52" i="25"/>
  <c r="AH52" i="25"/>
  <c r="V52" i="25"/>
  <c r="J52" i="25"/>
  <c r="AX51" i="25"/>
  <c r="AW51" i="25"/>
  <c r="AV51" i="25"/>
  <c r="AS51" i="25"/>
  <c r="AN51" i="25"/>
  <c r="AK51" i="25"/>
  <c r="AH51" i="25"/>
  <c r="J51" i="25"/>
  <c r="AX50" i="25"/>
  <c r="AU50" i="25"/>
  <c r="AV50" i="25" s="1"/>
  <c r="AS50" i="25"/>
  <c r="AN50" i="25"/>
  <c r="AK50" i="25"/>
  <c r="AH50" i="25"/>
  <c r="Y50" i="25"/>
  <c r="J50" i="25"/>
  <c r="AX49" i="25"/>
  <c r="AV49" i="25"/>
  <c r="AS49" i="25"/>
  <c r="AN49" i="25"/>
  <c r="AK49" i="25"/>
  <c r="AH49" i="25"/>
  <c r="AE49" i="25"/>
  <c r="Y49" i="25"/>
  <c r="V49" i="25"/>
  <c r="M49" i="25"/>
  <c r="J49" i="25"/>
  <c r="AX48" i="25"/>
  <c r="AU48" i="25"/>
  <c r="AV48" i="25" s="1"/>
  <c r="AS48" i="25"/>
  <c r="AN48" i="25"/>
  <c r="AK48" i="25"/>
  <c r="AH48" i="25"/>
  <c r="AE48" i="25"/>
  <c r="Y48" i="25"/>
  <c r="V48" i="25"/>
  <c r="M48" i="25"/>
  <c r="J48" i="25"/>
  <c r="AX47" i="25"/>
  <c r="AV47" i="25"/>
  <c r="AU47" i="25"/>
  <c r="AS47" i="25"/>
  <c r="AN47" i="25"/>
  <c r="AK47" i="25"/>
  <c r="AH47" i="25"/>
  <c r="AE47" i="25"/>
  <c r="Y47" i="25"/>
  <c r="V47" i="25"/>
  <c r="S47" i="25"/>
  <c r="M47" i="25"/>
  <c r="J47" i="25"/>
  <c r="AX46" i="25"/>
  <c r="AV46" i="25"/>
  <c r="AS46" i="25"/>
  <c r="AN46" i="25"/>
  <c r="AJ46" i="25"/>
  <c r="AK46" i="25" s="1"/>
  <c r="AH46" i="25"/>
  <c r="AE46" i="25"/>
  <c r="AA46" i="25"/>
  <c r="AB46" i="25" s="1"/>
  <c r="Y46" i="25"/>
  <c r="V46" i="25"/>
  <c r="O46" i="25"/>
  <c r="P46" i="25" s="1"/>
  <c r="M46" i="25"/>
  <c r="J46" i="25"/>
  <c r="AX45" i="25"/>
  <c r="AV45" i="25"/>
  <c r="AS45" i="25"/>
  <c r="AN45" i="25"/>
  <c r="AK45" i="25"/>
  <c r="AH45" i="25"/>
  <c r="AE45" i="25"/>
  <c r="AB45" i="25"/>
  <c r="AA45" i="25"/>
  <c r="Y45" i="25"/>
  <c r="V45" i="25"/>
  <c r="P45" i="25"/>
  <c r="O45" i="25"/>
  <c r="M45" i="25"/>
  <c r="J45" i="25"/>
  <c r="AX44" i="25"/>
  <c r="AV44" i="25"/>
  <c r="AS44" i="25"/>
  <c r="AN44" i="25"/>
  <c r="AK44" i="25"/>
  <c r="AJ44" i="25"/>
  <c r="AH44" i="25"/>
  <c r="AE44" i="25"/>
  <c r="AB44" i="25"/>
  <c r="Y44" i="25"/>
  <c r="V44" i="25"/>
  <c r="M44" i="25"/>
  <c r="J44" i="25"/>
  <c r="AX43" i="25"/>
  <c r="AV43" i="25"/>
  <c r="AV54" i="25" s="1"/>
  <c r="AV55" i="25" s="1"/>
  <c r="AS43" i="25"/>
  <c r="AS54" i="25" s="1"/>
  <c r="AN43" i="25"/>
  <c r="AN54" i="25" s="1"/>
  <c r="AN55" i="25" s="1"/>
  <c r="AK43" i="25"/>
  <c r="AK54" i="25" s="1"/>
  <c r="AK55" i="25" s="1"/>
  <c r="AJ43" i="25"/>
  <c r="AH43" i="25"/>
  <c r="AH54" i="25" s="1"/>
  <c r="AH55" i="25" s="1"/>
  <c r="AE43" i="25"/>
  <c r="AE54" i="25" s="1"/>
  <c r="AE55" i="25" s="1"/>
  <c r="AB43" i="25"/>
  <c r="AA43" i="25"/>
  <c r="Y43" i="25"/>
  <c r="Y54" i="25" s="1"/>
  <c r="Y55" i="25" s="1"/>
  <c r="V43" i="25"/>
  <c r="V54" i="25" s="1"/>
  <c r="V55" i="25" s="1"/>
  <c r="M43" i="25"/>
  <c r="M54" i="25" s="1"/>
  <c r="M55" i="25" s="1"/>
  <c r="J43" i="25"/>
  <c r="J54" i="25" s="1"/>
  <c r="J55" i="25" s="1"/>
  <c r="AS55" i="25" l="1"/>
  <c r="AB54" i="25"/>
  <c r="AB55" i="25" s="1"/>
  <c r="P54" i="25"/>
  <c r="P55" i="25" s="1"/>
  <c r="AW52" i="25"/>
  <c r="AX52" i="25" s="1"/>
  <c r="AX54" i="25" s="1"/>
  <c r="AX55" i="25" l="1"/>
  <c r="AY54" i="25"/>
  <c r="AY55" i="25" s="1"/>
  <c r="E72" i="23" l="1"/>
  <c r="E64" i="23"/>
  <c r="E65" i="23"/>
  <c r="G65" i="23" s="1"/>
  <c r="E63" i="23"/>
  <c r="E62" i="23"/>
  <c r="G62" i="23" s="1"/>
  <c r="M62" i="23" s="1"/>
  <c r="N62" i="23" s="1"/>
  <c r="E61" i="23"/>
  <c r="E60" i="23"/>
  <c r="E59" i="23"/>
  <c r="E52" i="23"/>
  <c r="E53" i="23"/>
  <c r="E54" i="23"/>
  <c r="E55" i="23"/>
  <c r="G55" i="23" s="1"/>
  <c r="M55" i="23" s="1"/>
  <c r="N55" i="23" s="1"/>
  <c r="E49" i="23"/>
  <c r="G49" i="23" s="1"/>
  <c r="M49" i="23" s="1"/>
  <c r="O49" i="23" s="1"/>
  <c r="E50" i="23"/>
  <c r="E51" i="23"/>
  <c r="E36" i="23"/>
  <c r="E37" i="23"/>
  <c r="G37" i="23" s="1"/>
  <c r="E38" i="23"/>
  <c r="E39" i="23"/>
  <c r="E40" i="23"/>
  <c r="E41" i="23"/>
  <c r="G41" i="23" s="1"/>
  <c r="M41" i="23" s="1"/>
  <c r="N41" i="23" s="1"/>
  <c r="E42" i="23"/>
  <c r="E43" i="23"/>
  <c r="E44" i="23"/>
  <c r="E45" i="23"/>
  <c r="G45" i="23" s="1"/>
  <c r="M45" i="23" s="1"/>
  <c r="N45" i="23" s="1"/>
  <c r="E46" i="23"/>
  <c r="G46" i="23" s="1"/>
  <c r="M46" i="23" s="1"/>
  <c r="N46" i="23" s="1"/>
  <c r="E47" i="23"/>
  <c r="E48" i="23"/>
  <c r="E35" i="23"/>
  <c r="G35" i="23" s="1"/>
  <c r="M35" i="23" s="1"/>
  <c r="N35" i="23" s="1"/>
  <c r="E34" i="23"/>
  <c r="G34" i="23" s="1"/>
  <c r="F33" i="23"/>
  <c r="E33" i="23"/>
  <c r="L71" i="23"/>
  <c r="F71" i="23"/>
  <c r="G71" i="23" s="1"/>
  <c r="L70" i="23"/>
  <c r="F70" i="23"/>
  <c r="G70" i="23" s="1"/>
  <c r="L69" i="23"/>
  <c r="F69" i="23"/>
  <c r="G69" i="23" s="1"/>
  <c r="L68" i="23"/>
  <c r="G68" i="23"/>
  <c r="L67" i="23"/>
  <c r="G67" i="23"/>
  <c r="L66" i="23"/>
  <c r="G66" i="23"/>
  <c r="M66" i="23" s="1"/>
  <c r="L65" i="23"/>
  <c r="L64" i="23"/>
  <c r="G64" i="23"/>
  <c r="M64" i="23" s="1"/>
  <c r="N64" i="23" s="1"/>
  <c r="L63" i="23"/>
  <c r="G63" i="23"/>
  <c r="L62" i="23"/>
  <c r="L61" i="23"/>
  <c r="G61" i="23"/>
  <c r="L60" i="23"/>
  <c r="F60" i="23"/>
  <c r="M60" i="23" s="1"/>
  <c r="O60" i="23" s="1"/>
  <c r="L59" i="23"/>
  <c r="M59" i="23" s="1"/>
  <c r="O59" i="23" s="1"/>
  <c r="F59" i="23"/>
  <c r="L58" i="23"/>
  <c r="M58" i="23" s="1"/>
  <c r="G58" i="23"/>
  <c r="L57" i="23"/>
  <c r="G57" i="23"/>
  <c r="L56" i="23"/>
  <c r="F56" i="23"/>
  <c r="G56" i="23" s="1"/>
  <c r="L55" i="23"/>
  <c r="L54" i="23"/>
  <c r="F54" i="23"/>
  <c r="G54" i="23" s="1"/>
  <c r="L53" i="23"/>
  <c r="F53" i="23"/>
  <c r="G53" i="23" s="1"/>
  <c r="L52" i="23"/>
  <c r="F52" i="23"/>
  <c r="L51" i="23"/>
  <c r="F51" i="23"/>
  <c r="L50" i="23"/>
  <c r="F50" i="23"/>
  <c r="G50" i="23" s="1"/>
  <c r="L49" i="23"/>
  <c r="L48" i="23"/>
  <c r="F48" i="23"/>
  <c r="G48" i="23" s="1"/>
  <c r="L47" i="23"/>
  <c r="G47" i="23"/>
  <c r="M47" i="23" s="1"/>
  <c r="N47" i="23" s="1"/>
  <c r="L46" i="23"/>
  <c r="L45" i="23"/>
  <c r="L44" i="23"/>
  <c r="M44" i="23" s="1"/>
  <c r="O44" i="23" s="1"/>
  <c r="F44" i="23"/>
  <c r="G44" i="23" s="1"/>
  <c r="L43" i="23"/>
  <c r="F43" i="23"/>
  <c r="M43" i="23" s="1"/>
  <c r="O43" i="23" s="1"/>
  <c r="L42" i="23"/>
  <c r="F42" i="23"/>
  <c r="L41" i="23"/>
  <c r="L40" i="23"/>
  <c r="F40" i="23"/>
  <c r="G40" i="23" s="1"/>
  <c r="L39" i="23"/>
  <c r="G39" i="23"/>
  <c r="M39" i="23" s="1"/>
  <c r="N39" i="23" s="1"/>
  <c r="L38" i="23"/>
  <c r="F38" i="23"/>
  <c r="L37" i="23"/>
  <c r="L36" i="23"/>
  <c r="G36" i="23"/>
  <c r="L35" i="23"/>
  <c r="L34" i="23"/>
  <c r="F43" i="1"/>
  <c r="J38" i="24"/>
  <c r="I21" i="24"/>
  <c r="J24" i="24"/>
  <c r="I24" i="24"/>
  <c r="J17" i="24"/>
  <c r="I22" i="24"/>
  <c r="Z22" i="38"/>
  <c r="Z19" i="38"/>
  <c r="E38" i="1"/>
  <c r="G59" i="23" l="1"/>
  <c r="G52" i="23"/>
  <c r="G51" i="23"/>
  <c r="G38" i="23"/>
  <c r="G42" i="23"/>
  <c r="G33" i="23"/>
  <c r="M33" i="23" s="1"/>
  <c r="O33" i="23" s="1"/>
  <c r="M42" i="23"/>
  <c r="O42" i="23" s="1"/>
  <c r="M53" i="23"/>
  <c r="O53" i="23" s="1"/>
  <c r="M56" i="23"/>
  <c r="O56" i="23" s="1"/>
  <c r="M34" i="23"/>
  <c r="P34" i="23" s="1"/>
  <c r="M36" i="23"/>
  <c r="N36" i="23" s="1"/>
  <c r="M52" i="23"/>
  <c r="M57" i="23"/>
  <c r="P57" i="23" s="1"/>
  <c r="M67" i="23"/>
  <c r="O67" i="23" s="1"/>
  <c r="M40" i="23"/>
  <c r="O40" i="23" s="1"/>
  <c r="G43" i="23"/>
  <c r="M48" i="23"/>
  <c r="O48" i="23" s="1"/>
  <c r="M51" i="23"/>
  <c r="O51" i="23" s="1"/>
  <c r="G60" i="23"/>
  <c r="M70" i="23"/>
  <c r="O70" i="23" s="1"/>
  <c r="M68" i="23"/>
  <c r="P68" i="23" s="1"/>
  <c r="M69" i="23"/>
  <c r="O69" i="23" s="1"/>
  <c r="M37" i="23"/>
  <c r="N37" i="23" s="1"/>
  <c r="M61" i="23"/>
  <c r="N61" i="23" s="1"/>
  <c r="M63" i="23"/>
  <c r="P63" i="23" s="1"/>
  <c r="M65" i="23"/>
  <c r="N65" i="23" s="1"/>
  <c r="N52" i="23"/>
  <c r="P52" i="23"/>
  <c r="O52" i="23"/>
  <c r="P58" i="23"/>
  <c r="N58" i="23"/>
  <c r="O58" i="23"/>
  <c r="P66" i="23"/>
  <c r="N66" i="23"/>
  <c r="O66" i="23"/>
  <c r="N68" i="23"/>
  <c r="N69" i="23"/>
  <c r="P33" i="23"/>
  <c r="M38" i="23"/>
  <c r="O38" i="23" s="1"/>
  <c r="P49" i="23"/>
  <c r="M50" i="23"/>
  <c r="O50" i="23" s="1"/>
  <c r="P53" i="23"/>
  <c r="M54" i="23"/>
  <c r="O54" i="23" s="1"/>
  <c r="P56" i="23"/>
  <c r="P67" i="23"/>
  <c r="P70" i="23"/>
  <c r="M71" i="23"/>
  <c r="N49" i="23"/>
  <c r="N53" i="23"/>
  <c r="N70" i="23"/>
  <c r="N33" i="23" l="1"/>
  <c r="N67" i="23"/>
  <c r="N56" i="23"/>
  <c r="O68" i="23"/>
  <c r="P69" i="23"/>
  <c r="P71" i="23"/>
  <c r="O71" i="23"/>
  <c r="N71" i="23"/>
  <c r="G34" i="1" l="1"/>
  <c r="H34" i="1" l="1"/>
  <c r="I34" i="1" s="1"/>
  <c r="K34" i="1" s="1"/>
  <c r="AE34" i="1" s="1"/>
  <c r="G36" i="17"/>
  <c r="G17" i="17"/>
  <c r="F28" i="1"/>
  <c r="E28" i="1"/>
  <c r="G26" i="1"/>
  <c r="E24" i="1"/>
  <c r="G24" i="1" s="1"/>
  <c r="E23" i="1"/>
  <c r="G23" i="1" s="1"/>
  <c r="H23" i="1" s="1"/>
  <c r="I23" i="1" s="1"/>
  <c r="L153" i="61"/>
  <c r="K23" i="1" l="1"/>
  <c r="S23" i="1"/>
  <c r="AD23" i="1" s="1"/>
  <c r="U28" i="1"/>
  <c r="T28" i="1"/>
  <c r="H24" i="1"/>
  <c r="I24" i="1" s="1"/>
  <c r="S24" i="1" s="1"/>
  <c r="AD24" i="1" s="1"/>
  <c r="G28" i="1"/>
  <c r="H26" i="1"/>
  <c r="I26" i="1" s="1"/>
  <c r="G25" i="1"/>
  <c r="L150" i="61"/>
  <c r="L149" i="61"/>
  <c r="L158" i="61" s="1"/>
  <c r="L148" i="61"/>
  <c r="L145" i="61"/>
  <c r="L144" i="61"/>
  <c r="L143" i="61"/>
  <c r="L142" i="61"/>
  <c r="L141" i="61"/>
  <c r="L140" i="61"/>
  <c r="K142" i="61"/>
  <c r="K141" i="61"/>
  <c r="K140" i="61"/>
  <c r="J141" i="61"/>
  <c r="J142" i="61"/>
  <c r="J143" i="61"/>
  <c r="J140" i="61"/>
  <c r="F17" i="57"/>
  <c r="F12" i="57"/>
  <c r="F10" i="57"/>
  <c r="E9" i="57"/>
  <c r="F9" i="57"/>
  <c r="G141" i="61"/>
  <c r="L99" i="61"/>
  <c r="I102" i="61"/>
  <c r="I99" i="61"/>
  <c r="G19" i="61"/>
  <c r="O19" i="61" s="1"/>
  <c r="O23" i="61" s="1"/>
  <c r="J250" i="61"/>
  <c r="J249" i="61"/>
  <c r="J254" i="61" s="1"/>
  <c r="K243" i="61"/>
  <c r="K242" i="61"/>
  <c r="J223" i="61"/>
  <c r="J222" i="61"/>
  <c r="J227" i="61" s="1"/>
  <c r="J212" i="61"/>
  <c r="J211" i="61"/>
  <c r="K199" i="61"/>
  <c r="K198" i="61"/>
  <c r="K197" i="61"/>
  <c r="W188" i="61"/>
  <c r="V188" i="61"/>
  <c r="L188" i="61"/>
  <c r="K188" i="61"/>
  <c r="X187" i="61"/>
  <c r="U187" i="61"/>
  <c r="U188" i="61" s="1"/>
  <c r="T186" i="61"/>
  <c r="T188" i="61" s="1"/>
  <c r="S186" i="61"/>
  <c r="S188" i="61" s="1"/>
  <c r="R186" i="61"/>
  <c r="R188" i="61" s="1"/>
  <c r="Q186" i="61"/>
  <c r="Q188" i="61" s="1"/>
  <c r="P186" i="61"/>
  <c r="P188" i="61" s="1"/>
  <c r="P185" i="61"/>
  <c r="O185" i="61"/>
  <c r="N185" i="61"/>
  <c r="N188" i="61" s="1"/>
  <c r="M185" i="61"/>
  <c r="M188" i="61" s="1"/>
  <c r="L185" i="61"/>
  <c r="K185" i="61"/>
  <c r="J185" i="61"/>
  <c r="J188" i="61" s="1"/>
  <c r="I185" i="61"/>
  <c r="I188" i="61" s="1"/>
  <c r="AN175" i="61"/>
  <c r="AZ173" i="61"/>
  <c r="AX173" i="61"/>
  <c r="AX177" i="61" s="1"/>
  <c r="AV173" i="61"/>
  <c r="AR173" i="61"/>
  <c r="AS173" i="61" s="1"/>
  <c r="AQ173" i="61"/>
  <c r="AQ177" i="61" s="1"/>
  <c r="AZ172" i="61"/>
  <c r="AX172" i="61"/>
  <c r="AV172" i="61"/>
  <c r="AV177" i="61" s="1"/>
  <c r="AS172" i="61"/>
  <c r="AS177" i="61" s="1"/>
  <c r="AR172" i="61"/>
  <c r="AQ172" i="61"/>
  <c r="AN172" i="61"/>
  <c r="AZ170" i="61"/>
  <c r="AZ177" i="61" s="1"/>
  <c r="AV170" i="61"/>
  <c r="AU170" i="61"/>
  <c r="AQ170" i="61"/>
  <c r="AN170" i="61"/>
  <c r="AN177" i="61" s="1"/>
  <c r="AM170" i="61"/>
  <c r="N158" i="61"/>
  <c r="M158" i="61"/>
  <c r="N157" i="61"/>
  <c r="M157" i="61"/>
  <c r="N156" i="61"/>
  <c r="M156" i="61"/>
  <c r="N155" i="61"/>
  <c r="M155" i="61"/>
  <c r="L155" i="61"/>
  <c r="H184" i="61" s="1"/>
  <c r="N154" i="61"/>
  <c r="M154" i="61"/>
  <c r="N153" i="61"/>
  <c r="M153" i="61"/>
  <c r="H153" i="61"/>
  <c r="H152" i="61"/>
  <c r="J148" i="61"/>
  <c r="V127" i="61"/>
  <c r="V131" i="61" s="1"/>
  <c r="P127" i="61"/>
  <c r="J127" i="61"/>
  <c r="V126" i="61"/>
  <c r="P126" i="61"/>
  <c r="P131" i="61" s="1"/>
  <c r="M126" i="61"/>
  <c r="J126" i="61"/>
  <c r="M125" i="61"/>
  <c r="M131" i="61" s="1"/>
  <c r="J125" i="61"/>
  <c r="J131" i="61" s="1"/>
  <c r="J124" i="61"/>
  <c r="L105" i="61"/>
  <c r="L102" i="61"/>
  <c r="K101" i="61"/>
  <c r="L101" i="61" s="1"/>
  <c r="G101" i="61"/>
  <c r="I101" i="61" s="1"/>
  <c r="I100" i="61"/>
  <c r="L100" i="61" s="1"/>
  <c r="J62" i="61"/>
  <c r="J61" i="61"/>
  <c r="J60" i="61"/>
  <c r="J59" i="61"/>
  <c r="J66" i="61" s="1"/>
  <c r="O20" i="61"/>
  <c r="J214" i="61" l="1"/>
  <c r="J216" i="61" s="1"/>
  <c r="AE23" i="1"/>
  <c r="K26" i="1"/>
  <c r="S26" i="1"/>
  <c r="AD26" i="1" s="1"/>
  <c r="H28" i="1"/>
  <c r="H25" i="1"/>
  <c r="I25" i="1" s="1"/>
  <c r="K24" i="1"/>
  <c r="AE24" i="1" s="1"/>
  <c r="L154" i="61"/>
  <c r="L156" i="61"/>
  <c r="L157" i="61"/>
  <c r="O184" i="61"/>
  <c r="O188" i="61" s="1"/>
  <c r="M19" i="61"/>
  <c r="M23" i="61" s="1"/>
  <c r="L103" i="61"/>
  <c r="L106" i="61"/>
  <c r="X184" i="61"/>
  <c r="X188" i="61" s="1"/>
  <c r="J215" i="61"/>
  <c r="X185" i="61"/>
  <c r="H188" i="61"/>
  <c r="K200" i="61"/>
  <c r="K201" i="61" s="1"/>
  <c r="X186" i="61"/>
  <c r="AE26" i="1" l="1"/>
  <c r="I28" i="1"/>
  <c r="K28" i="1" s="1"/>
  <c r="V28" i="1"/>
  <c r="AD28" i="1" s="1"/>
  <c r="K25" i="1"/>
  <c r="S25" i="1"/>
  <c r="AD25" i="1" s="1"/>
  <c r="G78" i="5"/>
  <c r="E21" i="1"/>
  <c r="F21" i="1"/>
  <c r="K78" i="5"/>
  <c r="F20" i="1"/>
  <c r="K75" i="5"/>
  <c r="E20" i="1"/>
  <c r="AD19" i="1"/>
  <c r="E18" i="1"/>
  <c r="M66" i="5"/>
  <c r="O65" i="5"/>
  <c r="J29" i="5"/>
  <c r="AE25" i="1" l="1"/>
  <c r="AE28" i="1"/>
  <c r="G20" i="1"/>
  <c r="H20" i="1" s="1"/>
  <c r="I20" i="1" s="1"/>
  <c r="G21" i="1"/>
  <c r="H21" i="1" s="1"/>
  <c r="G18" i="1"/>
  <c r="H18" i="1" s="1"/>
  <c r="I18" i="1" s="1"/>
  <c r="K18" i="1" s="1"/>
  <c r="K65" i="5"/>
  <c r="K69" i="5" s="1"/>
  <c r="M65" i="5"/>
  <c r="M69" i="5" s="1"/>
  <c r="K20" i="1" l="1"/>
  <c r="M20" i="1"/>
  <c r="AD20" i="1" s="1"/>
  <c r="M18" i="1"/>
  <c r="AD18" i="1" s="1"/>
  <c r="AE18" i="1" s="1"/>
  <c r="I21" i="1"/>
  <c r="N16" i="1" l="1"/>
  <c r="S16" i="1"/>
  <c r="R16" i="1"/>
  <c r="Q16" i="1"/>
  <c r="K21" i="1"/>
  <c r="M21" i="1"/>
  <c r="AD21" i="1" s="1"/>
  <c r="AE20" i="1"/>
  <c r="K44" i="56"/>
  <c r="E74" i="55"/>
  <c r="AE21" i="1" l="1"/>
  <c r="K23" i="33"/>
  <c r="E16" i="1" l="1"/>
  <c r="O16" i="1"/>
  <c r="P16" i="1"/>
  <c r="K58" i="56"/>
  <c r="K57" i="56"/>
  <c r="K59" i="56" s="1"/>
  <c r="L12" i="1" s="1"/>
  <c r="AD40" i="1"/>
  <c r="AD41" i="1"/>
  <c r="AD43" i="1"/>
  <c r="O7" i="1"/>
  <c r="N7" i="1"/>
  <c r="M7" i="1"/>
  <c r="I32" i="35" l="1"/>
  <c r="I26" i="35"/>
  <c r="I27" i="35"/>
  <c r="I25" i="35"/>
  <c r="G22" i="24"/>
  <c r="P22" i="24" s="1"/>
  <c r="G21" i="24"/>
  <c r="J21" i="24" s="1"/>
  <c r="G18" i="24"/>
  <c r="J16" i="24"/>
  <c r="P16" i="24"/>
  <c r="R16" i="24"/>
  <c r="J18" i="24"/>
  <c r="P18" i="24"/>
  <c r="R18" i="24"/>
  <c r="J19" i="24"/>
  <c r="P19" i="24"/>
  <c r="R19" i="24"/>
  <c r="J20" i="24"/>
  <c r="P20" i="24"/>
  <c r="R20" i="24"/>
  <c r="R21" i="24"/>
  <c r="J22" i="24"/>
  <c r="R22" i="24"/>
  <c r="J23" i="24"/>
  <c r="M23" i="24"/>
  <c r="P23" i="24"/>
  <c r="R23" i="24"/>
  <c r="J25" i="24"/>
  <c r="M25" i="24"/>
  <c r="R25" i="24"/>
  <c r="N16" i="21"/>
  <c r="P16" i="21" s="1"/>
  <c r="I28" i="35" l="1"/>
  <c r="F49" i="1"/>
  <c r="P21" i="24"/>
  <c r="G38" i="1"/>
  <c r="S38" i="1" l="1"/>
  <c r="H38" i="1"/>
  <c r="K21" i="20"/>
  <c r="X38" i="1" l="1"/>
  <c r="AD38" i="1" s="1"/>
  <c r="I38" i="1"/>
  <c r="K38" i="1" s="1"/>
  <c r="AD36" i="1"/>
  <c r="T33" i="1"/>
  <c r="S33" i="1"/>
  <c r="R33" i="1"/>
  <c r="O33" i="1"/>
  <c r="P33" i="1"/>
  <c r="Q33" i="1"/>
  <c r="N33" i="1"/>
  <c r="G36" i="1"/>
  <c r="E33" i="1"/>
  <c r="D16" i="14"/>
  <c r="J23" i="14"/>
  <c r="F35" i="1" s="1"/>
  <c r="S35" i="1" s="1"/>
  <c r="AD35" i="1" s="1"/>
  <c r="F11" i="57"/>
  <c r="F13" i="57"/>
  <c r="F14" i="57"/>
  <c r="F15" i="57"/>
  <c r="F16" i="57"/>
  <c r="F8" i="57"/>
  <c r="AE38" i="1" l="1"/>
  <c r="F14" i="1"/>
  <c r="G33" i="1"/>
  <c r="G35" i="1"/>
  <c r="H35" i="1" s="1"/>
  <c r="I35" i="1" s="1"/>
  <c r="K35" i="1" s="1"/>
  <c r="AE35" i="1" s="1"/>
  <c r="F41" i="57"/>
  <c r="E41" i="57"/>
  <c r="D41" i="57"/>
  <c r="C37" i="57"/>
  <c r="C36" i="57"/>
  <c r="C35" i="57"/>
  <c r="C34" i="57"/>
  <c r="C33" i="57"/>
  <c r="C32" i="57"/>
  <c r="C31" i="57"/>
  <c r="C30" i="57"/>
  <c r="C29" i="57"/>
  <c r="C28" i="57"/>
  <c r="C27" i="57"/>
  <c r="C26" i="57"/>
  <c r="C25" i="57"/>
  <c r="C24" i="57"/>
  <c r="C41" i="57" l="1"/>
  <c r="F13" i="42" l="1"/>
  <c r="F14" i="42"/>
  <c r="F15" i="42"/>
  <c r="R6" i="1" s="1"/>
  <c r="F12" i="42"/>
  <c r="F6" i="1" l="1"/>
  <c r="B38" i="14" l="1"/>
  <c r="B37" i="14"/>
  <c r="D13" i="14"/>
  <c r="D12" i="14"/>
  <c r="E16" i="58"/>
  <c r="G49" i="17"/>
  <c r="E30" i="1"/>
  <c r="G16" i="17"/>
  <c r="E32" i="1" s="1"/>
  <c r="G21" i="45"/>
  <c r="G20" i="45"/>
  <c r="G19" i="45"/>
  <c r="G47" i="5"/>
  <c r="K47" i="5" s="1"/>
  <c r="K51" i="5" s="1"/>
  <c r="O47" i="5"/>
  <c r="M48" i="5"/>
  <c r="F172" i="5"/>
  <c r="K16" i="5"/>
  <c r="M47" i="5" l="1"/>
  <c r="M51" i="5" s="1"/>
  <c r="E49" i="56"/>
  <c r="E48" i="56"/>
  <c r="E47" i="56"/>
  <c r="E46" i="56"/>
  <c r="E8" i="1" l="1"/>
  <c r="F37" i="55" l="1"/>
  <c r="I34" i="54"/>
  <c r="G8" i="1"/>
  <c r="H8" i="1" l="1"/>
  <c r="I8" i="1" s="1"/>
  <c r="D206" i="42"/>
  <c r="D215" i="42"/>
  <c r="D213" i="42"/>
  <c r="D216" i="42" s="1"/>
  <c r="D209" i="42"/>
  <c r="D208" i="42"/>
  <c r="D207" i="42"/>
  <c r="D200" i="42"/>
  <c r="D199" i="42"/>
  <c r="K8" i="1" l="1"/>
  <c r="L8" i="1"/>
  <c r="AD8" i="1" s="1"/>
  <c r="D193" i="42"/>
  <c r="D190" i="42"/>
  <c r="D192" i="42"/>
  <c r="D191" i="42"/>
  <c r="D184" i="42"/>
  <c r="D181" i="42"/>
  <c r="D183" i="42"/>
  <c r="D182" i="42"/>
  <c r="AE8" i="1" l="1"/>
  <c r="D164" i="42"/>
  <c r="D154" i="42" l="1"/>
  <c r="D153" i="42"/>
  <c r="D155" i="42"/>
  <c r="D157" i="42" l="1"/>
  <c r="D156" i="42"/>
  <c r="D88" i="42"/>
  <c r="D85" i="42"/>
  <c r="D84" i="42"/>
  <c r="D83" i="42"/>
  <c r="D82" i="42"/>
  <c r="D80" i="42"/>
  <c r="D79" i="42"/>
  <c r="D78" i="42"/>
  <c r="F67" i="42"/>
  <c r="D67" i="42"/>
  <c r="D55" i="42" l="1"/>
  <c r="G7" i="1"/>
  <c r="P7" i="1" s="1"/>
  <c r="E9" i="1"/>
  <c r="G9" i="1" s="1"/>
  <c r="H9" i="1" s="1"/>
  <c r="L7" i="1" l="1"/>
  <c r="I9" i="1"/>
  <c r="H7" i="1"/>
  <c r="D48" i="42"/>
  <c r="D51" i="42"/>
  <c r="D49" i="42"/>
  <c r="AD7" i="1" l="1"/>
  <c r="K9" i="1"/>
  <c r="L9" i="1"/>
  <c r="AD9" i="1" s="1"/>
  <c r="I7" i="1"/>
  <c r="G166" i="58"/>
  <c r="G163" i="58"/>
  <c r="G151" i="58"/>
  <c r="G154" i="58" s="1"/>
  <c r="G142" i="58"/>
  <c r="G139" i="58"/>
  <c r="G127" i="58"/>
  <c r="G130" i="58" s="1"/>
  <c r="G118" i="58"/>
  <c r="G115" i="58"/>
  <c r="G102" i="58"/>
  <c r="G101" i="58"/>
  <c r="G100" i="58"/>
  <c r="G99" i="58"/>
  <c r="G105" i="58" s="1"/>
  <c r="G91" i="58"/>
  <c r="G87" i="58"/>
  <c r="G77" i="58"/>
  <c r="G76" i="58"/>
  <c r="G75" i="58"/>
  <c r="G74" i="58"/>
  <c r="G81" i="58" s="1"/>
  <c r="E65" i="58"/>
  <c r="M55" i="58"/>
  <c r="M54" i="58"/>
  <c r="V48" i="58"/>
  <c r="S48" i="58"/>
  <c r="P48" i="58"/>
  <c r="J48" i="58"/>
  <c r="G48" i="58"/>
  <c r="Y44" i="58"/>
  <c r="Y42" i="58"/>
  <c r="Y48" i="58" s="1"/>
  <c r="AZ37" i="58"/>
  <c r="AZ38" i="58" s="1"/>
  <c r="AY36" i="58"/>
  <c r="N31" i="58"/>
  <c r="O31" i="58" s="1"/>
  <c r="M31" i="58"/>
  <c r="O30" i="58"/>
  <c r="M30" i="58"/>
  <c r="U29" i="58"/>
  <c r="O29" i="58"/>
  <c r="M29" i="58"/>
  <c r="U28" i="58"/>
  <c r="U27" i="58"/>
  <c r="O27" i="58"/>
  <c r="L27" i="58"/>
  <c r="M27" i="58" s="1"/>
  <c r="M28" i="58" s="1"/>
  <c r="S26" i="58"/>
  <c r="U26" i="58" s="1"/>
  <c r="U30" i="58" s="1"/>
  <c r="O26" i="58"/>
  <c r="M26" i="58"/>
  <c r="O25" i="58"/>
  <c r="L25" i="58"/>
  <c r="M25" i="58" s="1"/>
  <c r="O24" i="58"/>
  <c r="M24" i="58"/>
  <c r="O23" i="58"/>
  <c r="M23" i="58"/>
  <c r="AY20" i="58"/>
  <c r="AY38" i="58" s="1"/>
  <c r="V20" i="58"/>
  <c r="S20" i="58"/>
  <c r="P20" i="58"/>
  <c r="J20" i="58"/>
  <c r="G20" i="58"/>
  <c r="AD19" i="58"/>
  <c r="X19" i="58"/>
  <c r="Y19" i="58" s="1"/>
  <c r="AD18" i="58"/>
  <c r="AD17" i="58"/>
  <c r="AD20" i="58" s="1"/>
  <c r="AK15" i="58"/>
  <c r="Y15" i="58"/>
  <c r="Y20" i="58" s="1"/>
  <c r="AK14" i="58"/>
  <c r="AK13" i="58"/>
  <c r="AK12" i="58"/>
  <c r="F7" i="58"/>
  <c r="F5" i="58" s="1"/>
  <c r="E7" i="58"/>
  <c r="F3" i="58"/>
  <c r="K7" i="1" l="1"/>
  <c r="AE7" i="1" s="1"/>
  <c r="AE9" i="1"/>
  <c r="M32" i="58"/>
  <c r="M34" i="58" s="1"/>
  <c r="F15" i="1" s="1"/>
  <c r="O32" i="58"/>
  <c r="O34" i="58" s="1"/>
  <c r="O28" i="58"/>
  <c r="G15" i="1" l="1"/>
  <c r="L15" i="1"/>
  <c r="O35" i="58"/>
  <c r="G17" i="1"/>
  <c r="H17" i="1" s="1"/>
  <c r="G29" i="5"/>
  <c r="H19" i="1" l="1"/>
  <c r="I19" i="1" s="1"/>
  <c r="K19" i="1" s="1"/>
  <c r="AE19" i="1" s="1"/>
  <c r="H15" i="1"/>
  <c r="I15" i="1" s="1"/>
  <c r="K15" i="1" s="1"/>
  <c r="I17" i="1"/>
  <c r="K17" i="1" s="1"/>
  <c r="AD17" i="1"/>
  <c r="A11" i="57"/>
  <c r="A15" i="57"/>
  <c r="AH9" i="57"/>
  <c r="AG9" i="57"/>
  <c r="A9" i="57"/>
  <c r="AH8" i="57"/>
  <c r="AG8" i="57" s="1"/>
  <c r="O13" i="56"/>
  <c r="M13" i="56"/>
  <c r="K12" i="56"/>
  <c r="K11" i="56"/>
  <c r="O59" i="56"/>
  <c r="M59" i="56"/>
  <c r="K56" i="56"/>
  <c r="O44" i="56"/>
  <c r="S44" i="56" s="1"/>
  <c r="S45" i="56" s="1"/>
  <c r="M44" i="56"/>
  <c r="K43" i="56"/>
  <c r="S42" i="56"/>
  <c r="K42" i="56"/>
  <c r="F12" i="55"/>
  <c r="F14" i="55" s="1"/>
  <c r="F31" i="55"/>
  <c r="F32" i="55"/>
  <c r="F33" i="55"/>
  <c r="F34" i="55"/>
  <c r="F35" i="55"/>
  <c r="F36" i="55"/>
  <c r="F30" i="55"/>
  <c r="E36" i="55"/>
  <c r="E35" i="55"/>
  <c r="E34" i="55"/>
  <c r="E33" i="55"/>
  <c r="E32" i="55"/>
  <c r="E31" i="55"/>
  <c r="F29" i="55"/>
  <c r="F28" i="55"/>
  <c r="G70" i="55"/>
  <c r="D70" i="55"/>
  <c r="D63" i="55"/>
  <c r="G63" i="55"/>
  <c r="G57" i="55"/>
  <c r="E57" i="55"/>
  <c r="E51" i="55"/>
  <c r="E45" i="55"/>
  <c r="M15" i="1" l="1"/>
  <c r="AD15" i="1" s="1"/>
  <c r="AE15" i="1" s="1"/>
  <c r="N12" i="1"/>
  <c r="AE17" i="1"/>
  <c r="K13" i="56"/>
  <c r="I26" i="54"/>
  <c r="I27" i="54"/>
  <c r="I28" i="54"/>
  <c r="I29" i="54"/>
  <c r="I30" i="54"/>
  <c r="I31" i="54"/>
  <c r="I32" i="54"/>
  <c r="I33" i="54"/>
  <c r="G12" i="1" l="1"/>
  <c r="H12" i="1" s="1"/>
  <c r="O12" i="1" s="1"/>
  <c r="AD12" i="1" s="1"/>
  <c r="F136" i="14"/>
  <c r="F135" i="14"/>
  <c r="F134" i="14"/>
  <c r="F133" i="14"/>
  <c r="D136" i="14"/>
  <c r="I12" i="1" l="1"/>
  <c r="K12" i="1" s="1"/>
  <c r="AE12" i="1" s="1"/>
  <c r="F10" i="1"/>
  <c r="L10" i="1" s="1"/>
  <c r="N10" i="1" l="1"/>
  <c r="F232" i="14"/>
  <c r="F230" i="14" l="1"/>
  <c r="F228" i="14"/>
  <c r="F231" i="14"/>
  <c r="A231" i="14"/>
  <c r="F229" i="14"/>
  <c r="A229" i="14"/>
  <c r="A216" i="14"/>
  <c r="O216" i="14" l="1"/>
  <c r="L216" i="14"/>
  <c r="F216" i="14"/>
  <c r="F214" i="14"/>
  <c r="F217" i="14" s="1"/>
  <c r="O213" i="14"/>
  <c r="L214" i="14"/>
  <c r="L213" i="14"/>
  <c r="I213" i="14"/>
  <c r="I217" i="14" s="1"/>
  <c r="I214" i="14"/>
  <c r="A214" i="14"/>
  <c r="L217" i="14" l="1"/>
  <c r="O217" i="14"/>
  <c r="N135" i="14" l="1"/>
  <c r="N134" i="14"/>
  <c r="N133" i="14"/>
  <c r="H135" i="14"/>
  <c r="H134" i="14"/>
  <c r="H133" i="14"/>
  <c r="N136" i="14" l="1"/>
  <c r="H136" i="14"/>
  <c r="U191" i="14"/>
  <c r="U192" i="14"/>
  <c r="U193" i="14"/>
  <c r="U190" i="14"/>
  <c r="B202" i="14"/>
  <c r="U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E200" i="14"/>
  <c r="E199" i="14"/>
  <c r="U199" i="14"/>
  <c r="C199" i="14"/>
  <c r="C193" i="14"/>
  <c r="E193" i="14"/>
  <c r="U197" i="14"/>
  <c r="F193" i="14"/>
  <c r="U198" i="14" l="1"/>
  <c r="U196" i="14"/>
  <c r="J134" i="14" l="1"/>
  <c r="J135" i="14"/>
  <c r="J133" i="14"/>
  <c r="D161" i="14"/>
  <c r="H161" i="14" s="1"/>
  <c r="H163" i="14"/>
  <c r="D163" i="14"/>
  <c r="F163" i="14" s="1"/>
  <c r="D162" i="14"/>
  <c r="H162" i="14" s="1"/>
  <c r="A162" i="14"/>
  <c r="A163" i="14" s="1"/>
  <c r="J136" i="14" l="1"/>
  <c r="H142" i="14" s="1"/>
  <c r="F162" i="14"/>
  <c r="H164" i="14"/>
  <c r="D164" i="14"/>
  <c r="F161" i="14"/>
  <c r="G170" i="14" l="1"/>
  <c r="F164" i="14"/>
  <c r="J142" i="14" l="1"/>
  <c r="L135" i="14"/>
  <c r="L134" i="14"/>
  <c r="A134" i="14"/>
  <c r="A135" i="14" s="1"/>
  <c r="L133" i="14"/>
  <c r="L142" i="14" l="1"/>
  <c r="L136" i="14"/>
  <c r="AB53" i="1" l="1"/>
  <c r="AA53" i="1"/>
  <c r="AC53" i="1" l="1"/>
  <c r="I52" i="17" l="1"/>
  <c r="I51" i="17"/>
  <c r="I53" i="17"/>
  <c r="I50" i="17"/>
  <c r="I49" i="17"/>
  <c r="I54" i="17" l="1"/>
  <c r="F31" i="1" s="1"/>
  <c r="G31" i="1" s="1"/>
  <c r="X31" i="1" s="1"/>
  <c r="U31" i="1" l="1"/>
  <c r="S31" i="1"/>
  <c r="W31" i="1"/>
  <c r="V31" i="1"/>
  <c r="T31" i="1"/>
  <c r="H31" i="1"/>
  <c r="I31" i="1" s="1"/>
  <c r="K31" i="1" s="1"/>
  <c r="Y31" i="1" l="1"/>
  <c r="AD31" i="1" l="1"/>
  <c r="AE31" i="1" s="1"/>
  <c r="H36" i="1"/>
  <c r="I36" i="1" s="1"/>
  <c r="K36" i="1" l="1"/>
  <c r="AE36" i="1" s="1"/>
  <c r="G11" i="1" l="1"/>
  <c r="M11" i="1" s="1"/>
  <c r="M53" i="1" s="1"/>
  <c r="R11" i="1" l="1"/>
  <c r="O11" i="1"/>
  <c r="P11" i="1"/>
  <c r="Q11" i="1"/>
  <c r="G30" i="14" l="1"/>
  <c r="G29" i="14"/>
  <c r="AI18" i="17" l="1"/>
  <c r="AI16" i="17"/>
  <c r="AI24" i="17" s="1"/>
  <c r="M16" i="17" l="1"/>
  <c r="AF18" i="17" l="1"/>
  <c r="AF16" i="17"/>
  <c r="AF24" i="17" l="1"/>
  <c r="N98" i="14"/>
  <c r="N97" i="14"/>
  <c r="N99" i="14" s="1"/>
  <c r="N93" i="14"/>
  <c r="N94" i="14" s="1"/>
  <c r="N95" i="14" s="1"/>
  <c r="N109" i="14" l="1"/>
  <c r="N110" i="14" s="1"/>
  <c r="N111" i="14"/>
  <c r="N100" i="14"/>
  <c r="N101" i="14" s="1"/>
  <c r="S25" i="45" l="1"/>
  <c r="S20" i="45"/>
  <c r="S21" i="45"/>
  <c r="S19" i="45"/>
  <c r="S26" i="45" s="1"/>
  <c r="Q19" i="45"/>
  <c r="Q26" i="45" s="1"/>
  <c r="O20" i="45"/>
  <c r="O26" i="45" s="1"/>
  <c r="N54" i="45"/>
  <c r="M25" i="45"/>
  <c r="M21" i="45"/>
  <c r="G36" i="45"/>
  <c r="K36" i="45" s="1"/>
  <c r="K25" i="45"/>
  <c r="K26" i="45" s="1"/>
  <c r="L54" i="45" s="1"/>
  <c r="K21" i="45"/>
  <c r="K35" i="45"/>
  <c r="M26" i="45" l="1"/>
  <c r="K39" i="45"/>
  <c r="L51" i="45"/>
  <c r="P54" i="45" s="1"/>
  <c r="R54" i="45" s="1"/>
  <c r="M36" i="45"/>
  <c r="M35" i="45"/>
  <c r="M39" i="45" s="1"/>
  <c r="I19" i="45"/>
  <c r="G66" i="14" l="1"/>
  <c r="G67" i="14"/>
  <c r="G68" i="14"/>
  <c r="G69" i="14"/>
  <c r="G70" i="14"/>
  <c r="G65" i="14"/>
  <c r="G71" i="14" l="1"/>
  <c r="T15" i="5"/>
  <c r="U15" i="5"/>
  <c r="V15" i="5"/>
  <c r="W15" i="5"/>
  <c r="W16" i="5" s="1"/>
  <c r="S15" i="5"/>
  <c r="S16" i="5" s="1"/>
  <c r="U16" i="5"/>
  <c r="R15" i="5"/>
  <c r="R16" i="5" s="1"/>
  <c r="Z15" i="5" l="1"/>
  <c r="V16" i="5"/>
  <c r="T16" i="5"/>
  <c r="Z16" i="5" s="1"/>
  <c r="K36" i="17" l="1"/>
  <c r="AC23" i="17"/>
  <c r="AC18" i="17"/>
  <c r="AC16" i="17"/>
  <c r="W19" i="17"/>
  <c r="AC24" i="17" l="1"/>
  <c r="Z20" i="17"/>
  <c r="Z23" i="17"/>
  <c r="F155" i="5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J154" i="5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W18" i="17" l="1"/>
  <c r="W16" i="17"/>
  <c r="W24" i="17" s="1"/>
  <c r="S47" i="18" l="1"/>
  <c r="R46" i="18"/>
  <c r="T46" i="18" s="1"/>
  <c r="Q46" i="18"/>
  <c r="N46" i="18"/>
  <c r="H46" i="18"/>
  <c r="S45" i="18"/>
  <c r="T45" i="18" s="1"/>
  <c r="P45" i="18"/>
  <c r="M45" i="18"/>
  <c r="J45" i="18"/>
  <c r="F45" i="18"/>
  <c r="S44" i="18"/>
  <c r="R44" i="18"/>
  <c r="Q44" i="18"/>
  <c r="P44" i="18"/>
  <c r="M44" i="18"/>
  <c r="J44" i="18"/>
  <c r="H44" i="18"/>
  <c r="G44" i="18"/>
  <c r="T44" i="18" s="1"/>
  <c r="F44" i="18"/>
  <c r="E44" i="18"/>
  <c r="R43" i="18"/>
  <c r="T43" i="18" s="1"/>
  <c r="Q43" i="18"/>
  <c r="N43" i="18"/>
  <c r="S42" i="18"/>
  <c r="R42" i="18"/>
  <c r="Q42" i="18"/>
  <c r="O42" i="18"/>
  <c r="N42" i="18"/>
  <c r="M42" i="18"/>
  <c r="K42" i="18"/>
  <c r="J42" i="18"/>
  <c r="I42" i="18"/>
  <c r="T42" i="18" s="1"/>
  <c r="H42" i="18"/>
  <c r="G42" i="18"/>
  <c r="F42" i="18"/>
  <c r="F23" i="18"/>
  <c r="J17" i="43" l="1"/>
  <c r="F33" i="43"/>
  <c r="B25" i="43" l="1"/>
  <c r="L33" i="43"/>
  <c r="J33" i="43"/>
  <c r="H33" i="43"/>
  <c r="A29" i="43"/>
  <c r="A30" i="43" s="1"/>
  <c r="J20" i="43"/>
  <c r="H20" i="43"/>
  <c r="H16" i="43"/>
  <c r="V38" i="14" l="1"/>
  <c r="V39" i="14"/>
  <c r="V40" i="14"/>
  <c r="V37" i="14"/>
  <c r="V42" i="14" l="1"/>
  <c r="T38" i="14"/>
  <c r="T39" i="14"/>
  <c r="T40" i="14"/>
  <c r="T37" i="14"/>
  <c r="T42" i="14" l="1"/>
  <c r="N38" i="14" l="1"/>
  <c r="N39" i="14"/>
  <c r="N40" i="14"/>
  <c r="N37" i="14"/>
  <c r="N42" i="14" l="1"/>
  <c r="F20" i="43"/>
  <c r="A16" i="43"/>
  <c r="A17" i="43" s="1"/>
  <c r="A18" i="43" s="1"/>
  <c r="F15" i="43"/>
  <c r="U20" i="17"/>
  <c r="U18" i="17"/>
  <c r="U16" i="17"/>
  <c r="U24" i="17" l="1"/>
  <c r="L20" i="43"/>
  <c r="F43" i="42"/>
  <c r="I33" i="42" l="1"/>
  <c r="I34" i="42" s="1"/>
  <c r="F33" i="42"/>
  <c r="F34" i="42" s="1"/>
  <c r="K142" i="5" l="1"/>
  <c r="K16" i="41"/>
  <c r="K17" i="41"/>
  <c r="O17" i="41"/>
  <c r="S17" i="41" s="1"/>
  <c r="M17" i="41"/>
  <c r="S16" i="41"/>
  <c r="Y102" i="5"/>
  <c r="AB108" i="5"/>
  <c r="Z109" i="5"/>
  <c r="Y111" i="5" s="1"/>
  <c r="AB107" i="5"/>
  <c r="I39" i="39"/>
  <c r="S18" i="41" l="1"/>
  <c r="Y100" i="5" l="1"/>
  <c r="Y103" i="5" s="1"/>
  <c r="Y104" i="5" l="1"/>
  <c r="Y105" i="5" s="1"/>
  <c r="U100" i="5" l="1"/>
  <c r="U101" i="5"/>
  <c r="U99" i="5"/>
  <c r="U103" i="5" s="1"/>
  <c r="R99" i="5"/>
  <c r="R103" i="5" s="1"/>
  <c r="K17" i="39"/>
  <c r="K18" i="39"/>
  <c r="M18" i="39"/>
  <c r="O18" i="39"/>
  <c r="K132" i="5" l="1"/>
  <c r="I132" i="5"/>
  <c r="O31" i="39" l="1"/>
  <c r="M31" i="39"/>
  <c r="K30" i="39"/>
  <c r="K31" i="39" s="1"/>
  <c r="S18" i="39"/>
  <c r="S17" i="39"/>
  <c r="S19" i="39" l="1"/>
  <c r="W22" i="38" l="1"/>
  <c r="R22" i="38"/>
  <c r="R20" i="38"/>
  <c r="R17" i="38"/>
  <c r="R18" i="38"/>
  <c r="O22" i="38" l="1"/>
  <c r="G41" i="1" l="1"/>
  <c r="H41" i="1" s="1"/>
  <c r="I41" i="1" s="1"/>
  <c r="K41" i="1" s="1"/>
  <c r="AE41" i="1" s="1"/>
  <c r="Z17" i="38" l="1"/>
  <c r="Z18" i="38"/>
  <c r="W17" i="38"/>
  <c r="W18" i="38"/>
  <c r="W20" i="38"/>
  <c r="W21" i="38"/>
  <c r="W16" i="38"/>
  <c r="T21" i="38" l="1"/>
  <c r="R21" i="38"/>
  <c r="J16" i="38"/>
  <c r="J22" i="38" s="1"/>
  <c r="J46" i="38" l="1"/>
  <c r="J45" i="38"/>
  <c r="J44" i="38"/>
  <c r="J43" i="38"/>
  <c r="J42" i="38"/>
  <c r="J41" i="38"/>
  <c r="J40" i="38"/>
  <c r="J39" i="38"/>
  <c r="J38" i="38"/>
  <c r="J37" i="38"/>
  <c r="J36" i="38"/>
  <c r="Z21" i="38"/>
  <c r="Z16" i="38"/>
  <c r="T16" i="38"/>
  <c r="R16" i="38"/>
  <c r="O16" i="38"/>
  <c r="M16" i="38"/>
  <c r="G48" i="1"/>
  <c r="H48" i="1" s="1"/>
  <c r="I48" i="1" s="1"/>
  <c r="L102" i="5"/>
  <c r="F40" i="1" l="1"/>
  <c r="G40" i="1" s="1"/>
  <c r="H40" i="1" s="1"/>
  <c r="V39" i="1" s="1"/>
  <c r="W48" i="1"/>
  <c r="AD48" i="1" s="1"/>
  <c r="K48" i="1"/>
  <c r="T22" i="38"/>
  <c r="M22" i="38"/>
  <c r="J48" i="38"/>
  <c r="R22" i="25"/>
  <c r="T36" i="25"/>
  <c r="T22" i="25"/>
  <c r="E12" i="25"/>
  <c r="AE48" i="1" l="1"/>
  <c r="I40" i="1"/>
  <c r="K40" i="1" s="1"/>
  <c r="AE40" i="1" s="1"/>
  <c r="M16" i="37"/>
  <c r="M17" i="37" s="1"/>
  <c r="L23" i="17" l="1"/>
  <c r="M23" i="17" s="1"/>
  <c r="S20" i="17"/>
  <c r="S24" i="17" s="1"/>
  <c r="P29" i="17" s="1"/>
  <c r="G32" i="1"/>
  <c r="Q19" i="17"/>
  <c r="Q17" i="17"/>
  <c r="Q24" i="17" s="1"/>
  <c r="N29" i="17" s="1"/>
  <c r="U42" i="18" l="1"/>
  <c r="H6" i="17"/>
  <c r="I6" i="17" s="1"/>
  <c r="M18" i="17" l="1"/>
  <c r="M17" i="17"/>
  <c r="M24" i="17" s="1"/>
  <c r="L29" i="17" s="1"/>
  <c r="K17" i="17"/>
  <c r="K24" i="17" s="1"/>
  <c r="F29" i="1" s="1"/>
  <c r="S29" i="1" s="1"/>
  <c r="J15" i="14"/>
  <c r="J12" i="14"/>
  <c r="R29" i="17" l="1"/>
  <c r="N102" i="5" l="1"/>
  <c r="O102" i="5" s="1"/>
  <c r="O103" i="5" s="1"/>
  <c r="M105" i="5" s="1"/>
  <c r="L99" i="5"/>
  <c r="L103" i="5" l="1"/>
  <c r="T21" i="14"/>
  <c r="T23" i="14" s="1"/>
  <c r="J9" i="23" l="1"/>
  <c r="J10" i="23"/>
  <c r="J11" i="23"/>
  <c r="J12" i="23"/>
  <c r="J13" i="23"/>
  <c r="J14" i="23"/>
  <c r="J15" i="23"/>
  <c r="J16" i="23"/>
  <c r="J17" i="23"/>
  <c r="J18" i="23"/>
  <c r="J8" i="23"/>
  <c r="V8" i="23"/>
  <c r="W8" i="23" s="1"/>
  <c r="R8" i="23"/>
  <c r="O8" i="23"/>
  <c r="J20" i="23" l="1"/>
  <c r="Q16" i="21"/>
  <c r="Q17" i="21" s="1"/>
  <c r="O16" i="21"/>
  <c r="O17" i="21" s="1"/>
  <c r="G50" i="1"/>
  <c r="S16" i="37"/>
  <c r="K16" i="37"/>
  <c r="K17" i="37" s="1"/>
  <c r="H50" i="1" l="1"/>
  <c r="I50" i="1" s="1"/>
  <c r="H51" i="1"/>
  <c r="I51" i="1" s="1"/>
  <c r="Y51" i="1" s="1"/>
  <c r="K29" i="36"/>
  <c r="K26" i="36"/>
  <c r="K25" i="36"/>
  <c r="K24" i="36"/>
  <c r="K23" i="36"/>
  <c r="K17" i="36"/>
  <c r="K18" i="36"/>
  <c r="K19" i="36"/>
  <c r="K20" i="36"/>
  <c r="K21" i="36"/>
  <c r="K22" i="36"/>
  <c r="K27" i="36"/>
  <c r="K28" i="36"/>
  <c r="K16" i="36"/>
  <c r="K50" i="1" l="1"/>
  <c r="AE50" i="1" s="1"/>
  <c r="AD51" i="1"/>
  <c r="K51" i="1"/>
  <c r="S16" i="36"/>
  <c r="AE51" i="1" l="1"/>
  <c r="H32" i="1"/>
  <c r="O24" i="17" l="1"/>
  <c r="I32" i="1"/>
  <c r="R32" i="1" l="1"/>
  <c r="AD32" i="1" s="1"/>
  <c r="K32" i="1"/>
  <c r="G46" i="1"/>
  <c r="H46" i="1" s="1"/>
  <c r="AE32" i="1" l="1"/>
  <c r="I46" i="1"/>
  <c r="S18" i="24"/>
  <c r="S25" i="24"/>
  <c r="S22" i="24"/>
  <c r="S19" i="24"/>
  <c r="S16" i="24"/>
  <c r="P38" i="24"/>
  <c r="G42" i="24"/>
  <c r="X46" i="1" l="1"/>
  <c r="AD46" i="1" s="1"/>
  <c r="K46" i="1"/>
  <c r="R35" i="25"/>
  <c r="R36" i="25" s="1"/>
  <c r="AE46" i="1" l="1"/>
  <c r="K16" i="35"/>
  <c r="S16" i="35"/>
  <c r="K17" i="35" l="1"/>
  <c r="G49" i="1"/>
  <c r="V49" i="1" s="1"/>
  <c r="K16" i="34"/>
  <c r="K17" i="34" s="1"/>
  <c r="S16" i="34"/>
  <c r="H49" i="1" l="1"/>
  <c r="W49" i="1" s="1"/>
  <c r="K17" i="33"/>
  <c r="K18" i="33"/>
  <c r="K19" i="33"/>
  <c r="K20" i="33"/>
  <c r="K16" i="33"/>
  <c r="M21" i="33"/>
  <c r="S17" i="33"/>
  <c r="S18" i="33" s="1"/>
  <c r="M16" i="33"/>
  <c r="AD49" i="1" l="1"/>
  <c r="Z53" i="1"/>
  <c r="K21" i="33"/>
  <c r="G52" i="1" s="1"/>
  <c r="X52" i="1" s="1"/>
  <c r="I49" i="1"/>
  <c r="H12" i="30"/>
  <c r="H13" i="30"/>
  <c r="H15" i="30"/>
  <c r="H11" i="30"/>
  <c r="H19" i="30" s="1"/>
  <c r="G45" i="1" s="1"/>
  <c r="H45" i="1" s="1"/>
  <c r="N15" i="30"/>
  <c r="D12" i="30"/>
  <c r="L16" i="30"/>
  <c r="N14" i="30"/>
  <c r="N13" i="30"/>
  <c r="N12" i="30"/>
  <c r="A12" i="30"/>
  <c r="A13" i="30" s="1"/>
  <c r="A14" i="30" s="1"/>
  <c r="A15" i="30" s="1"/>
  <c r="A16" i="30" s="1"/>
  <c r="A17" i="30" s="1"/>
  <c r="A18" i="30" s="1"/>
  <c r="N11" i="30"/>
  <c r="T52" i="1" l="1"/>
  <c r="AD52" i="1" s="1"/>
  <c r="H52" i="1"/>
  <c r="I52" i="1" s="1"/>
  <c r="K52" i="1" s="1"/>
  <c r="K49" i="1"/>
  <c r="AE49" i="1" s="1"/>
  <c r="I45" i="1"/>
  <c r="AE52" i="1" l="1"/>
  <c r="W45" i="1"/>
  <c r="AD45" i="1" s="1"/>
  <c r="K45" i="1"/>
  <c r="AE45" i="1" l="1"/>
  <c r="G44" i="1"/>
  <c r="H44" i="1" l="1"/>
  <c r="I44" i="1" s="1"/>
  <c r="K44" i="1" l="1"/>
  <c r="H8" i="29"/>
  <c r="W44" i="1" l="1"/>
  <c r="X44" i="1" s="1"/>
  <c r="X53" i="1" s="1"/>
  <c r="G10" i="1"/>
  <c r="P10" i="1" s="1"/>
  <c r="AD44" i="1" l="1"/>
  <c r="AE44" i="1" s="1"/>
  <c r="H10" i="1"/>
  <c r="I10" i="1" l="1"/>
  <c r="F10" i="28"/>
  <c r="AH9" i="28"/>
  <c r="AG9" i="28" s="1"/>
  <c r="F9" i="28"/>
  <c r="A9" i="28"/>
  <c r="A10" i="28" s="1"/>
  <c r="AH8" i="28"/>
  <c r="AG8" i="28" s="1"/>
  <c r="F8" i="28"/>
  <c r="F11" i="28" l="1"/>
  <c r="K10" i="1"/>
  <c r="R10" i="1"/>
  <c r="AD10" i="1" s="1"/>
  <c r="F13" i="1"/>
  <c r="R11" i="28"/>
  <c r="L11" i="28"/>
  <c r="U11" i="28"/>
  <c r="O11" i="28"/>
  <c r="W52" i="18"/>
  <c r="W62" i="18" s="1"/>
  <c r="T60" i="18"/>
  <c r="T59" i="18"/>
  <c r="T58" i="18"/>
  <c r="T57" i="18"/>
  <c r="T56" i="18"/>
  <c r="T55" i="18"/>
  <c r="T54" i="18"/>
  <c r="T52" i="18"/>
  <c r="S62" i="18"/>
  <c r="R62" i="18"/>
  <c r="N62" i="18"/>
  <c r="K62" i="18"/>
  <c r="J62" i="18"/>
  <c r="W42" i="18"/>
  <c r="W49" i="18" s="1"/>
  <c r="T47" i="18"/>
  <c r="T49" i="18" s="1"/>
  <c r="S49" i="18"/>
  <c r="R49" i="18"/>
  <c r="I49" i="18"/>
  <c r="G49" i="18"/>
  <c r="AE10" i="1" l="1"/>
  <c r="G13" i="1"/>
  <c r="H13" i="1" s="1"/>
  <c r="Q13" i="1"/>
  <c r="N13" i="1"/>
  <c r="T62" i="18"/>
  <c r="Y62" i="18" s="1"/>
  <c r="Y49" i="18"/>
  <c r="D49" i="18"/>
  <c r="D62" i="18"/>
  <c r="G30" i="1"/>
  <c r="I11" i="27"/>
  <c r="K11" i="27" s="1"/>
  <c r="L11" i="27" s="1"/>
  <c r="G14" i="1"/>
  <c r="I9" i="27"/>
  <c r="K9" i="27" s="1"/>
  <c r="L9" i="27" s="1"/>
  <c r="M9" i="27" s="1"/>
  <c r="H11" i="1"/>
  <c r="S11" i="1" s="1"/>
  <c r="AD11" i="1" s="1"/>
  <c r="G6" i="1"/>
  <c r="L6" i="1" s="1"/>
  <c r="L53" i="1" s="1"/>
  <c r="L54" i="1" s="1"/>
  <c r="F6" i="27"/>
  <c r="H6" i="27" s="1"/>
  <c r="I12" i="27"/>
  <c r="K12" i="27" s="1"/>
  <c r="G12" i="27"/>
  <c r="F12" i="27" s="1"/>
  <c r="H12" i="27" s="1"/>
  <c r="F11" i="27"/>
  <c r="H11" i="27" s="1"/>
  <c r="I10" i="27"/>
  <c r="K10" i="27" s="1"/>
  <c r="L10" i="27" s="1"/>
  <c r="F10" i="27"/>
  <c r="H10" i="27" s="1"/>
  <c r="H9" i="27"/>
  <c r="K8" i="27"/>
  <c r="L8" i="27" s="1"/>
  <c r="F8" i="27"/>
  <c r="H8" i="27" s="1"/>
  <c r="I7" i="27"/>
  <c r="K7" i="27" s="1"/>
  <c r="G7" i="27"/>
  <c r="K6" i="27"/>
  <c r="L6" i="27" s="1"/>
  <c r="K5" i="27"/>
  <c r="L5" i="27" s="1"/>
  <c r="F5" i="27"/>
  <c r="H5" i="27" s="1"/>
  <c r="H14" i="1" l="1"/>
  <c r="Y14" i="1"/>
  <c r="Y53" i="1" s="1"/>
  <c r="S14" i="1"/>
  <c r="U30" i="1"/>
  <c r="V30" i="1"/>
  <c r="S30" i="1"/>
  <c r="T30" i="1"/>
  <c r="I13" i="1"/>
  <c r="H30" i="1"/>
  <c r="W30" i="1" s="1"/>
  <c r="H6" i="1"/>
  <c r="U6" i="1" s="1"/>
  <c r="M6" i="27"/>
  <c r="M8" i="27"/>
  <c r="L7" i="27"/>
  <c r="M10" i="27"/>
  <c r="M5" i="27"/>
  <c r="M11" i="27"/>
  <c r="L12" i="27"/>
  <c r="M12" i="27" s="1"/>
  <c r="F7" i="27"/>
  <c r="H7" i="27" s="1"/>
  <c r="M7" i="27" s="1"/>
  <c r="AD14" i="1" l="1"/>
  <c r="K13" i="1"/>
  <c r="AD30" i="1"/>
  <c r="S13" i="1"/>
  <c r="AD13" i="1" s="1"/>
  <c r="I30" i="1"/>
  <c r="I6" i="1"/>
  <c r="I14" i="1"/>
  <c r="K14" i="1" s="1"/>
  <c r="I11" i="1"/>
  <c r="AE14" i="1" l="1"/>
  <c r="AE13" i="1"/>
  <c r="K11" i="1"/>
  <c r="AE11" i="1" s="1"/>
  <c r="K6" i="1"/>
  <c r="S53" i="1"/>
  <c r="K30" i="1"/>
  <c r="AE30" i="1" s="1"/>
  <c r="G22" i="18"/>
  <c r="G23" i="18" s="1"/>
  <c r="M21" i="14"/>
  <c r="M13" i="14"/>
  <c r="M14" i="14"/>
  <c r="M12" i="14"/>
  <c r="T6" i="1" l="1"/>
  <c r="AD6" i="1" s="1"/>
  <c r="AE6" i="1" s="1"/>
  <c r="M17" i="14"/>
  <c r="O28" i="25"/>
  <c r="O26" i="25"/>
  <c r="O21" i="25"/>
  <c r="O18" i="25"/>
  <c r="O17" i="25"/>
  <c r="O36" i="25" l="1"/>
  <c r="V36" i="25"/>
  <c r="S23" i="24"/>
  <c r="S21" i="24"/>
  <c r="S20" i="24"/>
  <c r="S38" i="24" l="1"/>
  <c r="M38" i="24"/>
  <c r="Y18" i="5" l="1"/>
  <c r="G43" i="1"/>
  <c r="G47" i="1" l="1"/>
  <c r="H47" i="1" s="1"/>
  <c r="I47" i="1" s="1"/>
  <c r="K47" i="1" s="1"/>
  <c r="H43" i="1"/>
  <c r="I43" i="1" s="1"/>
  <c r="M16" i="21"/>
  <c r="M17" i="21" s="1"/>
  <c r="K16" i="21"/>
  <c r="K17" i="21" s="1"/>
  <c r="G42" i="1" l="1"/>
  <c r="K43" i="1"/>
  <c r="AE43" i="1" s="1"/>
  <c r="W47" i="1"/>
  <c r="AD47" i="1" s="1"/>
  <c r="AE47" i="1" s="1"/>
  <c r="K17" i="20"/>
  <c r="K18" i="20"/>
  <c r="K19" i="20"/>
  <c r="K20" i="20"/>
  <c r="K16" i="20"/>
  <c r="S27" i="20"/>
  <c r="F37" i="1"/>
  <c r="G37" i="1" s="1"/>
  <c r="G8" i="18"/>
  <c r="G9" i="18" s="1"/>
  <c r="D41" i="14"/>
  <c r="H41" i="14" s="1"/>
  <c r="H42" i="14" s="1"/>
  <c r="H42" i="1" l="1"/>
  <c r="I42" i="1" s="1"/>
  <c r="K42" i="1" s="1"/>
  <c r="W42" i="1" s="1"/>
  <c r="K27" i="20"/>
  <c r="F39" i="1" s="1"/>
  <c r="G39" i="1" s="1"/>
  <c r="J41" i="14"/>
  <c r="S28" i="20"/>
  <c r="J25" i="18"/>
  <c r="M40" i="17"/>
  <c r="I24" i="17"/>
  <c r="Q37" i="1" l="1"/>
  <c r="AD42" i="1"/>
  <c r="AE42" i="1" s="1"/>
  <c r="J53" i="1"/>
  <c r="H39" i="1"/>
  <c r="H33" i="1"/>
  <c r="I33" i="1" s="1"/>
  <c r="H37" i="1"/>
  <c r="I37" i="1" s="1"/>
  <c r="K37" i="1" s="1"/>
  <c r="K40" i="17"/>
  <c r="G29" i="1" s="1"/>
  <c r="Q53" i="1" l="1"/>
  <c r="R37" i="1"/>
  <c r="AD37" i="1" s="1"/>
  <c r="AE37" i="1" s="1"/>
  <c r="K33" i="1"/>
  <c r="U33" i="1"/>
  <c r="H29" i="1"/>
  <c r="I29" i="1" s="1"/>
  <c r="V29" i="1" s="1"/>
  <c r="V53" i="1" s="1"/>
  <c r="O53" i="1"/>
  <c r="AD39" i="1"/>
  <c r="I39" i="1"/>
  <c r="K39" i="1" s="1"/>
  <c r="AE39" i="1" l="1"/>
  <c r="T53" i="1"/>
  <c r="AD33" i="1"/>
  <c r="AE33" i="1" s="1"/>
  <c r="K29" i="1"/>
  <c r="AD29" i="1"/>
  <c r="P53" i="1"/>
  <c r="G16" i="1"/>
  <c r="R53" i="1" l="1"/>
  <c r="AE29" i="1"/>
  <c r="N53" i="1"/>
  <c r="H16" i="1"/>
  <c r="I16" i="1" l="1"/>
  <c r="K16" i="1" s="1"/>
  <c r="U16" i="1"/>
  <c r="O29" i="5"/>
  <c r="O17" i="5"/>
  <c r="U53" i="1" l="1"/>
  <c r="AD16" i="1"/>
  <c r="AE16" i="1" s="1"/>
  <c r="M29" i="5"/>
  <c r="M33" i="5" s="1"/>
  <c r="K29" i="5"/>
  <c r="K33" i="5" s="1"/>
  <c r="I53" i="1" l="1"/>
  <c r="L40" i="14"/>
  <c r="A38" i="14"/>
  <c r="A39" i="14" s="1"/>
  <c r="A40" i="14" s="1"/>
  <c r="J42" i="14"/>
  <c r="F40" i="14"/>
  <c r="L39" i="14"/>
  <c r="F39" i="14"/>
  <c r="L38" i="14"/>
  <c r="F38" i="14"/>
  <c r="L37" i="14"/>
  <c r="F37" i="14"/>
  <c r="L42" i="14" l="1"/>
  <c r="F42" i="14"/>
  <c r="H48" i="14" s="1"/>
  <c r="W53" i="1" l="1"/>
  <c r="M18" i="14"/>
  <c r="M19" i="14"/>
  <c r="M20" i="14"/>
  <c r="M22" i="14"/>
  <c r="J13" i="14"/>
  <c r="J14" i="14"/>
  <c r="G13" i="14"/>
  <c r="G12" i="14"/>
  <c r="G23" i="14" l="1"/>
  <c r="AD53" i="1"/>
  <c r="J48" i="14"/>
  <c r="L48" i="14" s="1"/>
  <c r="I16" i="5"/>
  <c r="I17" i="5" l="1"/>
  <c r="K53" i="1" l="1"/>
  <c r="M30" i="5"/>
  <c r="K17" i="5"/>
  <c r="M17" i="5" l="1"/>
  <c r="AE53" i="1" l="1"/>
  <c r="M54" i="1" l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</calcChain>
</file>

<file path=xl/comments1.xml><?xml version="1.0" encoding="utf-8"?>
<comments xmlns="http://schemas.openxmlformats.org/spreadsheetml/2006/main">
  <authors>
    <author>170 VCR6</author>
  </authors>
  <commentList>
    <comment ref="F182" authorId="0">
      <text>
        <r>
          <rPr>
            <b/>
            <sz val="9"/>
            <color indexed="81"/>
            <rFont val="Tahoma"/>
            <family val="2"/>
          </rPr>
          <t>170 VCR6: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<sst xmlns="http://schemas.openxmlformats.org/spreadsheetml/2006/main" count="4110" uniqueCount="1187">
  <si>
    <t>VOTO DE CONFIANZA AZIMUT</t>
  </si>
  <si>
    <t>SI</t>
  </si>
  <si>
    <t>NO : X</t>
  </si>
  <si>
    <t>SI : X</t>
  </si>
  <si>
    <t xml:space="preserve">NO : </t>
  </si>
  <si>
    <t>PARTIDA</t>
  </si>
  <si>
    <t>DESCRIPCION</t>
  </si>
  <si>
    <t>UNIDAD</t>
  </si>
  <si>
    <t>CANTIDAD</t>
  </si>
  <si>
    <t>P.U</t>
  </si>
  <si>
    <t>TOTAL</t>
  </si>
  <si>
    <t>M2</t>
  </si>
  <si>
    <t>ML</t>
  </si>
  <si>
    <t>CONDICIONES DEL CONTRATISTA</t>
  </si>
  <si>
    <t>SOLO MATERIAL</t>
  </si>
  <si>
    <t>ROLLO</t>
  </si>
  <si>
    <t>CUÑETE</t>
  </si>
  <si>
    <t>MATERIALES</t>
  </si>
  <si>
    <t xml:space="preserve"> </t>
  </si>
  <si>
    <t>UND</t>
  </si>
  <si>
    <t>PZA</t>
  </si>
  <si>
    <t>SOLO MANO DE OBRA Y EQUIPOS</t>
  </si>
  <si>
    <t xml:space="preserve">SI : </t>
  </si>
  <si>
    <t>M3</t>
  </si>
  <si>
    <t>CONDICIONES DEL CONTRATISTA 30% ANTICIPO,RESTO EN VALUACIONES TIEMPO DE EJECUCION 45 DIAS HABILES</t>
  </si>
  <si>
    <t xml:space="preserve">SUMINISTRO DE CONCRETO 250 RC = KG/CM2 CON FIBRA </t>
  </si>
  <si>
    <t>CENTRO COMERCIAL LAS PALMERAS</t>
  </si>
  <si>
    <t xml:space="preserve">TOTAL </t>
  </si>
  <si>
    <t>PRECIO TOTAL</t>
  </si>
  <si>
    <t>OBSERVACIONES</t>
  </si>
  <si>
    <t xml:space="preserve">IMPERMEABILIZACION </t>
  </si>
  <si>
    <t>IVA</t>
  </si>
  <si>
    <t>INSERMA CONSTRUCCIONES</t>
  </si>
  <si>
    <t>HIDRONEUMATICO + BOMBA INCENDIO</t>
  </si>
  <si>
    <t>P.U.</t>
  </si>
  <si>
    <t>GRUPO JIMENEZ</t>
  </si>
  <si>
    <t>ANTICIPO</t>
  </si>
  <si>
    <t>VALUACION</t>
  </si>
  <si>
    <t>O/C</t>
  </si>
  <si>
    <t>X</t>
  </si>
  <si>
    <t>ml</t>
  </si>
  <si>
    <t>GALON</t>
  </si>
  <si>
    <t xml:space="preserve"> REVESTIMIENTO  EN ANTEPECHOS Y PAREDES COLOR AMARILLO</t>
  </si>
  <si>
    <t xml:space="preserve"> REVESTIMIENTO  EN PAREDES  ACABADO GRAFIADO COLOR VERDE</t>
  </si>
  <si>
    <t xml:space="preserve"> REVESTIMIENTO  EN PAREDES  Y COLUMNAS ACABADO GRAFIADO COLOR BEIGE</t>
  </si>
  <si>
    <t xml:space="preserve"> REVESTIMIENTO  EN COLUMNAS ACABADO GRAFIADO COLOR MARFIL</t>
  </si>
  <si>
    <t xml:space="preserve"> REVESTIMIENTO  EN PAREDES  ACABADO TEXTURIZADO COLOR CREMA O SIMILAR . (MURO PERIMETRAL)</t>
  </si>
  <si>
    <t>CAUCHO INTERIOR    COLOR BLANCO.</t>
  </si>
  <si>
    <t>PINTURA DE ESMALTE COLOR NEGRO</t>
  </si>
  <si>
    <t>PINTURA EPOXICA</t>
  </si>
  <si>
    <t>m2</t>
  </si>
  <si>
    <t xml:space="preserve">CANTIDAD </t>
  </si>
  <si>
    <t>PINTURA EPOXICA GRIS</t>
  </si>
  <si>
    <t xml:space="preserve">SUMINISTRO PINTURA TRAFIC-LINE COLOR BLANCO </t>
  </si>
  <si>
    <t>PEGO</t>
  </si>
  <si>
    <t>SACOS</t>
  </si>
  <si>
    <t xml:space="preserve">SOLO MATERIAL GRAFIADO </t>
  </si>
  <si>
    <t>COMERCIALIZADORA LUMAG, C.A</t>
  </si>
  <si>
    <t>SR. SAUL PINTO</t>
  </si>
  <si>
    <t>SRA YURIS BARRETO</t>
  </si>
  <si>
    <t>PREPARACION DE GRAFIADO</t>
  </si>
  <si>
    <t>ACRUT JORGE VILLALABOS</t>
  </si>
  <si>
    <t>NO :</t>
  </si>
  <si>
    <t xml:space="preserve">MANO DE OBRA PARA APLICACIÓN  DE GRAFIADO </t>
  </si>
  <si>
    <t xml:space="preserve">TOTAL DE GRAFIADO + MANO DE OBRA </t>
  </si>
  <si>
    <t xml:space="preserve">NO  </t>
  </si>
  <si>
    <t>+</t>
  </si>
  <si>
    <r>
      <rPr>
        <sz val="8"/>
        <color theme="1"/>
        <rFont val="Arial"/>
        <family val="2"/>
      </rPr>
      <t>.</t>
    </r>
    <r>
      <rPr>
        <b/>
        <sz val="16"/>
        <color theme="1"/>
        <rFont val="Arial"/>
        <family val="2"/>
      </rPr>
      <t xml:space="preserve">= </t>
    </r>
  </si>
  <si>
    <t>S/G</t>
  </si>
  <si>
    <t>LUIS OREJA (SERVICIOS TECNICOS INDUSTRIALES)</t>
  </si>
  <si>
    <t xml:space="preserve">              SI : X</t>
  </si>
  <si>
    <t xml:space="preserve">              SI :</t>
  </si>
  <si>
    <t>PORTICO DE ESCALERA C.C PALMERAS</t>
  </si>
  <si>
    <t>MABLOENCA</t>
  </si>
  <si>
    <t>FERRETERIA PRINCIPAL</t>
  </si>
  <si>
    <t>FERRETERIA SAN NICOLAS</t>
  </si>
  <si>
    <t>COLOCACION DE CONCRETO</t>
  </si>
  <si>
    <t>Conformacion Relleno,  Compactacion, Encofrado Vaciado , Curado y acabado en boca de cepillo ratoneado de Concreto 250-N5" con fibra</t>
  </si>
  <si>
    <t>OSMAR RUIZ (TLF:0426-9989999)</t>
  </si>
  <si>
    <t>CONDICIONES DEL CONTRATISTA 30% ANTICIPO,RESTO EN VALUACIONES TIEMPO DE EJECUCION 20 DIAS HABILES</t>
  </si>
  <si>
    <t>Programacion de vaciado :40m3/dia de lunes a jueves y 20 m3/dia viernes</t>
  </si>
  <si>
    <t>SOMIX</t>
  </si>
  <si>
    <t>IVA INCLUIDO</t>
  </si>
  <si>
    <t>CONCRETO Y PAVIMENTOS</t>
  </si>
  <si>
    <t>O/S</t>
  </si>
  <si>
    <t>P.B</t>
  </si>
  <si>
    <t>INVERSIONES 2015 A,C.A (PEDRO CONTRERAS TLF= 0414-8947263)</t>
  </si>
  <si>
    <t xml:space="preserve">CONDICIONES DEL CONTRATISTA  ANTICIPO, TIEMPO DE EJECUCION 6 SEMANAS  HABILES, COLOR AVELLANA Y BEIGE </t>
  </si>
  <si>
    <t>MARVIN ACEVEDO</t>
  </si>
  <si>
    <t>MATERIAL =</t>
  </si>
  <si>
    <t xml:space="preserve"> +</t>
  </si>
  <si>
    <t>PORCELANATO</t>
  </si>
  <si>
    <t xml:space="preserve"> REVESTIMIENTO  EN PAREDES  ACABADO GRAFIADO COLOR GRIS MEDIO O DURAZNO</t>
  </si>
  <si>
    <t>BARANDAS Y PASAMANOS</t>
  </si>
  <si>
    <t>Condiciones de pago : 50 % Anticipo, 50% contra entrega. Un mes de trabajo</t>
  </si>
  <si>
    <t>BARANDAS Y PASAMANOS "PALMERAS"</t>
  </si>
  <si>
    <t xml:space="preserve">SUMINISTRO DE MATERIAL , PINTURA DE FONDO Y MONTAJE DE ESTRUCTURA METALICA , INCLUYE TUBO ESTRUCTURAL 220X220X9 MM, TUBO 220X90X4,5 Y 260X90X5,5 , ANGULO 75X75X7, LAMINAS A -36 ESP.12MM, LAMINA LOSA ACERO CAL 22, PERNOS EXPANSIVOS DIAM 5/8X43/4" </t>
  </si>
  <si>
    <t>condiciones de pago : 50 % anticipo y 50 % contra entrega</t>
  </si>
  <si>
    <t>Demolicion de mortero,encofrado metalico,vaciado con mortero para la construccion de gotero</t>
  </si>
  <si>
    <t>Revestimiento de gotero, con cemento blanco</t>
  </si>
  <si>
    <t>CONDICIONES DEL CONTRATISTA 30% ANTICIPO,RESTO EN VALUACIONES TIEMPO DE EJECUCION 15 DIAS HABILES</t>
  </si>
  <si>
    <t>REMATES DE MAMPOSTERIA</t>
  </si>
  <si>
    <t>HECTOR QUIROZ</t>
  </si>
  <si>
    <t xml:space="preserve">Transformador Trifasico tipo Pad Mounted de 500 kva </t>
  </si>
  <si>
    <t>pza</t>
  </si>
  <si>
    <t>SOLO SUMINISTRO DE MATERIAL</t>
  </si>
  <si>
    <t>INGENIERIA Y SERVICIOS FELICIA BURGOS,C.A</t>
  </si>
  <si>
    <t>(PROYECTOS E INVERSIONES CARONI 286,C.A) ISIDRO MALDONADO</t>
  </si>
  <si>
    <t>CONDICIONES DEL CONTRATISTA PAGO A CONTADO TIEMPO DE ENTREGA DE 3 A CINCO DIAS HABILES OFERTA 48 HORAS</t>
  </si>
  <si>
    <t>Adaptador de cruceta a poste de acero galvanizado..</t>
  </si>
  <si>
    <t>Tornillo de maquina  3/8 " x 1 1/2"</t>
  </si>
  <si>
    <t xml:space="preserve">Abrazadera de 4T de 4" a 4 1/2" </t>
  </si>
  <si>
    <t>Grapa en paralelo 2/0-2/0 AWG AMDT 2T</t>
  </si>
  <si>
    <t xml:space="preserve">Mordazas </t>
  </si>
  <si>
    <t xml:space="preserve">Abrazadera de 3T de 4" a 4 1/2" </t>
  </si>
  <si>
    <t>Cabezote de acero galvanizado de 4"</t>
  </si>
  <si>
    <t>Anillo conduit 4"</t>
  </si>
  <si>
    <t>Aislador de espiga de 15 kv 55-5</t>
  </si>
  <si>
    <t xml:space="preserve">Barra copperweld  5/8" x 2,40 mts </t>
  </si>
  <si>
    <t xml:space="preserve">Borne P/Barra Copperweld </t>
  </si>
  <si>
    <t>PROMELCA</t>
  </si>
  <si>
    <t xml:space="preserve">POSTES Y HERRAJE  C.C LAS PALMERAS PLAZA </t>
  </si>
  <si>
    <t>POSTE DE 37"</t>
  </si>
  <si>
    <t>s1</t>
  </si>
  <si>
    <t>s2</t>
  </si>
  <si>
    <t>s3</t>
  </si>
  <si>
    <t>s4</t>
  </si>
  <si>
    <t>s5</t>
  </si>
  <si>
    <t>s6</t>
  </si>
  <si>
    <t>12 personas</t>
  </si>
  <si>
    <t>CASTILLO</t>
  </si>
  <si>
    <t>P.U/M2</t>
  </si>
  <si>
    <t>FERRELCA, C.A</t>
  </si>
  <si>
    <t>AZIMUT</t>
  </si>
  <si>
    <t>SOLO MATERIALES</t>
  </si>
  <si>
    <t>POSTE Y HERRAJES</t>
  </si>
  <si>
    <t>CABLE THW #12 AWG, 600V COLOR BLANCO</t>
  </si>
  <si>
    <t>CABLE THW #12 AWG, 600V COLOR ROJO</t>
  </si>
  <si>
    <t>CABLE THW #12 AWG, 600V COLOR VERDE</t>
  </si>
  <si>
    <t>CABLE THW #10 AWG, 600V COLOR VERDE</t>
  </si>
  <si>
    <t>CABLE THW #10 AWG, 600V COLOR NEGRO</t>
  </si>
  <si>
    <t>CABLE THW #10 AWG, 600V COLOR AZUL</t>
  </si>
  <si>
    <t>CABLE THW #10 AWG, 600V COLOR ROJO</t>
  </si>
  <si>
    <t>CABLE THW #10 AWG, 600V COLOR BLANCO</t>
  </si>
  <si>
    <t>CABLE THW #8 AWG, 600V COLOR NEGRO</t>
  </si>
  <si>
    <t>CABLE THW #8 AWG, 600V COLOR AZUL</t>
  </si>
  <si>
    <t>CABLE THW #8  AWG, 600V COLOR ROJO</t>
  </si>
  <si>
    <t xml:space="preserve"> CABLE THW #8 AWG, 600V COLOR BLANCO</t>
  </si>
  <si>
    <t xml:space="preserve"> CABLE THW #6 AWG, 600V COLOR  NEGRO</t>
  </si>
  <si>
    <t xml:space="preserve">CABLE 250 MCM </t>
  </si>
  <si>
    <t xml:space="preserve">CABLE 500 MCM </t>
  </si>
  <si>
    <t>CONDUCTOR SOLIDO DE COBRE #4</t>
  </si>
  <si>
    <t>CABLE 2/0 ARVIDAL DESNUDO DE ALUMINIO TRENZADO</t>
  </si>
  <si>
    <t>CABLE # 14 BLANCO</t>
  </si>
  <si>
    <t xml:space="preserve">CABLES C.C LAS PALMERAS PLAZA </t>
  </si>
  <si>
    <t>PROPUESTA # 1</t>
  </si>
  <si>
    <t>FONDO ANTIALCALINO</t>
  </si>
  <si>
    <t>TOTAL PROPUESTA # 1</t>
  </si>
  <si>
    <t xml:space="preserve">CONDICIONES DE PAGO: CONTADO Y/O 50% ANTICIPO,RESTO CONTRA ENTREGA TIEMPO DE ENTREGA  10 DIAS HABILES. </t>
  </si>
  <si>
    <t>SUMINISTROS ROKA C.A 21-08-15 VENCE 7DIAS</t>
  </si>
  <si>
    <t>CONDICIONES DE PAGO: CONTADO Y/O 50% ANTICIPO,RESTO CONTRA ENTREGA TIEMPO DE ENTREGA  8 DIAS HABILES</t>
  </si>
  <si>
    <t>HIERRO</t>
  </si>
  <si>
    <t>FECHA 05/08/2015</t>
  </si>
  <si>
    <t>VALUACION (1)</t>
  </si>
  <si>
    <t>VALUACION (2)</t>
  </si>
  <si>
    <t>VALUACION (3)</t>
  </si>
  <si>
    <t>VALUACION (4)</t>
  </si>
  <si>
    <t>VALUACION (5)</t>
  </si>
  <si>
    <t>VALUACION (6)</t>
  </si>
  <si>
    <t>VALUACION (7)</t>
  </si>
  <si>
    <t>OBRA</t>
  </si>
  <si>
    <t>CONTRATISTA</t>
  </si>
  <si>
    <t>CONCEPTO DE PAGO</t>
  </si>
  <si>
    <t xml:space="preserve">MONTO DEL CONTRATO </t>
  </si>
  <si>
    <t xml:space="preserve">MONTO SIN IVA </t>
  </si>
  <si>
    <t>% DE PAGO</t>
  </si>
  <si>
    <t>PAGO A LA FECHA</t>
  </si>
  <si>
    <t>POR PAGAR SIN IVA</t>
  </si>
  <si>
    <t>POR PAGAR CON IVA</t>
  </si>
  <si>
    <t>LAS PALMERAS</t>
  </si>
  <si>
    <t>CONCIEL 2012</t>
  </si>
  <si>
    <t xml:space="preserve">NIVELACION Y PERFILACION DE TERRAZAS </t>
  </si>
  <si>
    <t xml:space="preserve"> 50% MONTO SIN IVA</t>
  </si>
  <si>
    <t>IMPERMABILIZADORA VENEZUELA</t>
  </si>
  <si>
    <t>IMPERMEABILIZACION DE TECHO</t>
  </si>
  <si>
    <t xml:space="preserve">TECNI VIALCA </t>
  </si>
  <si>
    <t>CERRAMIENTO EN VIDRIOS</t>
  </si>
  <si>
    <t>(6)  PAGOS DE BSF 100.00,00 NOMINA SEMANAL</t>
  </si>
  <si>
    <t>TECNI VIALCA</t>
  </si>
  <si>
    <t>CERRAMIENTO EN VIDRIOS (INSTALACION DE PERFIL)</t>
  </si>
  <si>
    <t>70% MONTO SIN IVA</t>
  </si>
  <si>
    <t>COOPERATIVA VILAS</t>
  </si>
  <si>
    <t>SUMINISTRO,INSTALACION DE SISTEMA DE EXTINCION Y DETECCION DE INCENDIO</t>
  </si>
  <si>
    <t>INSTALACION DE TECHO PVC</t>
  </si>
  <si>
    <t>HIDROGUAYANA</t>
  </si>
  <si>
    <t>SUMUNISTRO, TRANSPORTE ,INSTALACION Y  PRUEBA SISTEMA HIDRONEUMATICO Y BOMBA</t>
  </si>
  <si>
    <t xml:space="preserve">MARVIN ACEVEDO </t>
  </si>
  <si>
    <t xml:space="preserve">SOBREPISO </t>
  </si>
  <si>
    <t>MONTO CANCELADO A LA FECHA</t>
  </si>
  <si>
    <t>PLAFONES DE PVC:  COLOCACION</t>
  </si>
  <si>
    <t>CONTRATO</t>
  </si>
  <si>
    <t>MONTO X EJECUTAR</t>
  </si>
  <si>
    <t>MANO DE OBRA DE PORCELANATO</t>
  </si>
  <si>
    <t>FERR PRINCIPAL</t>
  </si>
  <si>
    <t>EL PRIMO VIA CARACAS</t>
  </si>
  <si>
    <t>HIERRO TECHO</t>
  </si>
  <si>
    <t>CINDUSUR</t>
  </si>
  <si>
    <t>MAT 21</t>
  </si>
  <si>
    <t>HIERROS SF</t>
  </si>
  <si>
    <t>HIERROS PIAR</t>
  </si>
  <si>
    <t>HIERROS GUAYANA</t>
  </si>
  <si>
    <t>MAT CARONI</t>
  </si>
  <si>
    <t>HIERROS PTO ORDAZ</t>
  </si>
  <si>
    <t>FERRO MAT PTO ORDAZ</t>
  </si>
  <si>
    <t>MAT EDEN</t>
  </si>
  <si>
    <t>HIERROS MAN</t>
  </si>
  <si>
    <t>MAT GRAN SABANA</t>
  </si>
  <si>
    <t>TUBO ESTRUCTURAL 100x100 x 3mm</t>
  </si>
  <si>
    <t>TUBO ESTRUCTURAL 220x220 x 7mm</t>
  </si>
  <si>
    <t>TUBO ESTRUCTURAL 200x200 x 5,5mm</t>
  </si>
  <si>
    <t>TUBO ESTRUCTURAL 260x90 x 5,5mm</t>
  </si>
  <si>
    <t>TUBO ESTRUCTURAL 220x90 x 4,5mm</t>
  </si>
  <si>
    <t>ANGULO 75X75X7</t>
  </si>
  <si>
    <t>ANGULO 25X25X3</t>
  </si>
  <si>
    <t>ANGULO 35X35X4</t>
  </si>
  <si>
    <t>LAMINA LOSACERO CAL 20 X 4,5MT</t>
  </si>
  <si>
    <t>LAMINA HN ESPESOR 12mm</t>
  </si>
  <si>
    <t>PERNO HILTI KB3 Ø5/8 X 5</t>
  </si>
  <si>
    <t>TUBO REDONDO  2"</t>
  </si>
  <si>
    <t>TUBO REDONDO 1/2"</t>
  </si>
  <si>
    <t>TUBO RECTANGULAR 2"X1"X2</t>
  </si>
  <si>
    <t>TUBO RECTANGULAR 2"X1"X1,1</t>
  </si>
  <si>
    <t>TUBO RECTANGULAR 3"X1"X1,1</t>
  </si>
  <si>
    <t>BARRA 5/8"</t>
  </si>
  <si>
    <t>PL 2"x1/8"</t>
  </si>
  <si>
    <t>ELECTRODO 7018 1/8</t>
  </si>
  <si>
    <t>ELECTRODO HERRERIA</t>
  </si>
  <si>
    <t>PORTICO DE ESCALERA</t>
  </si>
  <si>
    <t>ADICIONALES DE BARANDAS (OPCION SIN PLETINA)</t>
  </si>
  <si>
    <t>TOTAL COM PARA DE MATERIALES</t>
  </si>
  <si>
    <t>MANO DE OBRA</t>
  </si>
  <si>
    <t xml:space="preserve"> =</t>
  </si>
  <si>
    <t>TOTAL DE BARANDAS + ESCALERAS</t>
  </si>
  <si>
    <t>FALTA</t>
  </si>
  <si>
    <t>TOTAL  PORTICO DE ESCALERA</t>
  </si>
  <si>
    <t>A TODO COSTO</t>
  </si>
  <si>
    <t xml:space="preserve">SI: </t>
  </si>
  <si>
    <t>VIEXCA (P.U)</t>
  </si>
  <si>
    <t>EDGAR RAMIREZ (P.U)</t>
  </si>
  <si>
    <t>METAL GLASS GUAYANA,C.A</t>
  </si>
  <si>
    <t>EXPO-GLASS</t>
  </si>
  <si>
    <t xml:space="preserve">ALVI, C.A </t>
  </si>
  <si>
    <t xml:space="preserve">DESCRIPCION </t>
  </si>
  <si>
    <t>OBSERV</t>
  </si>
  <si>
    <r>
      <rPr>
        <b/>
        <sz val="12"/>
        <color theme="1"/>
        <rFont val="Calibri"/>
        <family val="2"/>
        <scheme val="minor"/>
      </rPr>
      <t xml:space="preserve">FACHADA COMERCIAL: </t>
    </r>
    <r>
      <rPr>
        <sz val="12"/>
        <color theme="1"/>
        <rFont val="Calibri"/>
        <family val="2"/>
        <scheme val="minor"/>
      </rPr>
      <t xml:space="preserve">VIDRIO TEMPLADO E=8MM, COLOR CLARO , CON ESTRUCTURA ALUMINIO </t>
    </r>
  </si>
  <si>
    <t xml:space="preserve">PERFIL 3X1-1/4, COLOR NATURAL MATE, VIDRIO LAMINADO </t>
  </si>
  <si>
    <r>
      <rPr>
        <b/>
        <sz val="12"/>
        <color theme="1"/>
        <rFont val="Calibri"/>
        <family val="2"/>
        <scheme val="minor"/>
      </rPr>
      <t xml:space="preserve">CERRAMIENTO DE ESCALERA: </t>
    </r>
    <r>
      <rPr>
        <sz val="12"/>
        <color theme="1"/>
        <rFont val="Calibri"/>
        <family val="2"/>
        <scheme val="minor"/>
      </rPr>
      <t>VENTANA FIJA CON PERFILES DE ALUMINIO  COLOR BLANCO  VIDRIO 8MM  Y ELEMENTOS DE FIJACION.</t>
    </r>
  </si>
  <si>
    <r>
      <rPr>
        <b/>
        <sz val="12"/>
        <color theme="1"/>
        <rFont val="Calibri"/>
        <family val="2"/>
        <scheme val="minor"/>
      </rPr>
      <t xml:space="preserve">PUERTAS BATIENTES : </t>
    </r>
    <r>
      <rPr>
        <sz val="12"/>
        <color theme="1"/>
        <rFont val="Calibri"/>
        <family val="2"/>
        <scheme val="minor"/>
      </rPr>
      <t xml:space="preserve">E=10MM, CRISTAL TRASLUCIDO Y TIRADOR CORRIDO REDONDO DE 1 ½”. CLARO Y ALUMINIO ANONISADO , CERRAMIENTO DE ACCESO A LOCAL. INCLUYE CERRADURA EXTERNA TIPO CISA 2 VUELTAS. 2,10X 0,975 m. </t>
    </r>
  </si>
  <si>
    <t>LAMINADO DE       10 MM, DIMENSIONES ?</t>
  </si>
  <si>
    <t>laminas de 10</t>
  </si>
  <si>
    <t>VIDRIO LAMINADO</t>
  </si>
  <si>
    <t>VIDRIO TEMPLADO</t>
  </si>
  <si>
    <t>MUESTRA DE BARANDAS INCLUYE  SUMINISTRO, FABRICACION Y MONTAJE DE BARANDAS  H= 1,10 MTS  , INCLUYE TUBO ESTRUCTURAL  100X100X4,5, PLETINA TROQUELADA H.G 2"X1/8", TUBO REDONDO DIAM 1/2"X2MM, TUBO REDONDO DIAM 2"X2MM  BARRA LISA DIAM 1/2, LAMINA DE HN 5MM, PERNOS EXPANSIVOS DIM 3/8" X 3", FONDO ANTICORROSIVO, PINTURA ALUMINIO</t>
  </si>
  <si>
    <t>LUIS OREA (A.C. SERVITEIN,R.L) TLF : 0286-5149636</t>
  </si>
  <si>
    <t>RIF : J-29858981-7</t>
  </si>
  <si>
    <t>DIRECCION : URB.VISTA AL LAG- UD300 SECTOR KARONICA,   PUERTO ORDAZ -EDO BOLIVAR</t>
  </si>
  <si>
    <t>ILUMINACION EXTERIOR</t>
  </si>
  <si>
    <t>CUARTO DE MEDICION</t>
  </si>
  <si>
    <t>ELECTRISAN,C.A</t>
  </si>
  <si>
    <t>Palillo para aislador de 15 kv</t>
  </si>
  <si>
    <t>SUMINISTROS DE VOZ Y DATA</t>
  </si>
  <si>
    <t xml:space="preserve">MyG Tecnología y Soluciones C.A </t>
  </si>
  <si>
    <t>CABLE TDI  (2) DOS PÁRES</t>
  </si>
  <si>
    <t>CABLE UTP BLENDE CAT 6 DE 4 PARES CCTV</t>
  </si>
  <si>
    <t>CABLE TDI 50 PARES</t>
  </si>
  <si>
    <t>RACK PARA SISTEMA DE DATA</t>
  </si>
  <si>
    <t>TABLERO PRINCIPAL DE DISTRIBUCION TLF CON CAPACIDAD PARA 100 LINEAS</t>
  </si>
  <si>
    <t>REGLETA 50 PARES P/FXB CAT6 30MT</t>
  </si>
  <si>
    <t>CAMARA PARA CCTV</t>
  </si>
  <si>
    <t>REGLETA DE 50 PARES P/FXB 110</t>
  </si>
  <si>
    <t>COMUNICACIONES</t>
  </si>
  <si>
    <t>Bushin insert</t>
  </si>
  <si>
    <t>ELECTRIMATIC,C.A</t>
  </si>
  <si>
    <t>Tornillo de Carruaje</t>
  </si>
  <si>
    <t xml:space="preserve">Aislador polimerico de suspensión 15 kv </t>
  </si>
  <si>
    <t xml:space="preserve">Kit de 3 copas terminales tipo exterior de 15 kv </t>
  </si>
  <si>
    <t>JUEGO</t>
  </si>
  <si>
    <t>Codo Rompe carga</t>
  </si>
  <si>
    <t>Tubo Conduit  de acero rígido  o EMT de 3 mts de 4"</t>
  </si>
  <si>
    <t xml:space="preserve">Cortacorriente   de 15KV, 100 amp  uso exterior </t>
  </si>
  <si>
    <t>Fusible  de 25 amp para  cortacorriente.</t>
  </si>
  <si>
    <t>Adaptador a tierra</t>
  </si>
  <si>
    <t>Conductor de cobre #4</t>
  </si>
  <si>
    <t>Grillete  #2</t>
  </si>
  <si>
    <t>Mordazas # 2</t>
  </si>
  <si>
    <t>Perno Roscado de 12"</t>
  </si>
  <si>
    <t>Conector a  compresión cb- 2</t>
  </si>
  <si>
    <t>Curva conduit de 4"</t>
  </si>
  <si>
    <t>KG</t>
  </si>
  <si>
    <t>Conector ks</t>
  </si>
  <si>
    <t>IXORA</t>
  </si>
  <si>
    <t>PALMA REAL</t>
  </si>
  <si>
    <t>GOTAS DE ORO</t>
  </si>
  <si>
    <t>GRAMA LENGUA DE VACA</t>
  </si>
  <si>
    <t>UNID</t>
  </si>
  <si>
    <t>M</t>
  </si>
  <si>
    <t>S.G</t>
  </si>
  <si>
    <t>PAISAJISMO</t>
  </si>
  <si>
    <t>O/C+O/S</t>
  </si>
  <si>
    <t>SUMINISTRO E INSTALACION DE TABIQUERIA CON MATERIAL SINTETICO Y SOPORTES DE ALUMINIO PARA BAÑOS</t>
  </si>
  <si>
    <t>VALIDEZ DE LA OFERTA 7 DIAS</t>
  </si>
  <si>
    <t xml:space="preserve">KARUACHI,R.L </t>
  </si>
  <si>
    <t xml:space="preserve">TABIQUERIA   C.C LAS PALMERAS PLAZA </t>
  </si>
  <si>
    <t>PUERTA DE MADERA ENTAMBORADA TIPO BATIENTE DE 0,70X2,10.INCLUYE MARCO METALICO, CERRADURA Y BISAGRA.</t>
  </si>
  <si>
    <t>TABIQUERIA DE BAÑOS</t>
  </si>
  <si>
    <t>PUERTAS DE MADERA Y METALICA</t>
  </si>
  <si>
    <t>CABLE DE 15 KVA, CALIBRE #2 XLPE,NEUTRO A TIERRA</t>
  </si>
  <si>
    <t>LE-26 2X26W</t>
  </si>
  <si>
    <t>LF-33</t>
  </si>
  <si>
    <t>LUX10 NEGRO</t>
  </si>
  <si>
    <t>MANO DE OBRA DE COMUNICACIONES</t>
  </si>
  <si>
    <t>POR CANCELAR</t>
  </si>
  <si>
    <t>BALDOSA DE CERAMICA  COLOR BLANCO 30 CM *30 CM, ACABADO NATURAL.</t>
  </si>
  <si>
    <t>CONDICIONES DEL CONTRATISTA PAGO A CONTADO TIEMPO DE ENTREGA INMEDIATA . GARANTIAS: EL TRANSFORMADOR SALE CON SU PROTOCOLO DE INSPECCION Y GARANTIA DE 6 MESES TIENEN DOS PAD MAUTED</t>
  </si>
  <si>
    <t>URINARIOS CON SIFON INTEGRADO, INCLUYE SISTEMA DE DESCARGA DE AGUA  DEL TIPO PUSH BOTTON.</t>
  </si>
  <si>
    <t>SECADORES DE MANO</t>
  </si>
  <si>
    <t>DISPENSADOR DE TOALLAS DE PAPEL</t>
  </si>
  <si>
    <t xml:space="preserve"> WC DE ASIENTO Y TANQUEINCORPORADO INCLUYE LLAVE DE ARRESTO Y CANILLA METALICA.</t>
  </si>
  <si>
    <t>DISPENSADOR DE JABON</t>
  </si>
  <si>
    <t>LAVAMANOS PARA EMPOTRAR DE UNA LLAVE COLOR BLANCO, INCLUYE LLAVE DE ARRESTO, SIFON, CANILLA METALICA, GRIFO, Y GOMA REDUCTORA.</t>
  </si>
  <si>
    <t>TUBERIA AGUAS CLARAS/BLANCAS, DE PVC TIPO PAVCO O SIMILAR, DIAMETRO 3/4" (19 MM)  PARA AGUA FRIA , JUNTA SOLDADA. INCLUYE CONEXIONES.</t>
  </si>
  <si>
    <t>REJILLA PARA CENTRO DE PISO DE HIERRO FUNDIDO PARA DESCARGA DE AGUAS DE LLUVIAS D=4</t>
  </si>
  <si>
    <t>MUNDO CERAMICO PRINCIPAL</t>
  </si>
  <si>
    <t xml:space="preserve">FLUXOMETRO P / URINARIO </t>
  </si>
  <si>
    <t xml:space="preserve">PIEZAS SANITARIAS  C.C LAS PALMERAS PLAZA </t>
  </si>
  <si>
    <t>LLAVE DE ARRESTO 1/2X1/2</t>
  </si>
  <si>
    <t>SIFON PARA LAVAMANOS PLASTICO 1-1/4"</t>
  </si>
  <si>
    <t>MANGUERA BOUMAC 1/2X1/2X40CM</t>
  </si>
  <si>
    <t xml:space="preserve">LLAVE LAVAMANOS </t>
  </si>
  <si>
    <t>FABRICACION DE AVISOS CORPOREOS  .</t>
  </si>
  <si>
    <t>AVISOS CORPOREOS</t>
  </si>
  <si>
    <t>M.O AVISOS CORPOREOS</t>
  </si>
  <si>
    <t>CONDICIONES DEL CONTRATISTA PAGO A CONTADO TIEMPO DE ENTREGA DE 90 DIAS HABILES  OFERTA 2 DIAS , GARANTIA : 1 AÑO</t>
  </si>
  <si>
    <t>DELCO (DESARROLLO ELECTRICOS Y CONSTRUCCIONES)</t>
  </si>
  <si>
    <t>CONDICIONES DEL CONTRATISTA PAGO A CONTADO TIEMPO DE ENTREGA DE 150 DIAS 70% DE ABONO Y EL RESTO PREVIA ENTREGA MARCA:CADETRA , GARANTIA : 24MESES</t>
  </si>
  <si>
    <t>INSTALACION DE POSTE TUBULAR DE 37"</t>
  </si>
  <si>
    <t>INST. DE 3 CORTACORRIENTES Y  3 PARARRAYOS</t>
  </si>
  <si>
    <t>SG</t>
  </si>
  <si>
    <t xml:space="preserve">CRUCETAS H/G DE 1,80 </t>
  </si>
  <si>
    <t>CONDUCTOR ARVIDAL #2</t>
  </si>
  <si>
    <t>CABLE AISLADO 15 KV #2</t>
  </si>
  <si>
    <t>INST. DE 3 COPAS TERMINALES TIPO EXTERIOR</t>
  </si>
  <si>
    <t>ATERRAMIENTO DE TRES PARARRAYOS</t>
  </si>
  <si>
    <t>ATERRAMIENTO DE TRES COPAS TERMINALES</t>
  </si>
  <si>
    <t>TRES CODO TERMINAL</t>
  </si>
  <si>
    <t>TRES CADENAS DE AISLADOR</t>
  </si>
  <si>
    <t>BAJANTE DE BAJA Y ALTA TENSION</t>
  </si>
  <si>
    <t>PINTURA POSTE DE 37"</t>
  </si>
  <si>
    <t>JORGE VERA</t>
  </si>
  <si>
    <t xml:space="preserve">HIERRO TECHOS </t>
  </si>
  <si>
    <t>METAL CARONI</t>
  </si>
  <si>
    <t>Groutex epotex mv (Parte A y B), Puente adherente para concreto nuevo</t>
  </si>
  <si>
    <t>GROUTEX</t>
  </si>
  <si>
    <t>PLETINA DE 75MMX6 MMX6MTS</t>
  </si>
  <si>
    <t>TUBOS DE 4"X1-1/2"X6 MTS</t>
  </si>
  <si>
    <t>ENCOFRADO PARA LOSA  CON CUCHILLA</t>
  </si>
  <si>
    <t>HIERRO MAN</t>
  </si>
  <si>
    <t>PLETINA DE 75MMX12MMX6MTS</t>
  </si>
  <si>
    <t>RASTRILLOS</t>
  </si>
  <si>
    <t>CEPILLOS DE ALBAÑIL</t>
  </si>
  <si>
    <t>MANDARRIA DE 2 KILOS</t>
  </si>
  <si>
    <t>CEPILLOS DE ESPONJA</t>
  </si>
  <si>
    <t>RATONES</t>
  </si>
  <si>
    <t>ROLLO DE PLASTICO NEGRO</t>
  </si>
  <si>
    <t xml:space="preserve">CEPILLO ANIVELADOR </t>
  </si>
  <si>
    <t xml:space="preserve">MATERIALES </t>
  </si>
  <si>
    <t>CUCHARAS DE ALBAÑIL</t>
  </si>
  <si>
    <t>MANGUERA DE NIVEL DE 1/2"</t>
  </si>
  <si>
    <t>NYLON # 80 O #  100</t>
  </si>
  <si>
    <t xml:space="preserve">NIVEL DE GOTA O ALBAÑIL </t>
  </si>
  <si>
    <t>TUBO DE 3"X3"</t>
  </si>
  <si>
    <t>TUBOS DE 3" X 1-1/2</t>
  </si>
  <si>
    <t>S,G</t>
  </si>
  <si>
    <t>PIEDRA RIO</t>
  </si>
  <si>
    <t>SET DE HUELLAS = 0,36 M2</t>
  </si>
  <si>
    <t>PINTURA DEL TANQUE HIDRONEUMATICO</t>
  </si>
  <si>
    <t>DELCO</t>
  </si>
  <si>
    <t xml:space="preserve">OBSERVACIONES </t>
  </si>
  <si>
    <t>Cruceta  de 2,40 mts</t>
  </si>
  <si>
    <t>AVISOS AZOCAR 2008, C.A</t>
  </si>
  <si>
    <t>OMAR ENRIQUE MOGOLLON</t>
  </si>
  <si>
    <t>EXCLUSIVAS ELECTRICAS ORIENTE, C.A</t>
  </si>
  <si>
    <t xml:space="preserve">CON IVA SALE 61.732,00 BSF </t>
  </si>
  <si>
    <t xml:space="preserve">CABLES </t>
  </si>
  <si>
    <t xml:space="preserve">MALLA PUESTA A TIERRA  C.C LAS PALMERAS PLAZA </t>
  </si>
  <si>
    <t xml:space="preserve">TUSENTT SUPPY C,A </t>
  </si>
  <si>
    <t>Polvora Nº 150 Conexiones exotermicas tipo T</t>
  </si>
  <si>
    <t>Polvora Nº 150 Conexiones exotermicas tipo Barra -Cable</t>
  </si>
  <si>
    <t xml:space="preserve">Conductor de cobre desnudo  2/0  </t>
  </si>
  <si>
    <t>Opcional</t>
  </si>
  <si>
    <t>MALLA PUESTA A TIERRA</t>
  </si>
  <si>
    <t>M.O MALLA PUESTA A TIERRA</t>
  </si>
  <si>
    <t>MOLDES TIPO "X"  y "T"  ESTAN EN OLE</t>
  </si>
  <si>
    <t>Conductor de cobre desnudo   250 MCM  o  4/0</t>
  </si>
  <si>
    <t>OPCIONAL</t>
  </si>
  <si>
    <t>MOLDE TIPO T 2/0 O 4/0, EN CRUZ</t>
  </si>
  <si>
    <t>SE ENCUENTRA UBICADA EN MATURIN</t>
  </si>
  <si>
    <t>PRESUPUESTO INCLUYE GUINDOLAS O ANDAMIOS.</t>
  </si>
  <si>
    <t xml:space="preserve">GRIETAS EN PAREDES  C.C LAS PALMERAS PLAZA </t>
  </si>
  <si>
    <t xml:space="preserve">Repicado de mortero, lavado, colocacion de "u" para grapas, colocacion de epoxi y revestimiento con friso para acabado final </t>
  </si>
  <si>
    <t xml:space="preserve">Conformacion Relleno,  Compactacion, Encofrado Vaciado , Curado y acabado en boca de cepillo ratoneado de 4,5 M3 DE Concreto 250-N5" con fibra </t>
  </si>
  <si>
    <t>PRUEBA DE VACIADO DE PAVIMENTO EN C.C LAS PALMERAS PLAZA</t>
  </si>
  <si>
    <t>ENTREGADA A MARCELA</t>
  </si>
  <si>
    <t>HIERRO SAN FELIX</t>
  </si>
  <si>
    <t>CORTE (OXICORTE) PLETINA</t>
  </si>
  <si>
    <t>PLETINA DE 75MMX9 MMX6MTS</t>
  </si>
  <si>
    <t>TIENEN 10 PZA EN EXISTENCIA</t>
  </si>
  <si>
    <t>HIERRO WELL</t>
  </si>
  <si>
    <t xml:space="preserve">TUBOS DE 12 MTS </t>
  </si>
  <si>
    <t xml:space="preserve"> + IVA</t>
  </si>
  <si>
    <t xml:space="preserve">REPARACION DE TANQUILLAS  C.C LAS PALMERAS PLAZA </t>
  </si>
  <si>
    <t>REPARACION DE REJAS PARA TANQUILLAS</t>
  </si>
  <si>
    <t>LUIS OREA</t>
  </si>
  <si>
    <t xml:space="preserve">Fabricacion de cuchillas para juntas de construccion </t>
  </si>
  <si>
    <t>A.C. SERVITEN,R.L</t>
  </si>
  <si>
    <t xml:space="preserve">MANO DE OBRA </t>
  </si>
  <si>
    <t>IMPERMEABILIZADORA VENEZUELA</t>
  </si>
  <si>
    <t>CONDICIONES DE PAGO:</t>
  </si>
  <si>
    <t>ANTICIPO 50 %</t>
  </si>
  <si>
    <t>50% AL FINALIZAR</t>
  </si>
  <si>
    <t>TIEMPO DE EJECUCIÒN 21 DIAS</t>
  </si>
  <si>
    <t>C.C PALMERAS</t>
  </si>
  <si>
    <t>C.C LAS PALMAS</t>
  </si>
  <si>
    <t>ADICIONAL DE CEMENTO PLASTICO</t>
  </si>
  <si>
    <t xml:space="preserve">SUMINISTRO Y COLOCACION DE CEMENTO PLASTICO </t>
  </si>
  <si>
    <t>SUMINISTRO Y COLOCACION DE MANTO NEGRO 3,5 MM MARCA: CINDU, CON ACABADO FINAL DE PINTURA ALUMINIZADA, COLOCACION DE PRIMER, SUMINISTRO Y COLOCACION DE CEMENTO PLASTICO EN MEDIA CAÑA Y RODAPIES</t>
  </si>
  <si>
    <t>NO INCLUYE GUINDOLAS, NI ANDAMIOS</t>
  </si>
  <si>
    <t>TDI 20 o 16 pares</t>
  </si>
  <si>
    <t xml:space="preserve">MATERIAL PARA ACONDICIONAMIENTO DEL TANQUE </t>
  </si>
  <si>
    <t>PINTURA EPOXICA GRADO ALIMENTICIO MONTANA</t>
  </si>
  <si>
    <t>MARIN CARIMA TOOLS,C.A</t>
  </si>
  <si>
    <t>ALEXANDER GRAFITEX</t>
  </si>
  <si>
    <t>AMIGO DE SR CARLOS</t>
  </si>
  <si>
    <t xml:space="preserve">     </t>
  </si>
  <si>
    <t>OSMAR LEONARDO GARCIA</t>
  </si>
  <si>
    <t>PINTURA CAUCHO CLORADO</t>
  </si>
  <si>
    <t xml:space="preserve"> MANO DE OBRA PARA ACONDICIONAMIENTO DEL TANQUE </t>
  </si>
  <si>
    <t xml:space="preserve">LIMPIEZA INTERNA DEL TANQUE </t>
  </si>
  <si>
    <t>MEDIA CAÑA DEL TANQUE</t>
  </si>
  <si>
    <t>APLICACIÓN DE PRODUCTO EPOXICO</t>
  </si>
  <si>
    <t>VILAS, C.A</t>
  </si>
  <si>
    <t>ANGOSTURA EXPRESS</t>
  </si>
  <si>
    <t>SI: X</t>
  </si>
  <si>
    <t>DISGRECA</t>
  </si>
  <si>
    <t>COLOR GRIS MURANO</t>
  </si>
  <si>
    <t>PARCIAL</t>
  </si>
  <si>
    <t>ACUMULADO</t>
  </si>
  <si>
    <t>N.-</t>
  </si>
  <si>
    <t>FECHA</t>
  </si>
  <si>
    <t>DIA</t>
  </si>
  <si>
    <t>JUEVES</t>
  </si>
  <si>
    <t>MARTES</t>
  </si>
  <si>
    <t>DISTRIBUIDORA DE CERAMICAS ELEMAS,C.A</t>
  </si>
  <si>
    <t>TU CERAMICA NACIONAL,C.A TLF= (0286-9517957 ; 0424-9549824) RUBEN)</t>
  </si>
  <si>
    <t>METRO CUADRO</t>
  </si>
  <si>
    <t>ANDAMIOS</t>
  </si>
  <si>
    <t>CUERPOS</t>
  </si>
  <si>
    <t>RODILLO DE 9" PARA PARED RUSTICO ( CAMISAS Y ESQUELETOS)</t>
  </si>
  <si>
    <t xml:space="preserve">BROCHA 2 1/2" </t>
  </si>
  <si>
    <t>ESPATULA DE 3"</t>
  </si>
  <si>
    <t xml:space="preserve">MATERIALES DE GRAFIADO CC LAS PALMERAS </t>
  </si>
  <si>
    <t xml:space="preserve">TIRRO 1 " </t>
  </si>
  <si>
    <t>NYLON #80</t>
  </si>
  <si>
    <t>CONFORMACION Y NIVELACION DE TERRENO</t>
  </si>
  <si>
    <t>MOVILIZACION DE MAQUINARIA PESADA PARA MOVIMIENTO DE TIERRA, BASES, ASFALTO.</t>
  </si>
  <si>
    <t>SUMINISTRO EN BOCA DE PLANTA DE MEZCLA ASFALTICA EN CALIENTE TIPO II, SIN INCLUIR EL TRANSPORTE .</t>
  </si>
  <si>
    <t>TON</t>
  </si>
  <si>
    <t>TRANSPORTE DE MEZCLA ASFALTICA MEZCLADA EN CALIENTE, PARA LA CONSTRUCCION DE PAVIMENTOS A DISTANCIAS COMPRENDIDAS ENTRE 8 Y 10 KMS.</t>
  </si>
  <si>
    <t>COLOCACION DE ASFALTO TIPO II E= 10 CM</t>
  </si>
  <si>
    <t>RELLENO Y COMPACTACION INC CARGA Y TRANSPORTE DEL MATERIAL A UNA DISTANCIA DE 200 METROS.</t>
  </si>
  <si>
    <t>EXCAVACION PARA LA REPERFILACION DEL AREA CON EQUIPO RETROEXCAVADOR, CARGA, TRANSPORTE HASTA 200 mt DE DISTANCIA Y DESCARGA.</t>
  </si>
  <si>
    <t>RIEGO DE ADHERENCIA EMPLEANDO MATERIAL ASFALTICO TIPO II</t>
  </si>
  <si>
    <t>LUIS CABALLERO ( 0414-8643058)</t>
  </si>
  <si>
    <t xml:space="preserve">SUMINISTRO DE MEZCLA ASFALTICA TIPO II E= 10 CM </t>
  </si>
  <si>
    <t>S.C IMPRIMACION EN BASES PARA COLOCACION DE ASFALTO</t>
  </si>
  <si>
    <t>LT</t>
  </si>
  <si>
    <t>TRANSPORTE DE MECLA ASFALTICA</t>
  </si>
  <si>
    <t>SUMINISTRO DE RC-250,</t>
  </si>
  <si>
    <t xml:space="preserve"> NO INCLUYE  EL  TRANSPORTE</t>
  </si>
  <si>
    <t>ALFONZO FIGUERA</t>
  </si>
  <si>
    <t>SR FRANCOA</t>
  </si>
  <si>
    <t>TOTAL DE SUMINISTRO Y COLOCACION DE ASFALTO =</t>
  </si>
  <si>
    <t>MATERIALES HIERROS SAN FELIX, C.A</t>
  </si>
  <si>
    <t>DISCO PARA CORTE 7"</t>
  </si>
  <si>
    <t>DISCO PARA CORTE 14"</t>
  </si>
  <si>
    <t>C.C LAS PALMERAS</t>
  </si>
  <si>
    <t>C.C OLE</t>
  </si>
  <si>
    <t>RENGLON</t>
  </si>
  <si>
    <t>IVA 12%</t>
  </si>
  <si>
    <t xml:space="preserve">CENTRO COMERCIAL </t>
  </si>
  <si>
    <t>CONDICIONES DEL CONTRATISTA A CONTADO  TIEMPO DE EJECUCION 60 DIAS A PARTIR DE RECEPCION DE PAGO A CONTADO</t>
  </si>
  <si>
    <t>Tiempo de entrega una vez confirmado pago</t>
  </si>
  <si>
    <r>
      <rPr>
        <b/>
        <sz val="11"/>
        <color rgb="FF212121"/>
        <rFont val="Segoe UI"/>
        <family val="2"/>
      </rPr>
      <t>Nota</t>
    </r>
    <r>
      <rPr>
        <sz val="11"/>
        <color rgb="FF212121"/>
        <rFont val="Segoe UI"/>
        <family val="2"/>
      </rPr>
      <t xml:space="preserve"> : No se incluye el flete. El mismo debe ser gestionado por el cliente.
</t>
    </r>
  </si>
  <si>
    <t>CORPORACION LSEF ( 0414-3144990) o Yudeima lopez
Telf: 0212-7625756 actualizado</t>
  </si>
  <si>
    <r>
      <rPr>
        <b/>
        <sz val="11"/>
        <color rgb="FF212121"/>
        <rFont val="Segoe UI"/>
        <family val="2"/>
      </rPr>
      <t>Nota</t>
    </r>
    <r>
      <rPr>
        <sz val="11"/>
        <color rgb="FF212121"/>
        <rFont val="Segoe UI"/>
        <family val="2"/>
      </rPr>
      <t xml:space="preserve"> : Incluye transporte disponibilidad inmediata</t>
    </r>
  </si>
  <si>
    <t>Tienen unicamente en existencia 1300 m2 gris claro . Pero de gris oscuro cubre el gris claro</t>
  </si>
  <si>
    <t>PINTURA DE FRANJA BLANCA</t>
  </si>
  <si>
    <t>REPARACION DE MAMPOSTERIA ( JUNTA ENTRE PLANTA BAJA Y 1ER PISO)</t>
  </si>
  <si>
    <t>Demolicion en paredes y reparacion de las mismas</t>
  </si>
  <si>
    <t>s.g</t>
  </si>
  <si>
    <t>instalacion de marcos de puertas (depositos)</t>
  </si>
  <si>
    <t>s,g</t>
  </si>
  <si>
    <t>instalacion de bloques y friso de ductos de ventilacion</t>
  </si>
  <si>
    <t>Demolicion de paredes y reparacion de las mismas  para ( ventanas)</t>
  </si>
  <si>
    <t>CONDICIONES DEL CONTRATISTA ANTICIPO,RESTO EN VALUACIONES TIEMPO DE EJECUCION 15 DIAS HABILES</t>
  </si>
  <si>
    <t>MALVIN ACEVEDO</t>
  </si>
  <si>
    <t>MAYO</t>
  </si>
  <si>
    <t>º</t>
  </si>
  <si>
    <t>ARENA LAVADA</t>
  </si>
  <si>
    <t>INVERSIONES MENDELEYEV ( 0281-2652768 - 0414-8194291) actualizado JUAN MENDEZ</t>
  </si>
  <si>
    <t>JUNIO</t>
  </si>
  <si>
    <t>ALQUILER DE ANDAMIOS</t>
  </si>
  <si>
    <t>delco</t>
  </si>
  <si>
    <t xml:space="preserve">CERRAMIENTO EN VIDRIOS </t>
  </si>
  <si>
    <t>MATERIALES MOCHIMA</t>
  </si>
  <si>
    <t>NO</t>
  </si>
  <si>
    <t>SUM. E INST.CERAMICAS Y TOPE DE BAÑOS</t>
  </si>
  <si>
    <t>SUMINISTRO DE CERAMICA  COLOR BLANCO  30X30 CM</t>
  </si>
  <si>
    <t>SCS</t>
  </si>
  <si>
    <t xml:space="preserve">MANO DE OBRA TEXTURIZADO Y PINTURAS </t>
  </si>
  <si>
    <t>INSTALACIONES SANITARIAS.</t>
  </si>
  <si>
    <t xml:space="preserve"> REVESTIMIENTO CON  PINTURAS EN COLUMNAS Y PAREDES COLOR MARRON CHOCOLATE</t>
  </si>
  <si>
    <t xml:space="preserve"> REVESTIMIENTO  EN FACHADA PRINCIPAL ANTEPECHOS , FACHADA POSTERIOR  Y PAREDES COLOR MARFIL</t>
  </si>
  <si>
    <t xml:space="preserve"> REVESTIMIENTO  CON  PINTURA EN PAREDES   COLOR CREMA PERLADO</t>
  </si>
  <si>
    <t>NO INCLUYE GUINDOLAS O ANDAMIOS.</t>
  </si>
  <si>
    <t xml:space="preserve">TOTAL M2 DE PINTURA </t>
  </si>
  <si>
    <t>RINDE EL CUÑETE DOS MANOS 30 M2</t>
  </si>
  <si>
    <t>EMILIO CIELO RASO</t>
  </si>
  <si>
    <t>SR. SAUL PINTO ( 0416-8864175)</t>
  </si>
  <si>
    <t>SUMINISTRO DE PINTURAS</t>
  </si>
  <si>
    <t>AMANDA UN POCO CARO</t>
  </si>
  <si>
    <t>AMANDA PRECIO INTERMEDIO</t>
  </si>
  <si>
    <t>SEMANAS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</si>
  <si>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</si>
  <si>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</si>
  <si>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</si>
  <si>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</si>
  <si>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</si>
  <si>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</si>
  <si>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</si>
  <si>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</si>
  <si>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</si>
  <si>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</si>
  <si>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</si>
  <si>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</si>
  <si>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PAGO X M2 (PEGAR BLOQUES)</t>
  </si>
  <si>
    <t>SEMANA 13</t>
  </si>
  <si>
    <t>SEMANA 14</t>
  </si>
  <si>
    <t>SEMANA 15</t>
  </si>
  <si>
    <t>PINTURAS EN COLUMNAS Y PAREDES COLOR MARRON CHOCOLATE</t>
  </si>
  <si>
    <t>FACHADA PRINCIPAL ANTEPECHOS , FACHADA POSTERIOR  Y PAREDES COLOR MARFIL</t>
  </si>
  <si>
    <t>PINTURA EN PAREDES   COLOR CREMA PERLADO</t>
  </si>
  <si>
    <t xml:space="preserve">CUÑETES A LA SEMANA </t>
  </si>
  <si>
    <t>SEMANA 16</t>
  </si>
  <si>
    <t xml:space="preserve">DURACION EN PROMEDIO DE 16 SEMANAS </t>
  </si>
  <si>
    <t>MESES</t>
  </si>
  <si>
    <t>INVERSIONES CASTILLOS C.A</t>
  </si>
  <si>
    <t>MATERIALES REQUERIDOS</t>
  </si>
  <si>
    <t xml:space="preserve">RODILLOS RUSTICOS ESQUELETO </t>
  </si>
  <si>
    <t xml:space="preserve">FUNDAS PARA RODILLOS </t>
  </si>
  <si>
    <t xml:space="preserve">PZA </t>
  </si>
  <si>
    <t>MATERIALES ALDIA 3</t>
  </si>
  <si>
    <t>FERREMATERIALES</t>
  </si>
  <si>
    <t>HIERROS SAN FELIX</t>
  </si>
  <si>
    <t>ITEM</t>
  </si>
  <si>
    <t>ESQUELETO DE RODILLO 9"</t>
  </si>
  <si>
    <t>FUNDAS RUSTICAS</t>
  </si>
  <si>
    <t>TIRRO 3/4</t>
  </si>
  <si>
    <t>rollo</t>
  </si>
  <si>
    <t>BROCHAS DE 2"</t>
  </si>
  <si>
    <t>MATERIALES MOCHIMA RIF : J-30367459-3; TLF: 0286 - 9522141</t>
  </si>
  <si>
    <t xml:space="preserve">CENTRO COMERCIAL LAS PALMERAS PLAZA </t>
  </si>
  <si>
    <t>NOTA : MATERIAL REQUERIDO PARA INICIAR LOS TRABAJOS DE PINTURAS EN C.C LAS PALMERAS</t>
  </si>
  <si>
    <t>INCLUYE IVA</t>
  </si>
  <si>
    <t>SR. MARCOS INDRIAGO GRAFIADO</t>
  </si>
  <si>
    <t>MANO DE OBRA PARA APLICACIÓN  DE PINTURA</t>
  </si>
  <si>
    <t>SISTEMA DE EXTINCION  INCENDIO</t>
  </si>
  <si>
    <t>SUMINISTRO, TRANSPORTE DE SIAMESA, 4X2-1/2"X2-1/2" INCLUYE TODOS LOS ACCESORIOS PARA SU CORRECTA INSTALACIÓN.</t>
  </si>
  <si>
    <t>SUMINISTRO, TRANSPORTE E INSTALACIÓN DE VÁLVULA  CHECK, Ø 2" DE ACERO AL CARBONO FUNDIDA, ASTM-A-216 GRADO WBCB, ROSCADA NPT SEGÚN ESTÁNDAR</t>
  </si>
  <si>
    <t>SUM. SISTEMA DE DETECCION</t>
  </si>
  <si>
    <t>Suministro e instalación de detector de humo iónico direccionable tecnología inteligente CPX551 con caja base de montaje y fijación. Listado en ul y aprobado por fm. Compatible con panel inteligente notifire.  Incluye accesorios de unión y fijación</t>
  </si>
  <si>
    <t>Suministro e instalación de detector térmico direccionable tecnología inteligente FDX551R (58ºC fijo y 9ºC de incremento por minuto) con caja base de montaje y fijación. Listado en ul y aprobado por fm. Compatible con panel inteligente notifire. Incluye tubería arg ø 3/4" pintada de rojo fuego montaje superficial y suspendido, condulets,  perfiles unistruc, accesorios de unión y fijación.</t>
  </si>
  <si>
    <t>Suministro e instalación de estación manual  de alarma con caja base de montaje y fijación, direccionable tecnología inteligente con módulo de monitoreo para interfase con panel inteligente. Listada en ul y aprobada por fm. Compatible con panel inteligente notifire</t>
  </si>
  <si>
    <t>Suministro e instalación de difusor de sonido electrónica  y luz estroboscopica 24 vdc y RFL 4,7k ohms, con caja base de montaje  exterior. listado en ul y aprobado por fm. compatible con panel notifire</t>
  </si>
  <si>
    <t>Suministro e instalación de luminaria de emergencia, montaje superficial en pared, dos focos dirigibles 120v. Incluye , tubería rígida liquit tight ø 3/4", cable no. 10 thw, y todos los accesorios de unión y fijación apara su correcta operación</t>
  </si>
  <si>
    <t>Suministro e instalación de Señalización "Vía de Escape"; en Acrílico con los dibujos y/o letreros grabados en Relieve y con pintura luminiscente en Paredes; de 15x30cm. en sitios  indicados en los Planos.  Estos deben ser dobles, instalados a 0.5 Mts. y 1.8 Mts. del Nivel de Piso Acabado.</t>
  </si>
  <si>
    <t>SUMINISTRO, TRANSPORTE, FABRICACIÓN EN TALLER Y/O CAMPO, MONTAJE E INSTALACIÓN DE TUBERÍA Ø 4” ENTERRADA, SIN COSTURA, ASTM A-53 GRADO A. HIERRO GALVANIZADO, INCLUYE TODOS LOS ACCESORIOS (CODOS, TE, NIPLES, ETC),  EXCAVACIÓN Y COMPACTACIÓN DEL TERRENO. INCLUYE INTERCONEXIÓN CON EL SISTEMA</t>
  </si>
  <si>
    <t>SUMINISTRO, TRANSPORTE, FABRICACIÓN EN TALLER Y/O CAMPO, MONTAJE E INSTALACIÓN DE TUBERÍA Ø 2 1/2”  AÉREA, SIN COSTURA, ASTM A-53 GRADO A. HIERRO GALVANIZADO, INCLUYE TODOS LOS ACCESORIOS (CODOS, TE, NIPLES, ETC).  E INTERCONEXION CON EL SISTEMA</t>
  </si>
  <si>
    <t xml:space="preserve">SUMINISTRO, TRANSPORTE, FABRICACIÓN EN TALLER Y/O CAMPO, MONTAJE E INSTALACIÓN DE TUBERÍA Ø 1 1/2” AÉREA, SIN COSTURA, ASTM A-53 GRADO A. HIERRO GALVANIZADO, INCLUYE TODOS LOS ACCESORIOS (CODOS, TE, NIPLES, ETC). </t>
  </si>
  <si>
    <t xml:space="preserve">SUMINISTRO, TRANSPORTE, FABRICACIÓN EN TALLER Y/O CAMPO, MONTAJE E INSTALACIÓN DE TUBERÍA Ø 1" AÉREA, SIN COSTURA, ASTM A-53 GRADO A. HIERRO GALVANIZADO, INCLUYE TODOS LOS ACCESORIOS (CODOS, TE, NIPLES, ETC). </t>
  </si>
  <si>
    <t>SUMINISTRO, TRANSPORTE E INSTALACIÓN DE VÁLVULA DE COMPUERTA, Ø 2½" DE ACERO AL CARBONO FUNDIDA, ASTM-A-216 GRADO WBCB, ROSCADA NPT SEGÚN ESTÁNDAR</t>
  </si>
  <si>
    <t>SUMINISTRO, TRANSPORTE E INSTALACIÓN DE VÁLVULA DE COMPUERTA, Ø 1½" DE ACERO AL CARBONO FUNDIDA, ASTM-A-216 GRADO WBCB, ROSCADA NPT SEGÚN ESTÁNDAR</t>
  </si>
  <si>
    <t>SUMINISTRO E INSTALACIÓN DE EXTINTOR  CO2 DE 10 LBS DE CAPACIDAD; APROBADO POR F.M. Y LISTADO EN U.L., CON COMPONENTES COMO BOQUILLAS/CARGADOR/DISPARADOR. MATERIAL VÁLVULA: BRONCE; CILINDRO: ACERO, PESO DE LA UNIDAD: 17.9 LBS. DURACIÓN DE DESCARGA: 21SEG. AGENTE: ABC,  BRACKET (GANCHO) DE PARED,  CON INSTRUCCIONES EN ESPAÑOL CLARAMENTE VISIBLES.</t>
  </si>
  <si>
    <t>SUMINISTRO E INSTALACIÓN DE GABINETE METÁLICO  DE MANGUERA, COLOR ROJO;  PARA EMPOTRAR,  COVENIN II. A. COMPLETO Y ARMADO. CON CAPACIDAD PARA CONTENER UNA MANGUERA DE 1½" DE DIÁMETRO Y HASTA 30 METROS DE LARGO Y UN EXTINTOR.  FABRICADO EN LAMINA DE ACERO, PUERTA CON CERRADURA. SUS DIMENSIONES SON 0.80M DE ALTO X 0.69 M DE ANCHO Y 0.16 M DE PROFUNDIDAD</t>
  </si>
  <si>
    <t>SUMINISTRO, TRANSPORTE E INSTALACIÓN DE ROCIADOR COLGANTE DE ACCIÓN RÁPIDA, CON LAS SIGUIENTES CARACTERÍSTICAS: Ø 1/2" NPT, K=5.6 NFPA,  PRESIÓN MÍNIMA DE OPERACIÓN 7 PSI. PRESIÓN MÁXIMA DE OPERACIÓN 175PSI. TEMPERATURA DE AMPOLLA NOMINAL 68 °C. TEMPERATURA MÁXIMA DE TECHO 38 °C.</t>
  </si>
  <si>
    <t>SUMINISTRO, TRANSPORTE E INSTALACIÓN DE TAPA CIEGA PARA EXTREMO DE TUBERÍA,Ø 2 ½"</t>
  </si>
  <si>
    <t>Suministro e instalación central inteligente compacta con capacidad para conexión de puntos analógicos, circuitos de señalización y reles programables. De 24 zonas, Alimentación 120Vac.. Instalada en pared</t>
  </si>
  <si>
    <t>Suministro e instalación de caja metálica de Paso 5” x 5” x 1-1/2” con salida de 1”, adosada a la pared, tapa atornillada, protección anticorrosiva y esmalte rojo.</t>
  </si>
  <si>
    <t>Suministro e instalación de tubería rígida galvanizada, arg, con rosca, serie EMT- Covenin 11-80. Acero galvanizado en frio,  ASTM A-366  de Ø 1” min. de diámetro, instalada en pared y/o techo, incluye: conduletas acoples y demás elementos de unión y fijación</t>
  </si>
  <si>
    <t>Suministro e Instalación de tubería PVC Conduit  Ø 1" Tipo “A” ASTM  con sus respectivos  valores, según la norma COVENIN 3826:2003 y NEMA TC 2 (tuberías) y NEMA TC3 (accesorios). instalada en pared y/o  techo, incluye:  acoples y demás elementos de unión y fijación</t>
  </si>
  <si>
    <t>Suministro e Instalación de tubería PVC Conduit  Ø 2" Tipo “A” ASTM  con sus respectivos  valores, según la norma COVENIN 3826:2003 y NEMA TC 2 (tuberías) y NEMA TC3 (accesorios). instalada en pared y/o  techo, incluye:  acoples y demás elementos de unión y fijación</t>
  </si>
  <si>
    <t>Construcción de tanquilla tipo E2 baja tensión norma Cadafe en concreto 210 kg/cm2 y tapa de concreto. Incluye  piedra picada en su base en espesor de 10 cms</t>
  </si>
  <si>
    <t>COLOCACION DE  TECHO PVC BLANCO (0.25 M X 5.95 M), INCLUYE PERFILES "U", "H" , ELEMTOS DE FIJACION Y REMATES (MARTILLO)</t>
  </si>
  <si>
    <t>TECHO PVC LISO</t>
  </si>
  <si>
    <t>PERFIL H</t>
  </si>
  <si>
    <t>PERFIL U</t>
  </si>
  <si>
    <t>PVC</t>
  </si>
  <si>
    <t>RIEL 1 5/8 X 3,05 CALIBRE 25 TECHO</t>
  </si>
  <si>
    <t>PARAL 1 5/8X3,05 CALIBRE 25 TECHO</t>
  </si>
  <si>
    <t>TORNILLO 7X7/16  100 UND HILTI X 10000</t>
  </si>
  <si>
    <t>FULMINANTE CALIBRE 27 AMARILLO HILTI 10 PZ 10X100</t>
  </si>
  <si>
    <t>CLAVO CON ANGULO 1" UND FIJAVEN 1X100</t>
  </si>
  <si>
    <t xml:space="preserve">CLAVO DE ACERO LISO DE 3/4 </t>
  </si>
  <si>
    <t>RIEL</t>
  </si>
  <si>
    <t>PARAL</t>
  </si>
  <si>
    <t>FULMINANTE</t>
  </si>
  <si>
    <t>TORNILLO 7X7/16</t>
  </si>
  <si>
    <t>CLAVO CON ANGULO 1"</t>
  </si>
  <si>
    <t>CLAVO DE ACERO</t>
  </si>
  <si>
    <t>LUMINA</t>
  </si>
  <si>
    <t>CORNISAS</t>
  </si>
  <si>
    <t>GOTEROS</t>
  </si>
  <si>
    <t>NO:</t>
  </si>
  <si>
    <t>CONSTRUCCION DE CORNISAS</t>
  </si>
  <si>
    <t>CENTRO COMERCIAL OASIS</t>
  </si>
  <si>
    <t>TANQUE HIDRO-NEUMATICO VERTICAL DE 315 GALONES, DIAMETRO 35", LARGO 2.40 M</t>
  </si>
  <si>
    <t>1 COMPRESOR DE 1 HP, TRIFASICO.</t>
  </si>
  <si>
    <t xml:space="preserve">TABLERO DEPOTENCIA Y CONTROL PARA LAS DOS BOMBAS Y EL COMPRESOR </t>
  </si>
  <si>
    <t>TUBERIA ELECTRICA Y CABLEADO PARA EQUIPOS Y ACCESORIOS</t>
  </si>
  <si>
    <t>BOMBA PARA SISTEMA CONTRA INCENDIO DE 15 HP, X G.P.M.</t>
  </si>
  <si>
    <t>INSTALACION Y PUESTA EN MARCHA</t>
  </si>
  <si>
    <t>HIDRO GUAYANA. SR. CARLOS CALDERA</t>
  </si>
  <si>
    <t>MOVIMIENTO DE TIERRA</t>
  </si>
  <si>
    <t>TOPOGRAFIA</t>
  </si>
  <si>
    <t>MOVIMIENTO DE TIERRA C.C. PALMAS</t>
  </si>
  <si>
    <t xml:space="preserve">CRONOGRAMA DE MOVIMIENTO DE TIERRA </t>
  </si>
  <si>
    <t>SEMANA 15/02/2016 AL 19/02/2016</t>
  </si>
  <si>
    <t>INVERSIONES O B (WILKER OLEAGA)</t>
  </si>
  <si>
    <t>INVERSIONES Y DEMOLICIONES 2065,C,A</t>
  </si>
  <si>
    <t>OPERADOR NELSON                                                0286-4184756</t>
  </si>
  <si>
    <t>ALEJANDRO GOMEZ  0424-8932132</t>
  </si>
  <si>
    <t>CARTAGO 84, C.A  JORGE LUIS MARQUEZ 0414-8687007</t>
  </si>
  <si>
    <t>PRONSERVICE, C.A TLF = 0424-9189567</t>
  </si>
  <si>
    <t>LEONARDO RUIZ, C.A TLF = 0424-9189567</t>
  </si>
  <si>
    <t xml:space="preserve"> CANTIDAD</t>
  </si>
  <si>
    <t>LUNES</t>
  </si>
  <si>
    <t>MIÉRCOLES</t>
  </si>
  <si>
    <t>VIERNES</t>
  </si>
  <si>
    <t>TOTAL DIAS</t>
  </si>
  <si>
    <t>RETROEXCAVADORA</t>
  </si>
  <si>
    <t xml:space="preserve">CORTE </t>
  </si>
  <si>
    <t>LIMPIEZA DEL AREA DE TRABAJO CON EQUIPO RETROEXCAVADOR</t>
  </si>
  <si>
    <t>HA</t>
  </si>
  <si>
    <t>RANA COMPACTADORA</t>
  </si>
  <si>
    <t>CONFORMACION DE TERRENO  (INCLUYE COMPACTACION EN TALUDES)</t>
  </si>
  <si>
    <t>RELLENO</t>
  </si>
  <si>
    <t>RELLENO Y COMPACTACION PARA CONSTRUCCION DE CAJUELA</t>
  </si>
  <si>
    <t xml:space="preserve">DEMOLICION DE ACERAS DE CONCRETO CON PLOGA PARA CONSTRUCCION DE CAJUELAS. </t>
  </si>
  <si>
    <t>DESMONTAJE Y MONTAJE DE CERCA PERIMETRAL A MANO</t>
  </si>
  <si>
    <t>BOTE DE MATERIAL DE DESECHO Y ESCOMBROS EN CAMIONES VOLTEO DE 8 M3</t>
  </si>
  <si>
    <t>VIAJES</t>
  </si>
  <si>
    <t>conformacion</t>
  </si>
  <si>
    <t>L</t>
  </si>
  <si>
    <t>I</t>
  </si>
  <si>
    <t>J</t>
  </si>
  <si>
    <t>V</t>
  </si>
  <si>
    <t>PU</t>
  </si>
  <si>
    <t>SIN IVA</t>
  </si>
  <si>
    <t>patrol</t>
  </si>
  <si>
    <t>PATROL</t>
  </si>
  <si>
    <t>transporte de relleno vista al lago palmas</t>
  </si>
  <si>
    <t>payloader</t>
  </si>
  <si>
    <t>VIBRO</t>
  </si>
  <si>
    <t>BOTE</t>
  </si>
  <si>
    <t>CANTD</t>
  </si>
  <si>
    <t>volteos</t>
  </si>
  <si>
    <t>PAYLOADER</t>
  </si>
  <si>
    <t>CISTERNA</t>
  </si>
  <si>
    <t>RETROEXC</t>
  </si>
  <si>
    <t>DIAS</t>
  </si>
  <si>
    <t>MARTILLO</t>
  </si>
  <si>
    <t>retro</t>
  </si>
  <si>
    <t>TOPOGRAFO</t>
  </si>
  <si>
    <t>compactadora</t>
  </si>
  <si>
    <t>CARGA DE RELLENO</t>
  </si>
  <si>
    <t>cisterna</t>
  </si>
  <si>
    <t>TRANSPORTE</t>
  </si>
  <si>
    <t>MAQUINAS</t>
  </si>
  <si>
    <t xml:space="preserve">CORTE Y COMPACTACION EN TERRENO PARA CONSTRUCCION DE CAJUELAS </t>
  </si>
  <si>
    <t>RETROEXVADORA</t>
  </si>
  <si>
    <t>RELLENO Y COMPACTACION PARA CONSTRUCCION DE CAJUELAS</t>
  </si>
  <si>
    <t>PERFILAMIENTO DE TERRENO CON EQUIPO RETROEXCAVADOR (INCLUYE COMPACTACION EN TAUDES)</t>
  </si>
  <si>
    <t>SEMANA2</t>
  </si>
  <si>
    <t>UNIDADES</t>
  </si>
  <si>
    <t xml:space="preserve">LUNES </t>
  </si>
  <si>
    <t>VOLTEOS</t>
  </si>
  <si>
    <t>dias</t>
  </si>
  <si>
    <t xml:space="preserve">SERVICIO DE CISTERNA </t>
  </si>
  <si>
    <t xml:space="preserve">MAQUINAS REQUERIDAS PARA 2 DIAS  (VIERNES 10-03-2016) Y (LUNES 14-03-16)  </t>
  </si>
  <si>
    <t xml:space="preserve">CISTERNA </t>
  </si>
  <si>
    <t xml:space="preserve">MAQUINAS REQUERIDAS PARA 1 DIA  (JUEVES 31-03-16)  </t>
  </si>
  <si>
    <t>MAQUINAS REQUERIDAS PARA 2 DIA  (MIERCOLES 06-04-16) y (JUEVES 07-04-16)</t>
  </si>
  <si>
    <t>INVERSIONES CJDM.C.A  J-405891378  URB.TIAMO. COUNTRI. CALLE 5.B. CASA 8   TELEFONO 0286-8532568, (0424)-9100940; CONTACTO:  SR. MEDINA 0424-9427548</t>
  </si>
  <si>
    <t>RETRO- EXCAVADORA</t>
  </si>
  <si>
    <t>NOTA</t>
  </si>
  <si>
    <t>BOTE DE ESCOMBROS Y EXCAVACION PARA ZANJAS DE DRENAJE EN EL AREA DEL PAISAJISMO Y PLAZA CENTRAL</t>
  </si>
  <si>
    <t>MAQUINAS REQUERIDAS PARA 1 DIA  (MARTES 12-04-16 Y MIERCOLES 13/04/16)</t>
  </si>
  <si>
    <t>MAQUINAS REQUERIDAS PARA 1 DIA  (LUNES 18/04/16) Y MIERCOLES (20/04/16)</t>
  </si>
  <si>
    <t xml:space="preserve">MAQUINAS REQUERIDAS PARA 1 DIA  (JUEVES 21/04/16) </t>
  </si>
  <si>
    <t>TRANSPORTE DE RELLENO VISTA AL LAGO - OASIS</t>
  </si>
  <si>
    <t>MOVIMIENTO DE TIERRA C.C. OASIS</t>
  </si>
  <si>
    <t>Construccion de terraplen</t>
  </si>
  <si>
    <t xml:space="preserve">CENTRO COMERCIAL OASIS </t>
  </si>
  <si>
    <t>MANTO NEGRO 3,5 MM MARCA: CINDU</t>
  </si>
  <si>
    <t>CUÑETES</t>
  </si>
  <si>
    <t>CEMENTO PLASTICO</t>
  </si>
  <si>
    <t>PINTURA ALUMINIZADA BITUPLAS</t>
  </si>
  <si>
    <t xml:space="preserve">PRIMER </t>
  </si>
  <si>
    <t>CEPILLOS DE BARRER</t>
  </si>
  <si>
    <t>IMPERMEABILIZACION</t>
  </si>
  <si>
    <t>SOBREPISO</t>
  </si>
  <si>
    <t>SOBREPISO MANO DE OBRA</t>
  </si>
  <si>
    <t>CEMENTO PARA SOBREPISO :</t>
  </si>
  <si>
    <t>SOBREPISO ARENA: 37  M3 = 5 CAMIONES DE 8 M3</t>
  </si>
  <si>
    <t>PAVIMENTO EXTERIOR</t>
  </si>
  <si>
    <t>TUBOS DE 4 X 1</t>
  </si>
  <si>
    <t xml:space="preserve">PLETINA DE 75 MM DE 6 MM </t>
  </si>
  <si>
    <t>DISCOS DE CORTE DE 7" METALICO</t>
  </si>
  <si>
    <t>DISCOS DE CORTE DE 4" METALICO</t>
  </si>
  <si>
    <t>DISCOS DE CORTE DE CONCRETO DE 7" (PUNTA DE DIAMANTE)</t>
  </si>
  <si>
    <t>DISCOS DE CORTE DE CONCRETO DE 4" (PUNTA DE DIAMANTE)</t>
  </si>
  <si>
    <t>ELECTRODOS 6013</t>
  </si>
  <si>
    <t>ALAMBRE</t>
  </si>
  <si>
    <t xml:space="preserve">CLAVOS DE 4" PARA MADERA </t>
  </si>
  <si>
    <t xml:space="preserve">CLAVOS DE 2-1/2 PARA MADERA </t>
  </si>
  <si>
    <t xml:space="preserve">CLAVOS DE ACERO DE 4" </t>
  </si>
  <si>
    <t xml:space="preserve">CLAVOS DE ACERO 2-1/2 </t>
  </si>
  <si>
    <t>MATERIALES A USAR EN OASIS</t>
  </si>
  <si>
    <t>REUBICACION  DE CERCA PROVISIONAL</t>
  </si>
  <si>
    <t>EXTINCION Y DETECCION</t>
  </si>
  <si>
    <t>ROLLOS</t>
  </si>
  <si>
    <t>MALLA TRUCSON DE 100 M2</t>
  </si>
  <si>
    <t>REFLECTOR METAL HALIDE DE 400 MODELO OWF- 407 O SIMILAR INCLUYE BOMBILLO Y ACCESORIOS DE ARRANQUE</t>
  </si>
  <si>
    <t>FONDO ANTICORROSIVO COLOR ROJO</t>
  </si>
  <si>
    <t>PINTURA DE ESMALTE COLOR ROJO</t>
  </si>
  <si>
    <t>ELECTRICIDAD E ILUMINACION</t>
  </si>
  <si>
    <t>CIELO RASO</t>
  </si>
  <si>
    <t xml:space="preserve">SUMINISTRO Y TRANSPORTE DE POSTE 3M SOPORTE TUBULAR CON ILUMINACION 150W -220 V </t>
  </si>
  <si>
    <t xml:space="preserve"> LUMINARIA DOWLIGHT CON BOMBILLO LUZ BLANCA 1 X 75W  120V  .PARA EMPOTRAR</t>
  </si>
  <si>
    <t xml:space="preserve"> LUMINARIA 100W 220V CON BASE DE ALUMINIO ALT. 12CM Ǿ BASE </t>
  </si>
  <si>
    <t xml:space="preserve">LUMINARIA TIPO APLIQUE DE PARED CON BOMBILLO 75W -120V </t>
  </si>
  <si>
    <t xml:space="preserve">LUMINARIA CON DOS TUBOS FLUORESCENTES T8 DE 17W </t>
  </si>
  <si>
    <t xml:space="preserve"> REFLECTOR METAL HALIDE 250W, 240V </t>
  </si>
  <si>
    <t xml:space="preserve"> TOMACORRIENTE DOBLE CON POLO A TIERRA 120V, 20A.</t>
  </si>
  <si>
    <t xml:space="preserve"> LUMINARIA CON DOS TUBOS FLUORESCENTES T8 DE 17W </t>
  </si>
  <si>
    <t>LUMINARIA DOWLIGHT CON BOMBILLO LUZ BLANCA 1 X 75W  120V PARA . EMPOTRAR</t>
  </si>
  <si>
    <t xml:space="preserve">REFLEXTOR METAL HALIDE 50W, 120V </t>
  </si>
  <si>
    <t>LUMINARIA DE LUZ INDIRECTA 120V, PARA EMPOTRAR.</t>
  </si>
  <si>
    <t>TOMACORRIENTE DOBLE CON POLO A TIERRA 120V, 20A.</t>
  </si>
  <si>
    <t>INTERRUPTOR SENCILLO 15A-120 V</t>
  </si>
  <si>
    <t>INTERRUPTOR DOBLE 15A-120 V</t>
  </si>
  <si>
    <t>CAJA METALICA CON TAPA DE DIMN : 15X15X5 CMS</t>
  </si>
  <si>
    <t>TUBERIA PVC DE DIAM 3/4"</t>
  </si>
  <si>
    <t>TUBERIA EMT DIAM 3/4"</t>
  </si>
  <si>
    <t>SISTEMA HIDRONEUMATICO</t>
  </si>
  <si>
    <t xml:space="preserve"> CAJA METÁLICA DE PASO 5” X 5” X 1-1/2” CON SALIDA DE 1”</t>
  </si>
  <si>
    <t xml:space="preserve"> TUBERÍA RÍGIDA GALVANIZADA, ARG, CON ROSCA, SERIE EMT DE 1" - COVENIN 11-80.</t>
  </si>
  <si>
    <t xml:space="preserve">TUBERÍA PVC CONDUIT  Ø 1" TIPO “A” ASTM </t>
  </si>
  <si>
    <t>TUBERÍA PVC CONDUIT  Ø 2" TIPO “A” ASTM</t>
  </si>
  <si>
    <t>TUBERÍA Ø 4” SIN COSTURA, ASTM A-53 GRADO A. HIERRO GALVANIZADO</t>
  </si>
  <si>
    <t>TUBERÍA Ø 2-1/2” SIN COSTURA, ASTM A-53 GRADO A. HIERRO GALVANIZADO</t>
  </si>
  <si>
    <t>TUBERÍA Ø 1-1/2” SIN COSTURA, ASTM A-53 GRADO A. HIERRO GALVANIZADO</t>
  </si>
  <si>
    <t>TUBERÍA Ø 1” SIN COSTURA, ASTM A-53 GRADO A. HIERRO GALVANIZADO</t>
  </si>
  <si>
    <t>VÁLVULA DE COMPUERTA, Ø 2½" DE ACERO AL CARBONO FUNDIDA, ASTM-A-216 GRADO WBCB, ROSCADA NPT</t>
  </si>
  <si>
    <t>VÁLVULA DE COMPUERTA, Ø 1½" DE ACERO AL CARBONO FUNDIDA, ASTM-A-216 GRADO WBCB</t>
  </si>
  <si>
    <t>TAPA CIEGA PARA EXTREMO DE TUBERÍA,Ø 2 ½"</t>
  </si>
  <si>
    <t>BOMBAS CENTRIFUGAS TRIFASICAS DE 3 HP SUCCION Y DESCARGA .</t>
  </si>
  <si>
    <t>REVESTIMIENTO EN PISOS Y PAREDES</t>
  </si>
  <si>
    <t xml:space="preserve">PORCELANATO TAMANO 60 CM * 60 CM, ACABADO
BEIGE CLARO O SIMILAR EN PASILLOS </t>
  </si>
  <si>
    <t xml:space="preserve">TERRACOTA O SIMILAR </t>
  </si>
  <si>
    <t>PEGO MONTELUPO</t>
  </si>
  <si>
    <t>CARATEO SELLADOR DE JUNTAS PARA PORCELANATO (SCS 2 KG)</t>
  </si>
  <si>
    <t>PUERTAS METALICAS Y DE MADERAS</t>
  </si>
  <si>
    <t xml:space="preserve">MARCOS PARA PUERTAS </t>
  </si>
  <si>
    <t>CERRADURAS DE POMO P/BAÑO C/LLAVE</t>
  </si>
  <si>
    <t>CERRADURA DE EMBUTIR ACABADO DE ACERO NIQUELADO , CILINDRO MOVIL ,CERROJO SIMPLE A AMBOS LADOS CON LLAVES</t>
  </si>
  <si>
    <t>PUERTAS METALICAS DECORATIVAS (0,75X2,06) INCLUYE BISAGRAS</t>
  </si>
  <si>
    <t>PUERTAS METALICAS DE ROMANILLAS  INCLUYE BISAGRAS</t>
  </si>
  <si>
    <t>PUERTAS DE MADERA ENTAMBORADA 0,64X2,06M INCLUYE BISAGRAS</t>
  </si>
  <si>
    <t>CABLE 250 MCM MONOPOLAR 600V, 75 ºc COLOR NEGRO</t>
  </si>
  <si>
    <t>CABLE 500 MCM MONOPOLAR 600V, 75 ºc COLOR NEGRO</t>
  </si>
  <si>
    <t>CABLE #2 TRIPOLAR AWG DE 15 KV , 90 ºc</t>
  </si>
  <si>
    <t>C.C OLE MALL</t>
  </si>
  <si>
    <t>kg</t>
  </si>
  <si>
    <t>rollos</t>
  </si>
  <si>
    <t>cajas</t>
  </si>
  <si>
    <t xml:space="preserve">cajas </t>
  </si>
  <si>
    <t>caja</t>
  </si>
  <si>
    <t xml:space="preserve">ALAMBRE 17,50 MM: </t>
  </si>
  <si>
    <t>MALLA TRUCKSON DE 100 M2</t>
  </si>
  <si>
    <t xml:space="preserve"> CLAVO DE ACERO 2"</t>
  </si>
  <si>
    <t>CLAVOS DE 4"</t>
  </si>
  <si>
    <t>CLAVOS DE 2" 1/2 PARA MADERA</t>
  </si>
  <si>
    <t>CLAVOS DE 1" 1/2 PARA MADERA</t>
  </si>
  <si>
    <t>HOJA DE ASEGUETA</t>
  </si>
  <si>
    <t>TIZA PARA CABILLERO</t>
  </si>
  <si>
    <t>LIMA RABON DE RATON</t>
  </si>
  <si>
    <t>DISCO DE 14" PARA TRONZADORA:</t>
  </si>
  <si>
    <t>DISCO DE CORTE 7" PARA ESMERIL</t>
  </si>
  <si>
    <t>DISCO PUNTA DE DIAMANTE DE 7"</t>
  </si>
  <si>
    <t xml:space="preserve"> DISCO DE 12" DE 24 D. PARA MADERA</t>
  </si>
  <si>
    <t>DISCO 7" PARA MADERA (SIERRA DE MANO)</t>
  </si>
  <si>
    <t>TEIPE DE COBRA</t>
  </si>
  <si>
    <t>GRAFIADO Y PINTURAS</t>
  </si>
  <si>
    <t>CAMISAS O FUNDAS PARA RODILLOS DE 9"</t>
  </si>
  <si>
    <t>ESQUELETOS PARA RODILLOS DE 9"</t>
  </si>
  <si>
    <t>BROCHAS DE 2-1/2"</t>
  </si>
  <si>
    <t>BROCHAS DE 4"</t>
  </si>
  <si>
    <t>TIRROS DE 3/4"</t>
  </si>
  <si>
    <t>LAPÌZ DE CARPINTERO</t>
  </si>
  <si>
    <t>CABLE # 12 AWG, THW , 600 V, 75 ºC, COLOR ROJO (FASE)</t>
  </si>
  <si>
    <t>CABLE # 12 AWG, THW , 600 V, 75 ºC, COLOR BLANCO (NEUTRO)</t>
  </si>
  <si>
    <t>CABLE # 12 AWG, THW , 600 V, 75 ºC, COLOR VERDE (TIERRA)</t>
  </si>
  <si>
    <t>CABLE # 10 AWG, THW , 600 V, 75 ºC, COLOR NEGRO (FASE)</t>
  </si>
  <si>
    <t>CABLE # 10 AWG, THW , 600 V, 75 ºC, COLOR AZUL (FASE)</t>
  </si>
  <si>
    <t>CABLE # 10 AWG, THW , 600 V, 75 ºC, COLOR ROJO (FASE)</t>
  </si>
  <si>
    <t>CABLE # 10 AWG, THW , 600 V, 75 ºC, COLOR BLANCO (NEUTRO)</t>
  </si>
  <si>
    <t>CABLE # 10 AWG, THW , 600 V, 75 ºC, COLOR VERDE (TIERRA)</t>
  </si>
  <si>
    <t>CABLE # 8 AWG, THW , 600 V, 75 ºC, COLOR NEGRO (FASE)</t>
  </si>
  <si>
    <t>CABLE # 8 AWG, THW , 600 V, 75 ºC, COLOR AZUL (FASE)</t>
  </si>
  <si>
    <t>CABLE # 8 AWG, THW , 600 V, 75 ºC, COLOR ROJO (FASE)</t>
  </si>
  <si>
    <t>CABLE # 6 AWG, THW , 600 V, 75 ºC, COLOR NEGRO (FASE)</t>
  </si>
  <si>
    <t>CABLE # 6 AWG, THW , 600 V, 75 ºC, COLOR ROJO (NEUTRO)</t>
  </si>
  <si>
    <t>CABLE # 6 AWG, THW , 600 V, 75 ºC, COLOR AZUL (NEUTRO)</t>
  </si>
  <si>
    <t>LLANAS DE PLASTICO PARA GRAFIADO</t>
  </si>
  <si>
    <t>CUÑETE RINDE 8 LINEAS DE 10 METROS</t>
  </si>
  <si>
    <t xml:space="preserve">ASPERSORES </t>
  </si>
  <si>
    <t>TUBO PVC AGUAS BLANCAS 3/4"</t>
  </si>
  <si>
    <t>ANILLOS DE ACOPLE</t>
  </si>
  <si>
    <t>CODOS DE 90 PVC  DE 3/4"</t>
  </si>
  <si>
    <t>TEE DE AGUAS BLANCAS  DE 3/4"</t>
  </si>
  <si>
    <t>PEGA DE ALTA PRESION 1/4 DE GALON</t>
  </si>
  <si>
    <t>TEE DE AGUAS BLANCAS  DE 2"</t>
  </si>
  <si>
    <t>REDUCCION DE 2"X3/4</t>
  </si>
  <si>
    <t xml:space="preserve">TUBOS  DE 6" AGUAS DE LLUVIA </t>
  </si>
  <si>
    <t xml:space="preserve">TUBOS  DE 8" AGUAS DE LLUVIA </t>
  </si>
  <si>
    <t>DRENAJES Y  SIST. DE RIEGO</t>
  </si>
  <si>
    <t>ABRAZADERAS PEAD DE 2"  A 3/4" HEMBRA</t>
  </si>
  <si>
    <t>PEGA PAVCO DE 1/64 GAL</t>
  </si>
  <si>
    <t>VALVULA DE 3/4 DE BRONCE</t>
  </si>
  <si>
    <t xml:space="preserve">TEFLON </t>
  </si>
  <si>
    <t>PIEDRA PICADA # 1/2</t>
  </si>
  <si>
    <t>FIBRA DE POLIPROPILENO</t>
  </si>
  <si>
    <t xml:space="preserve">PAVIMENTO EXTERIOR </t>
  </si>
  <si>
    <t>PORCELANATO Y CERAMICA</t>
  </si>
  <si>
    <t>CERAMICA 30X30</t>
  </si>
  <si>
    <t>suministro e instalacion de tuberia rigida galvanizada serie emt de 3/4" de diametro instalada en pared y/o techo incluye cajetines conectores y demas elementos de fijacion incluye cableado</t>
  </si>
  <si>
    <t>SISTEMA CONTRA INCENDIO (EXT+ DETECCION)</t>
  </si>
  <si>
    <t xml:space="preserve">TECHO PVC </t>
  </si>
  <si>
    <t>m3</t>
  </si>
  <si>
    <t>nalvin</t>
  </si>
  <si>
    <t xml:space="preserve">SUMINISTRO Y COLOCACION DE  CONCRETO  C.C LAS PALMERAS PLAZA </t>
  </si>
  <si>
    <t>malla truckson</t>
  </si>
  <si>
    <t>MATERIALES PARA VACIADO DE CONCRETO</t>
  </si>
  <si>
    <t>SUMINISTRO Y COLOCACION DE  ASFALTO TIPO II   C.C OASIS</t>
  </si>
  <si>
    <t xml:space="preserve">CONCRETO 250 RC = KG/CM2 SIN FIBRA </t>
  </si>
  <si>
    <t>SACO</t>
  </si>
  <si>
    <t>COLOCACION DE PRIMER</t>
  </si>
  <si>
    <t>FABRICACION DE MEDIA CAÑA DE CONCRETO</t>
  </si>
  <si>
    <t>SUMINISTRO Y COLOCACION DE PINTURA ALUMINIZADA</t>
  </si>
  <si>
    <t>Puntos de Aguas Blancas</t>
  </si>
  <si>
    <t>Ubicación</t>
  </si>
  <si>
    <t>Pto 1/2"</t>
  </si>
  <si>
    <t>Pto 3/4"</t>
  </si>
  <si>
    <t>Pto 1"</t>
  </si>
  <si>
    <t>Pto 1 1/2"</t>
  </si>
  <si>
    <t xml:space="preserve">PB LOCAL 1 </t>
  </si>
  <si>
    <t>PB LOCAL 2</t>
  </si>
  <si>
    <t>PB LOCAL 3</t>
  </si>
  <si>
    <t>PB LOCAL 4</t>
  </si>
  <si>
    <t>PB LOCAL 5</t>
  </si>
  <si>
    <t>PB LOCAL 6</t>
  </si>
  <si>
    <t>PB LOCAL 7</t>
  </si>
  <si>
    <t>PB LOCAL 8</t>
  </si>
  <si>
    <t>PB LOCAL 9</t>
  </si>
  <si>
    <t>PB LOCAL 10</t>
  </si>
  <si>
    <t>PB LOCAL 11</t>
  </si>
  <si>
    <t>PB LOCAL 12</t>
  </si>
  <si>
    <t>PB LOCAL 13</t>
  </si>
  <si>
    <t>PB LOCAL 14</t>
  </si>
  <si>
    <t>Terraza</t>
  </si>
  <si>
    <t>Riego Exterior</t>
  </si>
  <si>
    <t>Totales</t>
  </si>
  <si>
    <t>TUBERIA DE SUCCION Y DESCARGA, INDEPENDIENTE PARA CADA BOMBA, EN HIERRO GALVANIZADO DE 1 1/2 " INCLUYE VALVULA CHECK DE FONDO .</t>
  </si>
  <si>
    <t xml:space="preserve">TERRACOTA PARA AREA DE SERVICIO
</t>
  </si>
  <si>
    <t>PORCELANATO Y TERRACOTA</t>
  </si>
  <si>
    <t>GRAFIADO</t>
  </si>
  <si>
    <t>PASAMANOS EN OASIS</t>
  </si>
  <si>
    <t>TUBO REDONDO DIAM 2"X2MM  BARRA LISA DIAM 1/2, LAMINA DE HN 5MM, PERNOS EXPANSIVOS DIM 3/8" X 3", FONDO ANTICORROSIVO, PINTURA  MARTILLADA, MASILLA PLASTICA,</t>
  </si>
  <si>
    <t>REMATES DE MAMPOSTERIA  C.C OASIS PLAZA</t>
  </si>
  <si>
    <t>ESCALERA METALICA</t>
  </si>
  <si>
    <t xml:space="preserve">TRANSFORMADOR DE 500 KVA </t>
  </si>
  <si>
    <t xml:space="preserve">TRANSFORMADOR C.C OASIS PLAZA </t>
  </si>
  <si>
    <t>SUMINISTRO Y TRANSPORTE LUMINARIA DOWLIGHT CON BOMBILLO LUZ BLANCA 1 X 75W  120V  .PARA EMPOTRAR</t>
  </si>
  <si>
    <t xml:space="preserve">SUMINISTRO Y TRANSPORTE DE LUMINARIA 100W 220V CON BASE DE ALUMINIO ALT. 12CM Ǿ BASE </t>
  </si>
  <si>
    <t xml:space="preserve">SUMINISTRO Y TRANSPORTE DE LUMINARIA TIPO APLIQUE DE PARED CON BOMBILLO 75W -120V </t>
  </si>
  <si>
    <t xml:space="preserve">SUMINISTRO Y TRANSPORTE DE LUMINARIA CON DOS TUBOS FLUORESCENTES T8 DE 17W </t>
  </si>
  <si>
    <t>SUMINISTRO Y TRANSPORTE DE TOMACORRIENTE DOBLE CON POLO A TIERRA 120V, 20A.</t>
  </si>
  <si>
    <t>REFLECTOR DE 150 W PARA POSTES DE 3M</t>
  </si>
  <si>
    <t>REFLECTORES METAL HALIDE DE 250 WATT -240V</t>
  </si>
  <si>
    <t xml:space="preserve">SUMINISTRO Y TRANSPORTE DE REFLECTOR METAL HALIDE 50W, 120V </t>
  </si>
  <si>
    <t>SUMINISTRO Y TRANSPORTE DE LUMINARIA DE LUZ INDIRECTA 120V, PARA EMPOTRAR</t>
  </si>
  <si>
    <t>ILUMINACION EXTERIOR  C.C OASIS PLAZA</t>
  </si>
  <si>
    <t>PUERTAS METALICA ENTAMBORADA DECORATIVAS</t>
  </si>
  <si>
    <t>PUERTA METALICA 100% EN ROMANILLA DE 1 HOJAS PARA CUARTO DE BASURA MEDIDAS 1,00*2,10m INCLUYE MARCO</t>
  </si>
  <si>
    <t>PUERTA METALICA 50% EN ROMANILLA 50% ENTAMBORADA50% ROMANILLA DE 1 HOJA PARA CUARTO ELECTRICO Y CUARTO HIDRONEUMATICO MEDIDAS 1,00*2,10m INCLUYE MARCO</t>
  </si>
  <si>
    <t>,</t>
  </si>
  <si>
    <t>PUERTAS DE MADERA 0,90*2,10 M ENTAMBORADA PARA BAÑOS DE LOCALES</t>
  </si>
  <si>
    <t>PUERTAS DE MADERA</t>
  </si>
  <si>
    <t>CEMENTO</t>
  </si>
  <si>
    <t xml:space="preserve">CAJA </t>
  </si>
  <si>
    <t>METILAN 500 GRAMOS</t>
  </si>
  <si>
    <t>Colocacion de bloques en area de escalera + 3,30 mts</t>
  </si>
  <si>
    <t xml:space="preserve">PAISAJISMO  C.C OASIS PLAZA </t>
  </si>
  <si>
    <t>C.C OASIS</t>
  </si>
  <si>
    <t>ABRIL</t>
  </si>
  <si>
    <t>SUBTOTAL 1</t>
  </si>
  <si>
    <t>SUBTOTAL 2</t>
  </si>
  <si>
    <t>TOTAL GENERAL</t>
  </si>
  <si>
    <t>POR EJECUTAR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</si>
  <si>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</si>
  <si>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</si>
  <si>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</si>
  <si>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</si>
  <si>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</si>
  <si>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</si>
  <si>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</si>
  <si>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</si>
  <si>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</si>
  <si>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</si>
  <si>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M 11</t>
  </si>
  <si>
    <t>M 12</t>
  </si>
  <si>
    <t>IMPERMEABILIZACION,SOBREPISO,PLAFON PVC,EXTINCION,DETECCION,PORCELANATO,TERRACOTA,GRAFIADO,PINTURA,PAISAJISMO,HIDRONEUMATICO,TRANSFORMADOR</t>
  </si>
  <si>
    <t>PAVIMENTO CONCRETO PREMEZCLADO</t>
  </si>
  <si>
    <t>VIDRIOS,ESCALERA METALICA,ILUMINACION,CABLES,TABLERO MEDIDORES,MALLA PUESTA A TIERRA</t>
  </si>
  <si>
    <t>ACTIVIDADES</t>
  </si>
  <si>
    <t>Bsf</t>
  </si>
  <si>
    <t>Por Ejecutar</t>
  </si>
  <si>
    <t>Gandolas</t>
  </si>
  <si>
    <t>FIBRA DE POLIPROPILENO DE BOLSAS 600 GRS</t>
  </si>
  <si>
    <t>BOLSAS</t>
  </si>
  <si>
    <t>SUMINISTRO DE CEMENTO (ESTACIONAMIENTO)</t>
  </si>
  <si>
    <t>GANDOLAS</t>
  </si>
  <si>
    <t>SUMINISTRO DE AFREGADO GRUESO  # 1/2,</t>
  </si>
  <si>
    <t>ARENA LAVADA PARA  ESTACIONAMIENTO</t>
  </si>
  <si>
    <t>SUMINISTRO DE ARENA LAVADA</t>
  </si>
  <si>
    <t>TECHO  DE PVC:  COLOCACION</t>
  </si>
  <si>
    <t xml:space="preserve">MANO DE OBRA CEMENTO PULIDO C.C LAS PALMAS PLAZA </t>
  </si>
  <si>
    <t>SMAG,C.A (SERVICIO DE LIMPIEZA RESIDENCIAL COMERCIAL E INDUSTRIAL</t>
  </si>
  <si>
    <t>SOBREPISO ESPESOR APROX= 5 CM</t>
  </si>
  <si>
    <t>LISTA DE MATERIALES SUMINISTRADAS POR CONTRATISTAS</t>
  </si>
  <si>
    <t>2m</t>
  </si>
  <si>
    <t>SMAG,C.A</t>
  </si>
  <si>
    <t>FLEJE</t>
  </si>
  <si>
    <t>1 CAJA</t>
  </si>
  <si>
    <t>CEMENTO BLANCO</t>
  </si>
  <si>
    <t>COLA BLANCA</t>
  </si>
  <si>
    <t>OXIDO MARRON IMPORTADO O BAYCOLOR</t>
  </si>
  <si>
    <t>OXIDO BEIGE O AMARILLO IMPORTADO O BAYCOLOR</t>
  </si>
  <si>
    <t>1 LATA DE CERA EN PASTA NEUTRA</t>
  </si>
  <si>
    <t>JUEGO DE PIEDRA PRISMATICO GRANO 120</t>
  </si>
  <si>
    <t>JUEGO DE PIEDRA PRISMATICO GRANO 200</t>
  </si>
  <si>
    <t>MOCHIMA J-30367459-3 AV. PASEO CARONI C.C QUERECURE NRO S/N ZONA INDUSTRIAL UNARE I  PTO ORDAZ EDO BOLIVAR, TELF: 0286- 9522141</t>
  </si>
  <si>
    <t>CAJA</t>
  </si>
  <si>
    <t>OXIDO MARRON NACIONAL</t>
  </si>
  <si>
    <t>OXIDO  AMARILLO NACIONAL</t>
  </si>
  <si>
    <t>OXIDO NEGRO NACIONAL</t>
  </si>
  <si>
    <t>NOTA : MATERIALES REQUERIDOS PARA PRUEBA DE CEMENTO PULIDO</t>
  </si>
  <si>
    <t>RENDIMIENTO DE MATERIALES EN OBRAS  SR, PIÑA</t>
  </si>
  <si>
    <t>SOBREPISO : 26,09 M2</t>
  </si>
  <si>
    <t>CEMENTO GRIS 11 CUÑETES = 5,5 SACOS DE CEMENTO</t>
  </si>
  <si>
    <t xml:space="preserve">ARENA LAVADA 9,5 CARRETILLAS = 9,5 X0,054 M3 = 0,513 M3 DE ARENA LAVADA  </t>
  </si>
  <si>
    <t>PAÑO DE COLOR AMARILLO  (14,38 M2)</t>
  </si>
  <si>
    <t>1/8 DE OXIDO AMARILLO</t>
  </si>
  <si>
    <t>2,5 SACOS DE CEMENTO BLANCO DE 21,5 KG</t>
  </si>
  <si>
    <t>PAÑO DE COLOR MARRON (3,23 M2) MAL ELABORADO A DEMOLER</t>
  </si>
  <si>
    <t xml:space="preserve">PAÑO DE GRAVILLA </t>
  </si>
  <si>
    <t>2 SACOS DE 20 KG DE GRAVILLA #00</t>
  </si>
  <si>
    <t>3/4 DE SACOS DE CEMENTO GRIS DE 42,50 KG</t>
  </si>
  <si>
    <t>RENDIMIENTO DE MATERIALES EN OBRAS  SR, RAUL SANCHEZ</t>
  </si>
  <si>
    <t>SOBREPISO = 21,97 M2</t>
  </si>
  <si>
    <t>OXIDO =1/2 KG DE OXIDO IMPORTADO</t>
  </si>
  <si>
    <t xml:space="preserve">SACOS DE CEMENTO GRIS </t>
  </si>
  <si>
    <t>PAÑO DE COLOR NEGRO (7,59 M2)</t>
  </si>
  <si>
    <t>SIN DESPERDICIO</t>
  </si>
  <si>
    <t>RESUMEN DE RENDIMIENTO</t>
  </si>
  <si>
    <t>1 M2 DE SOBREPISO</t>
  </si>
  <si>
    <t>SACOS DE CEMENTO</t>
  </si>
  <si>
    <t xml:space="preserve">OXIDO </t>
  </si>
  <si>
    <t>FLEJES PLASTICO  COLOR BLANCO</t>
  </si>
  <si>
    <t>CAJAS DE 100 MTS</t>
  </si>
  <si>
    <t>CAJAS</t>
  </si>
  <si>
    <t>MABLOENCA  SAN FELIX FRENTE A LA BOMBA DE AV. CISNERO TLF : 0286-9748866 / 0286-974,83,22</t>
  </si>
  <si>
    <t>ACRILUM</t>
  </si>
  <si>
    <t xml:space="preserve">FERRETERIA NUMERO 1 </t>
  </si>
  <si>
    <t xml:space="preserve">ASOC.COOPERATIVA MAT. Y CONST. EL TRIUNFO 2006 R.L </t>
  </si>
  <si>
    <t>GRANITOS Y BARANDAS SR. JUAN CARLOS 0424-9062877</t>
  </si>
  <si>
    <t>NO TIENEN</t>
  </si>
  <si>
    <t>NO TINEN</t>
  </si>
  <si>
    <t>UNICAMENTE COLOR VERDE</t>
  </si>
  <si>
    <t>UNICAMENTE COLOR AMARILLO Y NEGRO</t>
  </si>
  <si>
    <t>ESPERANDO COTIZACION</t>
  </si>
  <si>
    <t xml:space="preserve">  </t>
  </si>
  <si>
    <t>Resumen</t>
  </si>
  <si>
    <t>CANTIDAD  DE MATERIAL</t>
  </si>
  <si>
    <t>Planta Baja</t>
  </si>
  <si>
    <t>con desperdicios</t>
  </si>
  <si>
    <t>PARA 19 M2 SE USARON 6 KG DE  AMARILLO Y 4 KG DE NEGRO</t>
  </si>
  <si>
    <t>Amarillo</t>
  </si>
  <si>
    <t>OXIDO AMARILLO</t>
  </si>
  <si>
    <t>Negro</t>
  </si>
  <si>
    <t>OXIDO NEGRO</t>
  </si>
  <si>
    <t>Flejes</t>
  </si>
  <si>
    <t xml:space="preserve">Arena Lavada </t>
  </si>
  <si>
    <t>Sacos de cemento</t>
  </si>
  <si>
    <t>sacos de cemento</t>
  </si>
  <si>
    <t>CERA PARA PULIR 10M2/1LITRO</t>
  </si>
  <si>
    <t>LITROS DE CERA</t>
  </si>
  <si>
    <t>M2 DE AREA PARA CEMENTO PULIDO</t>
  </si>
  <si>
    <t>PB</t>
  </si>
  <si>
    <t>P.A</t>
  </si>
  <si>
    <t>P.A2</t>
  </si>
  <si>
    <t>AMARILLO</t>
  </si>
  <si>
    <t>NEGRO</t>
  </si>
  <si>
    <t>FLEJES</t>
  </si>
  <si>
    <t>KG DE OXIDO X PISO</t>
  </si>
  <si>
    <t>CAJAS FLEJES</t>
  </si>
  <si>
    <t xml:space="preserve">SACOS DE CEMENTO </t>
  </si>
  <si>
    <t>CERA PARA PULIR</t>
  </si>
  <si>
    <t>ak_ruiz@hotmail.com</t>
  </si>
  <si>
    <t>HIERROS SAN FELIX,C.A J-07553534-0 AV. ANTONIO CISNEROS ZONA IND. CHIRICA , SAN FELIX EDO.BOLIVAR TELF: 0286- 7129900</t>
  </si>
  <si>
    <t>VILAS</t>
  </si>
  <si>
    <t>SI POSEEN LAS 14 CAJAS</t>
  </si>
  <si>
    <t>10 KG</t>
  </si>
  <si>
    <t>EXISTENCIA TIENEN 56 KG</t>
  </si>
  <si>
    <t>NO HAY</t>
  </si>
  <si>
    <t>CUÑETE DE CERA PARA PISO</t>
  </si>
  <si>
    <t>TIRROS DE 3/4</t>
  </si>
  <si>
    <t>NOTA : MATERIAL REQUERIDO PARA LOS TRABAJOS DE CEMENTO PULIDO EN EL CENTRO COMERCIAL PALMERAS</t>
  </si>
  <si>
    <t>PRECIOS INCLUYE IVA Y EL MATERIAL SERA ENTREGADO EN PBRA</t>
  </si>
  <si>
    <t>MANO DE OBRA CEMENTO PULIDO</t>
  </si>
  <si>
    <t>COMPRA DE MATERIAL</t>
  </si>
  <si>
    <t>NIVEL PLANTA BAJA   1169,00 M2X5500 = 6,429,500 BSF</t>
  </si>
  <si>
    <t>NIVEL PLANTA ALTA 636 M2 X5500=  3,498,000 BSF</t>
  </si>
  <si>
    <t>NIVEL TERRAZA 60M2 X5500 =    330,000 BSF</t>
  </si>
  <si>
    <t xml:space="preserve">TOTAL CEMENTO PULIDO 1865 M2 = 10,257,500 BSF </t>
  </si>
  <si>
    <t>CENTRO COMERCIAL PALMERAS</t>
  </si>
  <si>
    <t xml:space="preserve">    SI :</t>
  </si>
  <si>
    <t xml:space="preserve">    SI :X</t>
  </si>
  <si>
    <t>CORPORACION CORE 8, C.A, RIF : J-30674281-6, AV. CARACAS UD 321-PARCELA 12-8 PUERTO ORDAZ , EDO BOLIVAR TLF;0414-894,07,09/0286-717,30,36</t>
  </si>
  <si>
    <t>AGREGADO GRUESO</t>
  </si>
  <si>
    <t xml:space="preserve">TRANSPORTE </t>
  </si>
  <si>
    <t>SUB-TOTAL</t>
  </si>
  <si>
    <t>NOTA : MATERIAL REQUERIDO PARA VACIADO DE LOSAS DE ESTACIONAMIENTO</t>
  </si>
  <si>
    <t>NOTA MATERIAL REQUERIDO PARA CONSTRUCCION DE CEMENTO PULI Y PINTURA</t>
  </si>
  <si>
    <t>COOPERATIVAS VILAS</t>
  </si>
  <si>
    <t>INCLUYE TRANSPORTE</t>
  </si>
  <si>
    <t>NO INCLUYE IVA</t>
  </si>
  <si>
    <t>MANO DE OBRA PARA LOS TRABAJOS DE CEMENTO PULIDO EN EL CENTRO COMERCIAL LAS PALMERAS</t>
  </si>
  <si>
    <t>CONSTRUCCION DE PISO PULIDO ( INCLUYE CONSTRUCCION DE SOBREPISO, APLICACIÓN DE OXIDOS Y PULITURA CON MAQUINA, ACABADO FINAL )</t>
  </si>
  <si>
    <t>NOTA : MANO DE OBRA  DE CEMEMTO PULIDO</t>
  </si>
  <si>
    <t>NOTA MATERIAL REQUERIDO PARA CONSTRUCCION DE CEMENTO PULIDO Y PINTURA</t>
  </si>
  <si>
    <t>TANQUE HIDRO-NEUMATICO VERTICAL DE 220 GALONES, DIAMETRO 35", LARGO 2.40 M</t>
  </si>
  <si>
    <t xml:space="preserve">2 BOMBAS CENTRIFUGAS TRIFASICAS DE 2 HP SUCCION Y DESCARGA .MARCA BOMBAAGUA CAPACIDAD DE 7000 LTS/HORA </t>
  </si>
  <si>
    <t>CARGADOR DE AIRE MARCA LUISE,MODELO MAX</t>
  </si>
  <si>
    <t>ACCESORIOS DE AUTOMATIZACION (FLOTADOR ELECTRICO PRESOSTATOS, MANOMETRO Y SUS CONEXIONES)</t>
  </si>
  <si>
    <t>MANO DE OBRA  DE CEMENTO PULIDO</t>
  </si>
  <si>
    <t>FLEJES PLASTICOS DE COLOR BLANCO</t>
  </si>
  <si>
    <t>CERA PARA PULITURA DE PISOS 50 M2/GALON</t>
  </si>
  <si>
    <t>TERRACOTA (LATERAL IZQUIERDO Y POSTERIOR DEL CENTRO COMERCIAL)</t>
  </si>
  <si>
    <t>TERRACOTA  C.C OASIS</t>
  </si>
  <si>
    <t>COLOCACION DE  TERRACOTA</t>
  </si>
  <si>
    <t>MANO DE OBRA DE TERRACOTA</t>
  </si>
  <si>
    <t xml:space="preserve"> REVESTIMIENTO EN COLUMNAS Y PAREDES ACABADO CON FRISO COLOMBIANO</t>
  </si>
  <si>
    <t xml:space="preserve"> REVESTIMIENTO EN MURO PERIMETRAL ACABADO ACABADO CON FRISO COLOMBIANO</t>
  </si>
  <si>
    <t>SAUL PINTO</t>
  </si>
  <si>
    <t>MANO DE OBRA TEXTURIZADO (FRISO COLOMBIANO)</t>
  </si>
  <si>
    <t xml:space="preserve">CEMENTO (FRISO COLOMBIANO) 10 M2 X SACOS </t>
  </si>
  <si>
    <t xml:space="preserve">SUMINISTRO DE PINTURA  INTERNA Y EXTERNA CENTRO COMERCIAL </t>
  </si>
  <si>
    <t>BERALEXA</t>
  </si>
  <si>
    <t>MATERIALES GENERAL</t>
  </si>
  <si>
    <t>EXISTENCIA EN OBRA</t>
  </si>
  <si>
    <t>BONANZA</t>
  </si>
  <si>
    <t>COMPRAR</t>
  </si>
  <si>
    <t>ELECTRIMACTIC</t>
  </si>
  <si>
    <t>CCL</t>
  </si>
  <si>
    <t>FERRETOOLS</t>
  </si>
  <si>
    <t>COMPRA</t>
  </si>
  <si>
    <t>PCO. TOTAL</t>
  </si>
  <si>
    <t>OTRO PTO ORDAZ</t>
  </si>
  <si>
    <t>Poste de tres secciones de 37 pies de 12 mts</t>
  </si>
  <si>
    <t xml:space="preserve">Parrarayo de 12 kv </t>
  </si>
  <si>
    <t>Pletina de 32"</t>
  </si>
  <si>
    <t>Terminal prensado, un hueco, de baja tension, para cable calibre 500MCM.</t>
  </si>
  <si>
    <t>Terminal prensado, un hueco, de baja tension, para cable calibre 250MCM.</t>
  </si>
  <si>
    <t xml:space="preserve"> Barracuda de A.T. para cable #2</t>
  </si>
  <si>
    <t xml:space="preserve"> flejes Metalicos</t>
  </si>
  <si>
    <t xml:space="preserve">Hebillas </t>
  </si>
  <si>
    <t>Tubo Conduit  de acero rígido  o EMT de 3 mts de 1/2"</t>
  </si>
  <si>
    <t>Anillo conduit  1/2""</t>
  </si>
  <si>
    <t>Curva conduit de 1/2"</t>
  </si>
  <si>
    <t>CABLE THW #8 AWG, 600V COLOR  ROJO</t>
  </si>
  <si>
    <t xml:space="preserve"> CABLE THW #6 AWG, 600V COLOR AZUL</t>
  </si>
  <si>
    <t>MATERIALES C.C.L,C.A</t>
  </si>
  <si>
    <t>ELECTRIMATRIC</t>
  </si>
  <si>
    <t>SUMINISTROS Y MATERIALES VIMATEL</t>
  </si>
  <si>
    <t>mercado libre</t>
  </si>
  <si>
    <t>FELICIA BURGOS</t>
  </si>
  <si>
    <t>TECNIN,C.A</t>
  </si>
  <si>
    <t>DIMCA</t>
  </si>
  <si>
    <t>BERALEXA SERVICIOS,C.A J-30963882-3</t>
  </si>
  <si>
    <t>OMAR ALEXIS ORDUÑO MALAVE 0414-8955714</t>
  </si>
  <si>
    <t>ISIDRO MALDONADO</t>
  </si>
  <si>
    <t>MAT CCL</t>
  </si>
  <si>
    <t>WYKY</t>
  </si>
  <si>
    <t>CABLES</t>
  </si>
  <si>
    <t>Cable de cobre,trensado, Revestido, THW, Calibre 12 AWG.(2,32mm)</t>
  </si>
  <si>
    <t>Ml</t>
  </si>
  <si>
    <t>ISIDRO</t>
  </si>
  <si>
    <t>PUERTO ORDAZ SIN TRANS`PORTE</t>
  </si>
  <si>
    <t>Cable de cobre,trensado, Revestido, TW, Calibre 12 AWG.(2,32mm) Verde.</t>
  </si>
  <si>
    <t>AZUL</t>
  </si>
  <si>
    <t>Cable de cobre,trensado, Revestido, THW, Calibre 10 (2,95mm) AWG.</t>
  </si>
  <si>
    <t>ROJO</t>
  </si>
  <si>
    <t>CABLE DE 1 HILO</t>
  </si>
  <si>
    <t>ANZOATEGUI SIN TRANSPORTE</t>
  </si>
  <si>
    <t>Cable de cobre,trensado, Revestido, THW, Calibre 8 (3,71mm)AWG.</t>
  </si>
  <si>
    <t>7 HILOS</t>
  </si>
  <si>
    <t>MARACAY Y VALLES DEL TUY SIN TRANSPORTE</t>
  </si>
  <si>
    <t>Cable de cobre,trensado, Revestido, THW, Calibre 6 (4,67mm) AWG.</t>
  </si>
  <si>
    <t>Cable de cobre,trensado, THW, Calibre 250MCM (14,61mm) AWG.</t>
  </si>
  <si>
    <t>PUERTO ORDAZ CON TRANSPORTE</t>
  </si>
  <si>
    <t xml:space="preserve">Cable de cobre,trensado, Revestido, THW, Calibre 500 MCM.(20,65mm)  o de Aluminio </t>
  </si>
  <si>
    <t>Cable de cobre,trensado, desnudo, Calibre 250MCMAWG.(14,61mm). Puesta a tierra de transformador y malla.</t>
  </si>
  <si>
    <t xml:space="preserve">Cable ARVIDAL: calibre 2 AWG </t>
  </si>
  <si>
    <t>BONANZA C.A.</t>
  </si>
  <si>
    <t>Conductor de 15 kv #2</t>
  </si>
  <si>
    <t>BERALEX (TRANSFORMADOR)</t>
  </si>
  <si>
    <t>CARACAS SIN TRANSPORTE</t>
  </si>
  <si>
    <t>ESTE MATERIAL ESTA EN MARACAY  Y VALLES DEL TUY EL PRECIO NO INCLUYE IVA NI FLETE</t>
  </si>
  <si>
    <t>AVISOS CORPOREOS C.C LAS OASIS</t>
  </si>
  <si>
    <t xml:space="preserve">  C.C OASIS PLAZA </t>
  </si>
  <si>
    <t>U/s</t>
  </si>
  <si>
    <t>SEMANA1</t>
  </si>
  <si>
    <t>SEMANA3</t>
  </si>
  <si>
    <t>SEMANA4</t>
  </si>
  <si>
    <t>SEMANA5</t>
  </si>
  <si>
    <t>SEMANA6</t>
  </si>
  <si>
    <t>SEMANA7</t>
  </si>
  <si>
    <t>SEMANA9</t>
  </si>
  <si>
    <t>SEMANA10</t>
  </si>
  <si>
    <t>SEMANA11</t>
  </si>
  <si>
    <t>SEMANA12</t>
  </si>
  <si>
    <t>SEMANA13</t>
  </si>
  <si>
    <t>SEMANA14</t>
  </si>
  <si>
    <t>SEMANA15</t>
  </si>
  <si>
    <t>SEMANA16</t>
  </si>
  <si>
    <t>SEMANA17</t>
  </si>
  <si>
    <t>SEMANA18</t>
  </si>
  <si>
    <t>JULIO</t>
  </si>
  <si>
    <t>AGOSTO</t>
  </si>
  <si>
    <t>SOBREPISO ESPESOR APROX= 5CM</t>
  </si>
  <si>
    <t>ALQUILER DE MAQUINARIAS (ACARREO DE MATERIALES)</t>
  </si>
  <si>
    <t xml:space="preserve">APROX </t>
  </si>
  <si>
    <t>METYLAN 125 GRAMOS</t>
  </si>
  <si>
    <t>SUM. E INST.CERAMICAS CUARTO DE ADMINISTRACION</t>
  </si>
  <si>
    <t>ANANDA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</si>
</sst>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#,##0.00_ ;[Red]\-#,##0.00\ "/>
    <numFmt numFmtId="165" formatCode="dd\-mm\-yy;@"/>
    <numFmt numFmtId="166" formatCode="#,##0.00_ ;\-#,##0.00\ "/>
    <numFmt numFmtId="167" formatCode="#,##0.00;[Red]#,##0.00"/>
    <numFmt numFmtId="168" formatCode="_-* #,##0.00\ _€_-;\-* #,##0.00\ _€_-;_-* &quot;-&quot;??\ _€_-;_-@_-"/>
    <numFmt numFmtId="169" formatCode="_(* #,##0.00_);_(* \(#,##0.00\);_(* &quot;-&quot;??_);_(@_)"/>
    <numFmt numFmtId="170" formatCode="_ * #,##0_ ;_ * \-#,##0_ ;_ * &quot;-&quot;??_ ;_ @_ "/>
    <numFmt numFmtId="171" formatCode="&quot;Bs. F&quot;\ #,##0.00"/>
    <numFmt numFmtId="172" formatCode="_-* #,##0.00\ _B_s_._F_._-;\-* #,##0.00\ _B_s_._F_._-;_-* &quot;-&quot;??\ _B_s_._F_._-;_-@_-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name val="Arial"/>
      <family val="2"/>
    </font>
    <font>
      <u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Cambria"/>
      <family val="1"/>
      <scheme val="major"/>
    </font>
    <font>
      <sz val="18"/>
      <color theme="1"/>
      <name val="Arial"/>
      <family val="2"/>
    </font>
    <font>
      <sz val="8"/>
      <color theme="1"/>
      <name val="Arial"/>
      <family val="2"/>
    </font>
    <font>
      <b/>
      <sz val="2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6"/>
      <name val="Arial"/>
      <family val="2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name val="Arial"/>
      <family val="2"/>
    </font>
    <font>
      <b/>
      <sz val="12"/>
      <name val="Arial"/>
      <family val="2"/>
    </font>
    <font>
      <sz val="16"/>
      <color theme="1"/>
      <name val="Calibri"/>
      <family val="2"/>
      <scheme val="minor"/>
    </font>
    <font>
      <b/>
      <sz val="14"/>
      <name val="Arial"/>
      <family val="2"/>
    </font>
    <font>
      <b/>
      <sz val="22"/>
      <color theme="1"/>
      <name val="Calibri"/>
      <family val="2"/>
      <scheme val="minor"/>
    </font>
    <font>
      <b/>
      <sz val="16"/>
      <name val="Arial"/>
      <family val="2"/>
    </font>
    <font>
      <b/>
      <sz val="20"/>
      <name val="Arial"/>
      <family val="2"/>
    </font>
    <font>
      <b/>
      <sz val="1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212121"/>
      <name val="Segoe UI"/>
      <family val="2"/>
    </font>
    <font>
      <b/>
      <sz val="11"/>
      <color rgb="FF212121"/>
      <name val="Segoe UI"/>
      <family val="2"/>
    </font>
    <font>
      <sz val="36"/>
      <color theme="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6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b/>
      <sz val="12"/>
      <color rgb="FF00B050"/>
      <name val="Arial"/>
      <family val="2"/>
    </font>
    <font>
      <b/>
      <sz val="16"/>
      <color theme="3"/>
      <name val="Arial"/>
      <family val="2"/>
    </font>
    <font>
      <sz val="14"/>
      <color theme="3"/>
      <name val="Arial"/>
      <family val="2"/>
    </font>
    <font>
      <sz val="14"/>
      <color rgb="FFFF0000"/>
      <name val="Arial"/>
      <family val="2"/>
    </font>
    <font>
      <sz val="12"/>
      <color rgb="FF7030A0"/>
      <name val="Arial"/>
      <family val="2"/>
    </font>
    <font>
      <b/>
      <sz val="12"/>
      <color rgb="FFFF0000"/>
      <name val="Arial"/>
      <family val="2"/>
    </font>
    <font>
      <sz val="18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6"/>
      <color rgb="FFFF0000"/>
      <name val="Arial"/>
      <family val="2"/>
    </font>
    <font>
      <sz val="16"/>
      <color rgb="FF00B0F0"/>
      <name val="Arial"/>
      <family val="2"/>
    </font>
    <font>
      <sz val="12"/>
      <name val="Times New Roman"/>
      <family val="1"/>
    </font>
    <font>
      <sz val="2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66" fillId="0" borderId="0" applyNumberForma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69" fillId="0" borderId="0">
      <alignment vertical="top"/>
    </xf>
    <xf numFmtId="0" fontId="9" fillId="0" borderId="0"/>
  </cellStyleXfs>
  <cellXfs count="2168">
    <xf numFmtId="0" fontId="0" fillId="0" borderId="0" xfId="0"/>
    <xf numFmtId="0" fontId="0" fillId="0" borderId="0" xfId="0" applyAlignment="1">
      <alignment vertical="center" wrapText="1"/>
    </xf>
    <xf numFmtId="0" fontId="0" fillId="0" borderId="10" xfId="0" applyBorder="1"/>
    <xf numFmtId="0" fontId="0" fillId="0" borderId="0" xfId="0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11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2" fillId="0" borderId="16" xfId="1" applyFont="1" applyBorder="1"/>
    <xf numFmtId="43" fontId="2" fillId="0" borderId="6" xfId="1" applyFont="1" applyBorder="1"/>
    <xf numFmtId="43" fontId="0" fillId="0" borderId="17" xfId="1" applyFont="1" applyBorder="1"/>
    <xf numFmtId="43" fontId="0" fillId="0" borderId="12" xfId="1" applyFont="1" applyBorder="1"/>
    <xf numFmtId="43" fontId="2" fillId="0" borderId="0" xfId="1" applyFont="1"/>
    <xf numFmtId="43" fontId="2" fillId="0" borderId="0" xfId="1" applyFont="1" applyBorder="1"/>
    <xf numFmtId="43" fontId="0" fillId="0" borderId="8" xfId="1" applyFont="1" applyBorder="1"/>
    <xf numFmtId="43" fontId="0" fillId="0" borderId="11" xfId="1" applyFont="1" applyBorder="1" applyAlignment="1">
      <alignment vertical="center" wrapText="1"/>
    </xf>
    <xf numFmtId="43" fontId="0" fillId="0" borderId="17" xfId="1" applyFont="1" applyBorder="1" applyAlignment="1">
      <alignment horizontal="center"/>
    </xf>
    <xf numFmtId="43" fontId="0" fillId="0" borderId="18" xfId="1" applyFont="1" applyBorder="1" applyAlignment="1">
      <alignment horizontal="center"/>
    </xf>
    <xf numFmtId="43" fontId="0" fillId="0" borderId="13" xfId="1" applyFont="1" applyBorder="1" applyAlignment="1">
      <alignment horizontal="center"/>
    </xf>
    <xf numFmtId="43" fontId="0" fillId="0" borderId="19" xfId="1" applyFont="1" applyBorder="1" applyAlignment="1">
      <alignment horizontal="center"/>
    </xf>
    <xf numFmtId="43" fontId="0" fillId="0" borderId="11" xfId="1" applyFont="1" applyBorder="1" applyAlignment="1">
      <alignment horizontal="center"/>
    </xf>
    <xf numFmtId="43" fontId="0" fillId="0" borderId="10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14" xfId="1" applyFont="1" applyBorder="1" applyAlignment="1">
      <alignment horizontal="center"/>
    </xf>
    <xf numFmtId="43" fontId="0" fillId="0" borderId="15" xfId="1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43" fontId="2" fillId="0" borderId="12" xfId="1" applyFont="1" applyBorder="1"/>
    <xf numFmtId="43" fontId="6" fillId="0" borderId="13" xfId="1" applyFont="1" applyBorder="1"/>
    <xf numFmtId="43" fontId="2" fillId="0" borderId="10" xfId="1" applyFont="1" applyBorder="1"/>
    <xf numFmtId="43" fontId="2" fillId="0" borderId="11" xfId="1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6" xfId="1" applyFont="1" applyBorder="1"/>
    <xf numFmtId="43" fontId="5" fillId="0" borderId="0" xfId="1" applyFont="1" applyBorder="1" applyAlignment="1">
      <alignment horizontal="center"/>
    </xf>
    <xf numFmtId="43" fontId="0" fillId="0" borderId="0" xfId="0" applyNumberFormat="1"/>
    <xf numFmtId="0" fontId="3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4" fontId="0" fillId="0" borderId="0" xfId="0" applyNumberFormat="1"/>
    <xf numFmtId="0" fontId="0" fillId="0" borderId="26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5" xfId="0" applyBorder="1" applyAlignment="1">
      <alignment horizontal="center"/>
    </xf>
    <xf numFmtId="43" fontId="1" fillId="0" borderId="15" xfId="1" applyFont="1" applyBorder="1"/>
    <xf numFmtId="43" fontId="0" fillId="0" borderId="44" xfId="1" applyFont="1" applyBorder="1"/>
    <xf numFmtId="43" fontId="2" fillId="0" borderId="46" xfId="1" applyFont="1" applyBorder="1"/>
    <xf numFmtId="43" fontId="0" fillId="0" borderId="0" xfId="1" applyFont="1" applyFill="1" applyBorder="1" applyAlignment="1">
      <alignment horizontal="center"/>
    </xf>
    <xf numFmtId="43" fontId="2" fillId="0" borderId="0" xfId="1" applyFont="1" applyBorder="1" applyAlignment="1">
      <alignment horizontal="center"/>
    </xf>
    <xf numFmtId="43" fontId="8" fillId="0" borderId="0" xfId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0" fontId="4" fillId="0" borderId="0" xfId="0" applyFont="1"/>
    <xf numFmtId="0" fontId="0" fillId="0" borderId="8" xfId="0" applyBorder="1"/>
    <xf numFmtId="43" fontId="11" fillId="0" borderId="0" xfId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 vertical="center" wrapText="1"/>
    </xf>
    <xf numFmtId="43" fontId="12" fillId="0" borderId="0" xfId="1" applyFont="1"/>
    <xf numFmtId="43" fontId="12" fillId="0" borderId="0" xfId="1" applyFont="1" applyBorder="1"/>
    <xf numFmtId="0" fontId="12" fillId="0" borderId="0" xfId="0" applyFont="1" applyBorder="1"/>
    <xf numFmtId="0" fontId="0" fillId="0" borderId="47" xfId="0" applyBorder="1" applyAlignment="1">
      <alignment horizontal="center"/>
    </xf>
    <xf numFmtId="4" fontId="7" fillId="0" borderId="0" xfId="0" applyNumberFormat="1" applyFont="1" applyBorder="1" applyAlignment="1">
      <alignment horizontal="center" vertical="center" wrapText="1"/>
    </xf>
    <xf numFmtId="4" fontId="7" fillId="0" borderId="1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4" fontId="5" fillId="0" borderId="0" xfId="0" applyNumberFormat="1" applyFont="1" applyBorder="1" applyAlignment="1">
      <alignment horizontal="left" vertical="center" wrapText="1"/>
    </xf>
    <xf numFmtId="4" fontId="7" fillId="0" borderId="10" xfId="0" applyNumberFormat="1" applyFont="1" applyBorder="1" applyAlignment="1">
      <alignment horizontal="center" vertical="center" wrapText="1"/>
    </xf>
    <xf numFmtId="0" fontId="2" fillId="0" borderId="0" xfId="0" applyFont="1"/>
    <xf numFmtId="4" fontId="12" fillId="3" borderId="26" xfId="0" applyNumberFormat="1" applyFont="1" applyFill="1" applyBorder="1" applyAlignment="1">
      <alignment vertical="center" wrapText="1"/>
    </xf>
    <xf numFmtId="4" fontId="14" fillId="3" borderId="0" xfId="0" applyNumberFormat="1" applyFont="1" applyFill="1" applyBorder="1" applyAlignment="1">
      <alignment vertical="center" wrapText="1"/>
    </xf>
    <xf numFmtId="0" fontId="17" fillId="0" borderId="26" xfId="0" applyFont="1" applyBorder="1" applyAlignment="1">
      <alignment horizontal="center" vertical="center"/>
    </xf>
    <xf numFmtId="4" fontId="14" fillId="0" borderId="26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wrapText="1"/>
    </xf>
    <xf numFmtId="4" fontId="12" fillId="3" borderId="0" xfId="0" applyNumberFormat="1" applyFont="1" applyFill="1" applyBorder="1" applyAlignment="1">
      <alignment vertical="center" wrapText="1"/>
    </xf>
    <xf numFmtId="0" fontId="17" fillId="0" borderId="0" xfId="0" applyFont="1" applyBorder="1" applyAlignment="1">
      <alignment horizontal="center" vertical="center"/>
    </xf>
    <xf numFmtId="4" fontId="14" fillId="0" borderId="0" xfId="0" applyNumberFormat="1" applyFont="1" applyBorder="1" applyAlignment="1">
      <alignment horizontal="center" vertical="center"/>
    </xf>
    <xf numFmtId="4" fontId="14" fillId="0" borderId="0" xfId="0" applyNumberFormat="1" applyFont="1" applyBorder="1" applyAlignment="1">
      <alignment vertical="center"/>
    </xf>
    <xf numFmtId="43" fontId="12" fillId="0" borderId="53" xfId="1" applyFont="1" applyBorder="1" applyAlignment="1">
      <alignment horizontal="center" vertical="center" wrapText="1"/>
    </xf>
    <xf numFmtId="4" fontId="14" fillId="3" borderId="10" xfId="0" applyNumberFormat="1" applyFont="1" applyFill="1" applyBorder="1" applyAlignment="1">
      <alignment vertical="center" wrapText="1"/>
    </xf>
    <xf numFmtId="4" fontId="14" fillId="3" borderId="15" xfId="0" applyNumberFormat="1" applyFont="1" applyFill="1" applyBorder="1" applyAlignment="1">
      <alignment vertical="center" wrapText="1"/>
    </xf>
    <xf numFmtId="4" fontId="14" fillId="0" borderId="6" xfId="0" applyNumberFormat="1" applyFont="1" applyBorder="1" applyAlignment="1">
      <alignment vertical="center"/>
    </xf>
    <xf numFmtId="0" fontId="11" fillId="0" borderId="0" xfId="0" applyFont="1" applyBorder="1" applyAlignment="1">
      <alignment horizontal="center" vertical="center" wrapText="1"/>
    </xf>
    <xf numFmtId="4" fontId="14" fillId="0" borderId="11" xfId="0" applyNumberFormat="1" applyFont="1" applyBorder="1" applyAlignment="1">
      <alignment horizontal="center" vertical="center"/>
    </xf>
    <xf numFmtId="4" fontId="14" fillId="0" borderId="14" xfId="0" applyNumberFormat="1" applyFont="1" applyBorder="1" applyAlignment="1">
      <alignment horizontal="center" vertical="center"/>
    </xf>
    <xf numFmtId="0" fontId="12" fillId="0" borderId="49" xfId="0" applyFont="1" applyBorder="1" applyAlignment="1">
      <alignment horizontal="center"/>
    </xf>
    <xf numFmtId="4" fontId="14" fillId="3" borderId="6" xfId="0" applyNumberFormat="1" applyFont="1" applyFill="1" applyBorder="1" applyAlignment="1">
      <alignment vertical="center" wrapText="1"/>
    </xf>
    <xf numFmtId="4" fontId="14" fillId="3" borderId="0" xfId="0" applyNumberFormat="1" applyFont="1" applyFill="1" applyBorder="1" applyAlignment="1">
      <alignment horizontal="center" vertical="center" wrapText="1"/>
    </xf>
    <xf numFmtId="43" fontId="12" fillId="0" borderId="41" xfId="1" applyFont="1" applyBorder="1" applyAlignment="1">
      <alignment horizontal="center" vertical="center" wrapText="1"/>
    </xf>
    <xf numFmtId="4" fontId="14" fillId="3" borderId="19" xfId="0" applyNumberFormat="1" applyFont="1" applyFill="1" applyBorder="1" applyAlignment="1">
      <alignment vertical="center" wrapText="1"/>
    </xf>
    <xf numFmtId="43" fontId="18" fillId="0" borderId="0" xfId="1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4" fontId="12" fillId="0" borderId="0" xfId="0" applyNumberFormat="1" applyFont="1"/>
    <xf numFmtId="0" fontId="11" fillId="0" borderId="0" xfId="0" applyFont="1" applyBorder="1"/>
    <xf numFmtId="4" fontId="13" fillId="3" borderId="0" xfId="0" applyNumberFormat="1" applyFont="1" applyFill="1" applyBorder="1" applyAlignment="1">
      <alignment vertical="center" wrapText="1"/>
    </xf>
    <xf numFmtId="4" fontId="14" fillId="0" borderId="51" xfId="0" applyNumberFormat="1" applyFont="1" applyBorder="1" applyAlignment="1">
      <alignment horizontal="center" vertical="center"/>
    </xf>
    <xf numFmtId="4" fontId="14" fillId="0" borderId="10" xfId="0" applyNumberFormat="1" applyFont="1" applyBorder="1" applyAlignment="1">
      <alignment horizontal="center" vertical="center"/>
    </xf>
    <xf numFmtId="4" fontId="14" fillId="0" borderId="15" xfId="0" applyNumberFormat="1" applyFont="1" applyBorder="1" applyAlignment="1">
      <alignment horizontal="center" vertical="center"/>
    </xf>
    <xf numFmtId="43" fontId="12" fillId="0" borderId="22" xfId="1" applyFont="1" applyBorder="1" applyAlignment="1">
      <alignment horizontal="center" vertical="center" wrapText="1"/>
    </xf>
    <xf numFmtId="43" fontId="12" fillId="0" borderId="23" xfId="1" applyFont="1" applyBorder="1" applyAlignment="1">
      <alignment horizontal="center" vertical="center" wrapText="1"/>
    </xf>
    <xf numFmtId="0" fontId="12" fillId="0" borderId="10" xfId="0" applyFont="1" applyBorder="1"/>
    <xf numFmtId="0" fontId="12" fillId="0" borderId="19" xfId="0" applyFont="1" applyBorder="1"/>
    <xf numFmtId="4" fontId="14" fillId="3" borderId="6" xfId="0" applyNumberFormat="1" applyFont="1" applyFill="1" applyBorder="1" applyAlignment="1">
      <alignment horizontal="center" vertical="center" wrapText="1"/>
    </xf>
    <xf numFmtId="4" fontId="14" fillId="3" borderId="19" xfId="0" applyNumberFormat="1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4" fontId="14" fillId="0" borderId="12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4" fontId="14" fillId="0" borderId="6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43" fontId="12" fillId="0" borderId="11" xfId="1" applyFont="1" applyBorder="1" applyAlignment="1">
      <alignment horizontal="center" vertical="center" wrapText="1"/>
    </xf>
    <xf numFmtId="43" fontId="12" fillId="0" borderId="10" xfId="1" applyFont="1" applyBorder="1" applyAlignment="1">
      <alignment horizontal="center" vertical="center" wrapText="1"/>
    </xf>
    <xf numFmtId="4" fontId="13" fillId="0" borderId="48" xfId="0" applyNumberFormat="1" applyFont="1" applyBorder="1" applyAlignment="1">
      <alignment horizontal="center" vertical="center"/>
    </xf>
    <xf numFmtId="0" fontId="12" fillId="0" borderId="11" xfId="0" applyFont="1" applyBorder="1"/>
    <xf numFmtId="0" fontId="12" fillId="0" borderId="15" xfId="0" applyFont="1" applyBorder="1"/>
    <xf numFmtId="0" fontId="12" fillId="0" borderId="6" xfId="0" applyFont="1" applyBorder="1"/>
    <xf numFmtId="0" fontId="12" fillId="0" borderId="0" xfId="0" applyFont="1" applyBorder="1" applyAlignment="1"/>
    <xf numFmtId="43" fontId="12" fillId="0" borderId="35" xfId="1" applyFont="1" applyBorder="1" applyAlignment="1">
      <alignment horizontal="center"/>
    </xf>
    <xf numFmtId="43" fontId="21" fillId="0" borderId="35" xfId="1" applyFont="1" applyBorder="1" applyAlignment="1">
      <alignment horizontal="center"/>
    </xf>
    <xf numFmtId="4" fontId="18" fillId="0" borderId="0" xfId="0" applyNumberFormat="1" applyFont="1" applyBorder="1" applyAlignment="1">
      <alignment horizontal="center"/>
    </xf>
    <xf numFmtId="43" fontId="19" fillId="0" borderId="35" xfId="1" applyFont="1" applyBorder="1" applyAlignment="1">
      <alignment horizontal="center"/>
    </xf>
    <xf numFmtId="0" fontId="19" fillId="0" borderId="49" xfId="0" applyFont="1" applyBorder="1" applyAlignment="1">
      <alignment horizontal="center"/>
    </xf>
    <xf numFmtId="0" fontId="11" fillId="0" borderId="17" xfId="0" applyFont="1" applyBorder="1"/>
    <xf numFmtId="0" fontId="11" fillId="0" borderId="16" xfId="0" applyFont="1" applyBorder="1"/>
    <xf numFmtId="0" fontId="11" fillId="0" borderId="18" xfId="0" applyFont="1" applyBorder="1"/>
    <xf numFmtId="4" fontId="18" fillId="3" borderId="48" xfId="0" applyNumberFormat="1" applyFont="1" applyFill="1" applyBorder="1" applyAlignment="1">
      <alignment vertical="center" wrapText="1"/>
    </xf>
    <xf numFmtId="4" fontId="12" fillId="0" borderId="48" xfId="0" applyNumberFormat="1" applyFont="1" applyBorder="1" applyAlignment="1">
      <alignment horizontal="center"/>
    </xf>
    <xf numFmtId="4" fontId="14" fillId="3" borderId="10" xfId="0" applyNumberFormat="1" applyFont="1" applyFill="1" applyBorder="1" applyAlignment="1">
      <alignment horizontal="center" vertical="center" wrapText="1"/>
    </xf>
    <xf numFmtId="4" fontId="14" fillId="0" borderId="19" xfId="0" applyNumberFormat="1" applyFont="1" applyBorder="1" applyAlignment="1">
      <alignment horizontal="center" vertical="center"/>
    </xf>
    <xf numFmtId="43" fontId="12" fillId="0" borderId="6" xfId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0" fillId="0" borderId="4" xfId="0" applyBorder="1"/>
    <xf numFmtId="4" fontId="4" fillId="0" borderId="3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4" fontId="2" fillId="0" borderId="49" xfId="0" applyNumberFormat="1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center" vertical="center" wrapText="1"/>
    </xf>
    <xf numFmtId="0" fontId="0" fillId="0" borderId="27" xfId="0" applyBorder="1"/>
    <xf numFmtId="0" fontId="0" fillId="0" borderId="33" xfId="0" applyBorder="1"/>
    <xf numFmtId="0" fontId="0" fillId="0" borderId="34" xfId="0" applyBorder="1"/>
    <xf numFmtId="0" fontId="0" fillId="0" borderId="26" xfId="0" applyBorder="1" applyAlignment="1">
      <alignment horizontal="left" vertical="center" wrapText="1"/>
    </xf>
    <xf numFmtId="4" fontId="0" fillId="0" borderId="34" xfId="0" applyNumberFormat="1" applyFont="1" applyBorder="1" applyAlignment="1">
      <alignment horizontal="left" vertical="center" wrapText="1"/>
    </xf>
    <xf numFmtId="4" fontId="2" fillId="0" borderId="33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2" fillId="0" borderId="26" xfId="0" applyFont="1" applyBorder="1" applyAlignment="1"/>
    <xf numFmtId="0" fontId="13" fillId="0" borderId="26" xfId="0" applyFont="1" applyBorder="1" applyAlignment="1"/>
    <xf numFmtId="0" fontId="4" fillId="0" borderId="0" xfId="0" applyFont="1" applyBorder="1" applyAlignment="1"/>
    <xf numFmtId="4" fontId="4" fillId="0" borderId="0" xfId="0" applyNumberFormat="1" applyFont="1" applyAlignment="1">
      <alignment horizontal="center"/>
    </xf>
    <xf numFmtId="4" fontId="4" fillId="0" borderId="30" xfId="0" applyNumberFormat="1" applyFont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0" fontId="7" fillId="0" borderId="3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4" fontId="4" fillId="0" borderId="52" xfId="0" applyNumberFormat="1" applyFont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43" fontId="0" fillId="0" borderId="17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0" xfId="0" applyFont="1" applyAlignment="1">
      <alignment horizontal="center"/>
    </xf>
    <xf numFmtId="4" fontId="14" fillId="0" borderId="11" xfId="0" applyNumberFormat="1" applyFont="1" applyBorder="1" applyAlignment="1">
      <alignment horizontal="center" vertical="center"/>
    </xf>
    <xf numFmtId="3" fontId="14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 vertical="center" wrapText="1"/>
    </xf>
    <xf numFmtId="166" fontId="0" fillId="0" borderId="0" xfId="1" applyNumberFormat="1" applyFont="1" applyBorder="1" applyAlignment="1">
      <alignment horizontal="center" vertical="center" wrapText="1"/>
    </xf>
    <xf numFmtId="166" fontId="0" fillId="0" borderId="10" xfId="1" applyNumberFormat="1" applyFont="1" applyBorder="1" applyAlignment="1">
      <alignment horizontal="center" vertical="center" wrapText="1"/>
    </xf>
    <xf numFmtId="166" fontId="0" fillId="0" borderId="11" xfId="1" applyNumberFormat="1" applyFont="1" applyBorder="1" applyAlignment="1">
      <alignment horizontal="center" vertical="center" wrapText="1"/>
    </xf>
    <xf numFmtId="166" fontId="2" fillId="0" borderId="0" xfId="1" applyNumberFormat="1" applyFont="1" applyBorder="1" applyAlignment="1">
      <alignment horizontal="center" vertical="center" wrapText="1"/>
    </xf>
    <xf numFmtId="166" fontId="0" fillId="0" borderId="6" xfId="1" applyNumberFormat="1" applyFont="1" applyBorder="1" applyAlignment="1">
      <alignment horizontal="center" vertical="center" wrapText="1"/>
    </xf>
    <xf numFmtId="43" fontId="2" fillId="0" borderId="48" xfId="1" applyFont="1" applyBorder="1"/>
    <xf numFmtId="43" fontId="2" fillId="0" borderId="14" xfId="1" applyFont="1" applyBorder="1"/>
    <xf numFmtId="0" fontId="0" fillId="0" borderId="12" xfId="0" applyBorder="1" applyAlignment="1">
      <alignment horizontal="center"/>
    </xf>
    <xf numFmtId="43" fontId="2" fillId="0" borderId="19" xfId="1" applyFont="1" applyBorder="1"/>
    <xf numFmtId="43" fontId="2" fillId="0" borderId="17" xfId="1" applyFont="1" applyBorder="1"/>
    <xf numFmtId="43" fontId="2" fillId="0" borderId="18" xfId="1" applyFont="1" applyBorder="1"/>
    <xf numFmtId="166" fontId="0" fillId="0" borderId="12" xfId="1" applyNumberFormat="1" applyFont="1" applyBorder="1" applyAlignment="1">
      <alignment horizontal="center" vertical="center" wrapText="1"/>
    </xf>
    <xf numFmtId="166" fontId="0" fillId="0" borderId="13" xfId="1" applyNumberFormat="1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43" fontId="2" fillId="0" borderId="13" xfId="1" applyFont="1" applyBorder="1" applyAlignment="1">
      <alignment horizontal="center"/>
    </xf>
    <xf numFmtId="43" fontId="2" fillId="0" borderId="12" xfId="1" applyFont="1" applyBorder="1" applyAlignment="1">
      <alignment horizontal="center"/>
    </xf>
    <xf numFmtId="166" fontId="0" fillId="0" borderId="19" xfId="1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43" fontId="0" fillId="0" borderId="0" xfId="1" applyFont="1" applyAlignment="1">
      <alignment vertical="center" wrapText="1"/>
    </xf>
    <xf numFmtId="0" fontId="4" fillId="0" borderId="25" xfId="0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4" fillId="0" borderId="56" xfId="0" applyFont="1" applyBorder="1" applyAlignment="1">
      <alignment horizontal="center"/>
    </xf>
    <xf numFmtId="43" fontId="10" fillId="0" borderId="0" xfId="1" applyFont="1" applyAlignment="1">
      <alignment horizontal="center"/>
    </xf>
    <xf numFmtId="43" fontId="4" fillId="0" borderId="0" xfId="1" applyFont="1"/>
    <xf numFmtId="43" fontId="10" fillId="0" borderId="0" xfId="1" applyFont="1"/>
    <xf numFmtId="0" fontId="0" fillId="0" borderId="0" xfId="0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" fontId="0" fillId="0" borderId="0" xfId="1" applyNumberFormat="1" applyFont="1" applyAlignment="1">
      <alignment horizontal="center" vertical="center" wrapText="1"/>
    </xf>
    <xf numFmtId="4" fontId="0" fillId="0" borderId="10" xfId="1" applyNumberFormat="1" applyFont="1" applyBorder="1" applyAlignment="1">
      <alignment horizontal="center" vertical="center" wrapText="1"/>
    </xf>
    <xf numFmtId="4" fontId="0" fillId="0" borderId="11" xfId="1" applyNumberFormat="1" applyFont="1" applyBorder="1" applyAlignment="1">
      <alignment horizontal="center" vertical="center" wrapText="1"/>
    </xf>
    <xf numFmtId="43" fontId="4" fillId="0" borderId="18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0" fillId="0" borderId="10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4" fontId="0" fillId="0" borderId="15" xfId="1" applyNumberFormat="1" applyFont="1" applyBorder="1" applyAlignment="1">
      <alignment horizontal="center" vertical="center" wrapText="1"/>
    </xf>
    <xf numFmtId="0" fontId="0" fillId="0" borderId="17" xfId="0" applyBorder="1"/>
    <xf numFmtId="0" fontId="0" fillId="0" borderId="16" xfId="0" applyBorder="1" applyAlignment="1">
      <alignment vertical="center" wrapText="1"/>
    </xf>
    <xf numFmtId="0" fontId="0" fillId="0" borderId="16" xfId="0" applyBorder="1"/>
    <xf numFmtId="0" fontId="0" fillId="0" borderId="18" xfId="0" applyBorder="1"/>
    <xf numFmtId="4" fontId="0" fillId="0" borderId="0" xfId="1" applyNumberFormat="1" applyFont="1" applyBorder="1" applyAlignment="1">
      <alignment horizontal="center" vertical="center" wrapText="1"/>
    </xf>
    <xf numFmtId="43" fontId="4" fillId="0" borderId="16" xfId="1" applyFont="1" applyBorder="1" applyAlignment="1">
      <alignment horizontal="center" vertical="center"/>
    </xf>
    <xf numFmtId="43" fontId="2" fillId="0" borderId="50" xfId="1" applyFont="1" applyBorder="1"/>
    <xf numFmtId="0" fontId="4" fillId="0" borderId="1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4" fontId="0" fillId="0" borderId="18" xfId="1" applyNumberFormat="1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/>
    </xf>
    <xf numFmtId="4" fontId="14" fillId="3" borderId="12" xfId="0" applyNumberFormat="1" applyFont="1" applyFill="1" applyBorder="1" applyAlignment="1">
      <alignment horizontal="center" vertical="center" wrapText="1"/>
    </xf>
    <xf numFmtId="4" fontId="14" fillId="3" borderId="11" xfId="0" applyNumberFormat="1" applyFont="1" applyFill="1" applyBorder="1" applyAlignment="1">
      <alignment horizontal="center" vertical="center" wrapText="1"/>
    </xf>
    <xf numFmtId="4" fontId="14" fillId="3" borderId="14" xfId="0" applyNumberFormat="1" applyFont="1" applyFill="1" applyBorder="1" applyAlignment="1">
      <alignment horizontal="center" vertical="center" wrapText="1"/>
    </xf>
    <xf numFmtId="4" fontId="5" fillId="0" borderId="0" xfId="0" applyNumberFormat="1" applyFont="1" applyFill="1" applyBorder="1" applyAlignment="1">
      <alignment horizontal="center" vertical="center" wrapText="1"/>
    </xf>
    <xf numFmtId="0" fontId="0" fillId="0" borderId="19" xfId="0" applyFont="1" applyBorder="1"/>
    <xf numFmtId="0" fontId="0" fillId="0" borderId="13" xfId="0" applyFont="1" applyBorder="1"/>
    <xf numFmtId="4" fontId="7" fillId="0" borderId="0" xfId="0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4" fontId="7" fillId="0" borderId="10" xfId="0" applyNumberFormat="1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4" fontId="7" fillId="0" borderId="15" xfId="0" applyNumberFormat="1" applyFont="1" applyFill="1" applyBorder="1" applyAlignment="1">
      <alignment horizontal="center" vertical="center" wrapText="1"/>
    </xf>
    <xf numFmtId="43" fontId="4" fillId="0" borderId="15" xfId="1" applyFont="1" applyBorder="1" applyAlignment="1">
      <alignment horizontal="center" vertical="center"/>
    </xf>
    <xf numFmtId="43" fontId="4" fillId="0" borderId="6" xfId="1" applyFont="1" applyBorder="1" applyAlignment="1">
      <alignment horizontal="center" vertical="center"/>
    </xf>
    <xf numFmtId="4" fontId="0" fillId="0" borderId="6" xfId="1" applyNumberFormat="1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/>
    </xf>
    <xf numFmtId="43" fontId="12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0" xfId="0" applyFont="1" applyBorder="1" applyAlignment="1">
      <alignment horizontal="center"/>
    </xf>
    <xf numFmtId="43" fontId="0" fillId="0" borderId="0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" fontId="14" fillId="0" borderId="11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4" fontId="0" fillId="0" borderId="13" xfId="0" applyNumberForma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4" fontId="7" fillId="0" borderId="10" xfId="0" applyNumberFormat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4" fontId="2" fillId="0" borderId="11" xfId="1" applyNumberFormat="1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3" fontId="4" fillId="0" borderId="48" xfId="1" applyFont="1" applyBorder="1" applyAlignment="1">
      <alignment horizontal="center" vertical="center"/>
    </xf>
    <xf numFmtId="0" fontId="4" fillId="0" borderId="47" xfId="0" applyFont="1" applyBorder="1" applyAlignment="1">
      <alignment horizontal="center"/>
    </xf>
    <xf numFmtId="0" fontId="7" fillId="0" borderId="0" xfId="0" applyFont="1" applyBorder="1"/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43" fontId="1" fillId="0" borderId="17" xfId="1" applyFont="1" applyBorder="1"/>
    <xf numFmtId="4" fontId="1" fillId="0" borderId="11" xfId="1" applyNumberFormat="1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/>
    </xf>
    <xf numFmtId="0" fontId="24" fillId="0" borderId="18" xfId="0" applyFont="1" applyBorder="1" applyAlignment="1"/>
    <xf numFmtId="0" fontId="24" fillId="0" borderId="17" xfId="0" applyFont="1" applyBorder="1" applyAlignment="1">
      <alignment horizontal="center"/>
    </xf>
    <xf numFmtId="0" fontId="0" fillId="0" borderId="19" xfId="0" applyFont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0" fillId="0" borderId="50" xfId="0" applyBorder="1" applyAlignment="1">
      <alignment horizontal="center"/>
    </xf>
    <xf numFmtId="4" fontId="0" fillId="0" borderId="51" xfId="1" applyNumberFormat="1" applyFont="1" applyBorder="1" applyAlignment="1">
      <alignment horizontal="center" vertical="center" wrapText="1"/>
    </xf>
    <xf numFmtId="4" fontId="1" fillId="0" borderId="51" xfId="1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/>
    </xf>
    <xf numFmtId="4" fontId="0" fillId="0" borderId="51" xfId="0" applyNumberFormat="1" applyBorder="1" applyAlignment="1">
      <alignment horizontal="center"/>
    </xf>
    <xf numFmtId="4" fontId="0" fillId="0" borderId="17" xfId="1" applyNumberFormat="1" applyFont="1" applyBorder="1" applyAlignment="1">
      <alignment horizontal="center" vertical="center" wrapText="1"/>
    </xf>
    <xf numFmtId="43" fontId="1" fillId="0" borderId="16" xfId="1" applyFont="1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 wrapText="1"/>
    </xf>
    <xf numFmtId="43" fontId="12" fillId="0" borderId="19" xfId="1" applyFont="1" applyBorder="1" applyAlignment="1">
      <alignment horizontal="center" vertical="center" wrapText="1"/>
    </xf>
    <xf numFmtId="4" fontId="13" fillId="3" borderId="0" xfId="0" applyNumberFormat="1" applyFont="1" applyFill="1" applyBorder="1" applyAlignment="1">
      <alignment horizontal="center" vertical="center" wrapText="1"/>
    </xf>
    <xf numFmtId="4" fontId="14" fillId="0" borderId="19" xfId="0" applyNumberFormat="1" applyFont="1" applyBorder="1" applyAlignment="1">
      <alignment vertical="center"/>
    </xf>
    <xf numFmtId="4" fontId="13" fillId="3" borderId="11" xfId="0" applyNumberFormat="1" applyFont="1" applyFill="1" applyBorder="1" applyAlignment="1">
      <alignment horizontal="center" vertical="center" wrapText="1"/>
    </xf>
    <xf numFmtId="4" fontId="13" fillId="3" borderId="51" xfId="0" applyNumberFormat="1" applyFont="1" applyFill="1" applyBorder="1" applyAlignment="1">
      <alignment vertical="center" wrapText="1"/>
    </xf>
    <xf numFmtId="4" fontId="13" fillId="3" borderId="50" xfId="0" applyNumberFormat="1" applyFont="1" applyFill="1" applyBorder="1" applyAlignment="1">
      <alignment vertical="center" wrapText="1"/>
    </xf>
    <xf numFmtId="43" fontId="12" fillId="0" borderId="1" xfId="1" applyFont="1" applyBorder="1" applyAlignment="1">
      <alignment horizontal="center" vertical="center" wrapText="1"/>
    </xf>
    <xf numFmtId="4" fontId="13" fillId="3" borderId="11" xfId="0" applyNumberFormat="1" applyFont="1" applyFill="1" applyBorder="1" applyAlignment="1">
      <alignment vertical="center" wrapText="1"/>
    </xf>
    <xf numFmtId="0" fontId="12" fillId="0" borderId="43" xfId="0" applyFont="1" applyBorder="1" applyAlignment="1">
      <alignment horizontal="center"/>
    </xf>
    <xf numFmtId="0" fontId="5" fillId="0" borderId="0" xfId="0" applyFont="1"/>
    <xf numFmtId="0" fontId="11" fillId="5" borderId="1" xfId="0" applyFont="1" applyFill="1" applyBorder="1" applyAlignment="1">
      <alignment horizontal="center"/>
    </xf>
    <xf numFmtId="0" fontId="11" fillId="5" borderId="26" xfId="0" applyFont="1" applyFill="1" applyBorder="1" applyAlignment="1">
      <alignment horizontal="center"/>
    </xf>
    <xf numFmtId="0" fontId="11" fillId="5" borderId="26" xfId="0" applyFont="1" applyFill="1" applyBorder="1" applyAlignment="1">
      <alignment horizontal="center" wrapText="1"/>
    </xf>
    <xf numFmtId="0" fontId="11" fillId="5" borderId="27" xfId="0" applyFont="1" applyFill="1" applyBorder="1" applyAlignment="1">
      <alignment horizontal="center"/>
    </xf>
    <xf numFmtId="0" fontId="11" fillId="5" borderId="53" xfId="0" applyFont="1" applyFill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167" fontId="0" fillId="0" borderId="30" xfId="0" applyNumberFormat="1" applyBorder="1" applyAlignment="1">
      <alignment horizontal="center" vertical="center"/>
    </xf>
    <xf numFmtId="167" fontId="0" fillId="0" borderId="26" xfId="0" applyNumberFormat="1" applyBorder="1" applyAlignment="1">
      <alignment horizontal="center" vertical="center"/>
    </xf>
    <xf numFmtId="4" fontId="0" fillId="0" borderId="3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7" fontId="0" fillId="0" borderId="24" xfId="0" applyNumberFormat="1" applyBorder="1" applyAlignment="1">
      <alignment horizontal="center" vertical="center" wrapText="1"/>
    </xf>
    <xf numFmtId="167" fontId="0" fillId="0" borderId="28" xfId="0" applyNumberFormat="1" applyBorder="1"/>
    <xf numFmtId="167" fontId="0" fillId="0" borderId="26" xfId="0" applyNumberFormat="1" applyBorder="1"/>
    <xf numFmtId="167" fontId="0" fillId="2" borderId="26" xfId="0" applyNumberFormat="1" applyFill="1" applyBorder="1" applyAlignment="1">
      <alignment horizontal="center" vertical="center"/>
    </xf>
    <xf numFmtId="167" fontId="0" fillId="0" borderId="28" xfId="0" applyNumberFormat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2" borderId="24" xfId="0" applyNumberFormat="1" applyFill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7" fontId="0" fillId="0" borderId="27" xfId="0" applyNumberFormat="1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167" fontId="0" fillId="2" borderId="30" xfId="0" applyNumberFormat="1" applyFill="1" applyBorder="1" applyAlignment="1">
      <alignment horizontal="center" vertical="center"/>
    </xf>
    <xf numFmtId="164" fontId="0" fillId="0" borderId="30" xfId="4" applyNumberFormat="1" applyFont="1" applyBorder="1" applyAlignment="1">
      <alignment horizontal="center" vertical="center"/>
    </xf>
    <xf numFmtId="0" fontId="0" fillId="0" borderId="3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7" fillId="0" borderId="0" xfId="0" applyFont="1"/>
    <xf numFmtId="4" fontId="15" fillId="0" borderId="0" xfId="2" applyNumberFormat="1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4" fontId="15" fillId="0" borderId="0" xfId="2" applyNumberFormat="1" applyFont="1" applyAlignment="1">
      <alignment horizontal="center" vertical="center" wrapText="1"/>
    </xf>
    <xf numFmtId="0" fontId="15" fillId="0" borderId="26" xfId="2" applyFont="1" applyFill="1" applyBorder="1" applyAlignment="1" applyProtection="1">
      <alignment horizontal="left" vertical="center" wrapText="1"/>
      <protection locked="0"/>
    </xf>
    <xf numFmtId="1" fontId="15" fillId="0" borderId="26" xfId="2" applyNumberFormat="1" applyFont="1" applyBorder="1" applyAlignment="1">
      <alignment horizontal="center" vertical="center"/>
    </xf>
    <xf numFmtId="4" fontId="15" fillId="0" borderId="26" xfId="2" applyNumberFormat="1" applyFont="1" applyBorder="1" applyAlignment="1">
      <alignment horizontal="center" vertical="center"/>
    </xf>
    <xf numFmtId="4" fontId="15" fillId="0" borderId="27" xfId="2" applyNumberFormat="1" applyFont="1" applyBorder="1" applyAlignment="1">
      <alignment horizontal="center" vertical="center"/>
    </xf>
    <xf numFmtId="4" fontId="29" fillId="4" borderId="48" xfId="2" applyNumberFormat="1" applyFont="1" applyFill="1" applyBorder="1" applyAlignment="1">
      <alignment horizontal="center" vertical="center"/>
    </xf>
    <xf numFmtId="4" fontId="15" fillId="0" borderId="29" xfId="2" applyNumberFormat="1" applyFont="1" applyBorder="1" applyAlignment="1">
      <alignment horizontal="center" vertical="center"/>
    </xf>
    <xf numFmtId="4" fontId="15" fillId="0" borderId="26" xfId="2" applyNumberFormat="1" applyFont="1" applyFill="1" applyBorder="1" applyAlignment="1">
      <alignment horizontal="center" vertical="center"/>
    </xf>
    <xf numFmtId="4" fontId="15" fillId="0" borderId="53" xfId="2" applyNumberFormat="1" applyFont="1" applyBorder="1" applyAlignment="1">
      <alignment horizontal="center" vertical="center"/>
    </xf>
    <xf numFmtId="4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center" vertical="center"/>
    </xf>
    <xf numFmtId="4" fontId="15" fillId="0" borderId="30" xfId="2" applyNumberFormat="1" applyFont="1" applyBorder="1" applyAlignment="1">
      <alignment horizontal="center" vertical="center"/>
    </xf>
    <xf numFmtId="1" fontId="15" fillId="0" borderId="26" xfId="2" applyNumberFormat="1" applyFont="1" applyFill="1" applyBorder="1" applyAlignment="1" applyProtection="1">
      <alignment horizontal="center" vertical="center"/>
      <protection locked="0"/>
    </xf>
    <xf numFmtId="1" fontId="12" fillId="0" borderId="26" xfId="0" applyNumberFormat="1" applyFont="1" applyBorder="1" applyAlignment="1">
      <alignment horizontal="center" vertical="center"/>
    </xf>
    <xf numFmtId="4" fontId="15" fillId="0" borderId="1" xfId="2" applyNumberFormat="1" applyFont="1" applyBorder="1" applyAlignment="1">
      <alignment horizontal="center" vertical="center"/>
    </xf>
    <xf numFmtId="4" fontId="15" fillId="0" borderId="3" xfId="2" applyNumberFormat="1" applyFont="1" applyBorder="1" applyAlignment="1">
      <alignment horizontal="center" vertical="center"/>
    </xf>
    <xf numFmtId="4" fontId="29" fillId="4" borderId="17" xfId="2" applyNumberFormat="1" applyFont="1" applyFill="1" applyBorder="1" applyAlignment="1">
      <alignment horizontal="center" vertical="center"/>
    </xf>
    <xf numFmtId="0" fontId="29" fillId="0" borderId="26" xfId="2" applyFont="1" applyFill="1" applyBorder="1" applyAlignment="1" applyProtection="1">
      <alignment horizontal="left" vertical="center" wrapText="1"/>
      <protection locked="0"/>
    </xf>
    <xf numFmtId="0" fontId="11" fillId="0" borderId="26" xfId="0" applyFont="1" applyFill="1" applyBorder="1" applyAlignment="1">
      <alignment horizontal="left" vertical="center" wrapText="1"/>
    </xf>
    <xf numFmtId="4" fontId="29" fillId="4" borderId="50" xfId="2" applyNumberFormat="1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left" vertical="center" wrapText="1"/>
    </xf>
    <xf numFmtId="1" fontId="12" fillId="2" borderId="26" xfId="0" applyNumberFormat="1" applyFont="1" applyFill="1" applyBorder="1" applyAlignment="1">
      <alignment horizontal="center" vertical="center"/>
    </xf>
    <xf numFmtId="4" fontId="15" fillId="2" borderId="26" xfId="2" applyNumberFormat="1" applyFont="1" applyFill="1" applyBorder="1" applyAlignment="1">
      <alignment horizontal="center" vertical="center"/>
    </xf>
    <xf numFmtId="4" fontId="15" fillId="2" borderId="1" xfId="2" applyNumberFormat="1" applyFont="1" applyFill="1" applyBorder="1" applyAlignment="1">
      <alignment horizontal="center" vertical="center"/>
    </xf>
    <xf numFmtId="4" fontId="29" fillId="2" borderId="48" xfId="2" applyNumberFormat="1" applyFont="1" applyFill="1" applyBorder="1" applyAlignment="1">
      <alignment horizontal="center" vertical="center"/>
    </xf>
    <xf numFmtId="4" fontId="15" fillId="2" borderId="29" xfId="2" applyNumberFormat="1" applyFont="1" applyFill="1" applyBorder="1" applyAlignment="1">
      <alignment horizontal="center" vertical="center"/>
    </xf>
    <xf numFmtId="4" fontId="15" fillId="2" borderId="30" xfId="2" applyNumberFormat="1" applyFont="1" applyFill="1" applyBorder="1" applyAlignment="1">
      <alignment horizontal="center" vertical="center"/>
    </xf>
    <xf numFmtId="4" fontId="29" fillId="2" borderId="26" xfId="2" applyNumberFormat="1" applyFont="1" applyFill="1" applyBorder="1" applyAlignment="1">
      <alignment horizontal="center" vertical="center"/>
    </xf>
    <xf numFmtId="4" fontId="15" fillId="2" borderId="27" xfId="2" applyNumberFormat="1" applyFont="1" applyFill="1" applyBorder="1" applyAlignment="1">
      <alignment horizontal="center" vertical="center"/>
    </xf>
    <xf numFmtId="4" fontId="15" fillId="2" borderId="9" xfId="2" applyNumberFormat="1" applyFont="1" applyFill="1" applyBorder="1" applyAlignment="1">
      <alignment horizontal="center" vertical="center"/>
    </xf>
    <xf numFmtId="4" fontId="15" fillId="2" borderId="3" xfId="2" applyNumberFormat="1" applyFont="1" applyFill="1" applyBorder="1" applyAlignment="1">
      <alignment horizontal="center" vertical="center"/>
    </xf>
    <xf numFmtId="4" fontId="15" fillId="2" borderId="53" xfId="2" applyNumberFormat="1" applyFont="1" applyFill="1" applyBorder="1" applyAlignment="1">
      <alignment horizontal="center" vertical="center"/>
    </xf>
    <xf numFmtId="4" fontId="29" fillId="2" borderId="53" xfId="2" applyNumberFormat="1" applyFont="1" applyFill="1" applyBorder="1" applyAlignment="1">
      <alignment horizontal="center" vertical="center"/>
    </xf>
    <xf numFmtId="4" fontId="29" fillId="2" borderId="17" xfId="2" applyNumberFormat="1" applyFont="1" applyFill="1" applyBorder="1" applyAlignment="1">
      <alignment horizontal="center" vertical="center"/>
    </xf>
    <xf numFmtId="4" fontId="15" fillId="0" borderId="5" xfId="2" applyNumberFormat="1" applyFont="1" applyBorder="1" applyAlignment="1">
      <alignment horizontal="center" vertical="center"/>
    </xf>
    <xf numFmtId="4" fontId="15" fillId="6" borderId="26" xfId="2" applyNumberFormat="1" applyFont="1" applyFill="1" applyBorder="1" applyAlignment="1">
      <alignment horizontal="center" vertical="center"/>
    </xf>
    <xf numFmtId="4" fontId="29" fillId="6" borderId="26" xfId="2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5" fillId="10" borderId="26" xfId="2" applyFont="1" applyFill="1" applyBorder="1" applyAlignment="1">
      <alignment horizontal="center" vertical="center" wrapText="1"/>
    </xf>
    <xf numFmtId="0" fontId="15" fillId="10" borderId="53" xfId="2" applyFont="1" applyFill="1" applyBorder="1" applyAlignment="1">
      <alignment horizontal="center" vertical="center" wrapText="1"/>
    </xf>
    <xf numFmtId="4" fontId="15" fillId="10" borderId="26" xfId="2" applyNumberFormat="1" applyFont="1" applyFill="1" applyBorder="1" applyAlignment="1">
      <alignment horizontal="center" vertical="center" wrapText="1"/>
    </xf>
    <xf numFmtId="4" fontId="15" fillId="11" borderId="26" xfId="2" applyNumberFormat="1" applyFont="1" applyFill="1" applyBorder="1" applyAlignment="1">
      <alignment horizontal="center" vertical="center"/>
    </xf>
    <xf numFmtId="4" fontId="31" fillId="11" borderId="26" xfId="2" applyNumberFormat="1" applyFont="1" applyFill="1" applyBorder="1" applyAlignment="1">
      <alignment horizontal="center" vertical="center"/>
    </xf>
    <xf numFmtId="4" fontId="15" fillId="0" borderId="28" xfId="2" applyNumberFormat="1" applyFont="1" applyBorder="1" applyAlignment="1">
      <alignment horizontal="center" vertical="center"/>
    </xf>
    <xf numFmtId="4" fontId="29" fillId="4" borderId="27" xfId="2" applyNumberFormat="1" applyFont="1" applyFill="1" applyBorder="1" applyAlignment="1">
      <alignment horizontal="center" vertical="center"/>
    </xf>
    <xf numFmtId="0" fontId="15" fillId="10" borderId="27" xfId="2" applyFont="1" applyFill="1" applyBorder="1" applyAlignment="1">
      <alignment horizontal="center" vertical="center" wrapText="1"/>
    </xf>
    <xf numFmtId="4" fontId="29" fillId="6" borderId="27" xfId="2" applyNumberFormat="1" applyFont="1" applyFill="1" applyBorder="1" applyAlignment="1">
      <alignment horizontal="center" vertical="center"/>
    </xf>
    <xf numFmtId="0" fontId="6" fillId="8" borderId="60" xfId="0" applyFont="1" applyFill="1" applyBorder="1" applyAlignment="1">
      <alignment horizontal="center" vertical="center" wrapText="1"/>
    </xf>
    <xf numFmtId="4" fontId="7" fillId="0" borderId="0" xfId="0" applyNumberFormat="1" applyFont="1" applyBorder="1" applyAlignment="1">
      <alignment vertical="center"/>
    </xf>
    <xf numFmtId="0" fontId="7" fillId="0" borderId="10" xfId="0" applyFont="1" applyBorder="1"/>
    <xf numFmtId="1" fontId="7" fillId="0" borderId="11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4" fontId="31" fillId="11" borderId="61" xfId="2" applyNumberFormat="1" applyFont="1" applyFill="1" applyBorder="1" applyAlignment="1">
      <alignment horizontal="center" vertical="center"/>
    </xf>
    <xf numFmtId="4" fontId="7" fillId="0" borderId="12" xfId="0" applyNumberFormat="1" applyFont="1" applyBorder="1" applyAlignment="1">
      <alignment horizontal="center" vertical="center"/>
    </xf>
    <xf numFmtId="4" fontId="7" fillId="0" borderId="19" xfId="0" applyNumberFormat="1" applyFont="1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/>
    </xf>
    <xf numFmtId="4" fontId="4" fillId="8" borderId="48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25" fillId="0" borderId="0" xfId="2" applyFont="1" applyFill="1" applyBorder="1" applyAlignment="1" applyProtection="1">
      <alignment horizontal="left" vertical="center" wrapText="1"/>
      <protection locked="0"/>
    </xf>
    <xf numFmtId="4" fontId="25" fillId="0" borderId="0" xfId="2" applyNumberFormat="1" applyFont="1" applyFill="1" applyBorder="1" applyAlignment="1">
      <alignment horizontal="center" vertical="center"/>
    </xf>
    <xf numFmtId="4" fontId="28" fillId="0" borderId="0" xfId="2" applyNumberFormat="1" applyFont="1" applyFill="1" applyBorder="1" applyAlignment="1">
      <alignment horizontal="center" vertical="center"/>
    </xf>
    <xf numFmtId="4" fontId="25" fillId="0" borderId="0" xfId="2" applyNumberFormat="1" applyFont="1" applyFill="1" applyBorder="1" applyAlignment="1">
      <alignment horizontal="left" vertical="center" wrapText="1"/>
    </xf>
    <xf numFmtId="4" fontId="25" fillId="0" borderId="0" xfId="2" applyNumberFormat="1" applyFont="1" applyFill="1" applyBorder="1"/>
    <xf numFmtId="0" fontId="25" fillId="0" borderId="0" xfId="2" applyFont="1" applyFill="1" applyBorder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4" fontId="26" fillId="0" borderId="0" xfId="0" applyNumberFormat="1" applyFont="1" applyFill="1" applyBorder="1"/>
    <xf numFmtId="0" fontId="0" fillId="0" borderId="0" xfId="0" applyFill="1" applyBorder="1"/>
    <xf numFmtId="4" fontId="25" fillId="0" borderId="0" xfId="2" applyNumberFormat="1" applyFont="1" applyFill="1" applyBorder="1" applyAlignment="1">
      <alignment horizontal="center" vertical="center" wrapText="1"/>
    </xf>
    <xf numFmtId="0" fontId="25" fillId="0" borderId="0" xfId="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" fontId="27" fillId="0" borderId="0" xfId="0" applyNumberFormat="1" applyFont="1" applyFill="1" applyBorder="1" applyAlignment="1">
      <alignment horizontal="center" vertical="center" wrapText="1"/>
    </xf>
    <xf numFmtId="1" fontId="25" fillId="0" borderId="0" xfId="2" applyNumberFormat="1" applyFont="1" applyFill="1" applyBorder="1" applyAlignment="1">
      <alignment horizontal="center" vertical="center"/>
    </xf>
    <xf numFmtId="4" fontId="27" fillId="0" borderId="0" xfId="0" applyNumberFormat="1" applyFont="1" applyFill="1" applyBorder="1" applyAlignment="1">
      <alignment vertical="center"/>
    </xf>
    <xf numFmtId="1" fontId="27" fillId="0" borderId="0" xfId="0" applyNumberFormat="1" applyFont="1" applyFill="1" applyBorder="1" applyAlignment="1">
      <alignment horizontal="center" vertical="center"/>
    </xf>
    <xf numFmtId="4" fontId="34" fillId="0" borderId="0" xfId="2" applyNumberFormat="1" applyFont="1" applyFill="1" applyBorder="1" applyAlignment="1">
      <alignment horizontal="center" vertical="center"/>
    </xf>
    <xf numFmtId="4" fontId="34" fillId="5" borderId="26" xfId="2" applyNumberFormat="1" applyFont="1" applyFill="1" applyBorder="1" applyAlignment="1">
      <alignment horizontal="center" vertical="center"/>
    </xf>
    <xf numFmtId="4" fontId="7" fillId="0" borderId="39" xfId="0" applyNumberFormat="1" applyFont="1" applyBorder="1" applyAlignment="1">
      <alignment horizontal="center" vertical="center"/>
    </xf>
    <xf numFmtId="4" fontId="15" fillId="0" borderId="8" xfId="2" applyNumberFormat="1" applyFont="1" applyBorder="1" applyAlignment="1">
      <alignment horizontal="center" vertical="center"/>
    </xf>
    <xf numFmtId="4" fontId="4" fillId="0" borderId="1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0" fillId="0" borderId="0" xfId="0" applyFont="1"/>
    <xf numFmtId="0" fontId="12" fillId="0" borderId="3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7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4" fontId="3" fillId="0" borderId="0" xfId="0" applyNumberFormat="1" applyFont="1" applyBorder="1" applyAlignment="1">
      <alignment vertical="center" wrapText="1"/>
    </xf>
    <xf numFmtId="4" fontId="3" fillId="0" borderId="0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4" fontId="3" fillId="0" borderId="26" xfId="0" applyNumberFormat="1" applyFont="1" applyBorder="1" applyAlignment="1">
      <alignment horizontal="center" vertical="center" wrapText="1"/>
    </xf>
    <xf numFmtId="4" fontId="3" fillId="0" borderId="27" xfId="0" applyNumberFormat="1" applyFont="1" applyBorder="1" applyAlignment="1">
      <alignment horizontal="center" vertical="center" wrapText="1"/>
    </xf>
    <xf numFmtId="4" fontId="3" fillId="0" borderId="21" xfId="0" applyNumberFormat="1" applyFont="1" applyBorder="1" applyAlignment="1">
      <alignment horizontal="center" vertical="center" wrapText="1"/>
    </xf>
    <xf numFmtId="4" fontId="3" fillId="0" borderId="22" xfId="0" applyNumberFormat="1" applyFont="1" applyBorder="1" applyAlignment="1">
      <alignment horizontal="center" vertical="center" wrapText="1"/>
    </xf>
    <xf numFmtId="4" fontId="3" fillId="0" borderId="23" xfId="0" applyNumberFormat="1" applyFont="1" applyBorder="1" applyAlignment="1">
      <alignment horizontal="center" vertical="center" wrapText="1"/>
    </xf>
    <xf numFmtId="3" fontId="7" fillId="0" borderId="26" xfId="0" applyNumberFormat="1" applyFont="1" applyBorder="1" applyAlignment="1">
      <alignment horizontal="center" vertical="center" wrapText="1"/>
    </xf>
    <xf numFmtId="4" fontId="7" fillId="0" borderId="26" xfId="0" applyNumberFormat="1" applyFont="1" applyBorder="1" applyAlignment="1">
      <alignment horizontal="center" vertical="center" wrapText="1"/>
    </xf>
    <xf numFmtId="4" fontId="7" fillId="0" borderId="27" xfId="0" applyNumberFormat="1" applyFont="1" applyBorder="1" applyAlignment="1">
      <alignment horizontal="center" vertical="center" wrapText="1"/>
    </xf>
    <xf numFmtId="4" fontId="7" fillId="0" borderId="12" xfId="0" applyNumberFormat="1" applyFont="1" applyBorder="1" applyAlignment="1">
      <alignment horizontal="center" vertical="center" wrapText="1"/>
    </xf>
    <xf numFmtId="4" fontId="7" fillId="0" borderId="19" xfId="0" applyNumberFormat="1" applyFont="1" applyBorder="1" applyAlignment="1">
      <alignment horizontal="center" vertical="center" wrapText="1"/>
    </xf>
    <xf numFmtId="4" fontId="0" fillId="0" borderId="13" xfId="0" applyNumberFormat="1" applyFont="1" applyBorder="1" applyAlignment="1">
      <alignment horizontal="center" vertical="center" wrapText="1"/>
    </xf>
    <xf numFmtId="4" fontId="5" fillId="0" borderId="19" xfId="0" applyNumberFormat="1" applyFont="1" applyBorder="1" applyAlignment="1">
      <alignment horizontal="center" vertical="center" wrapText="1"/>
    </xf>
    <xf numFmtId="4" fontId="0" fillId="0" borderId="19" xfId="0" applyNumberFormat="1" applyFont="1" applyBorder="1" applyAlignment="1">
      <alignment horizontal="center" vertical="center" wrapText="1"/>
    </xf>
    <xf numFmtId="4" fontId="5" fillId="0" borderId="12" xfId="0" applyNumberFormat="1" applyFont="1" applyBorder="1" applyAlignment="1">
      <alignment horizontal="center" vertical="center" wrapText="1"/>
    </xf>
    <xf numFmtId="4" fontId="7" fillId="0" borderId="13" xfId="0" applyNumberFormat="1" applyFont="1" applyBorder="1" applyAlignment="1">
      <alignment horizontal="center" vertical="center" wrapText="1"/>
    </xf>
    <xf numFmtId="4" fontId="7" fillId="0" borderId="11" xfId="0" applyNumberFormat="1" applyFont="1" applyBorder="1" applyAlignment="1">
      <alignment horizontal="center" vertical="center" wrapText="1"/>
    </xf>
    <xf numFmtId="4" fontId="0" fillId="0" borderId="10" xfId="0" applyNumberFormat="1" applyFont="1" applyBorder="1" applyAlignment="1">
      <alignment horizontal="center" vertical="center" wrapText="1"/>
    </xf>
    <xf numFmtId="4" fontId="5" fillId="0" borderId="0" xfId="0" applyNumberFormat="1" applyFont="1" applyBorder="1" applyAlignment="1">
      <alignment horizontal="center" vertical="center" wrapText="1"/>
    </xf>
    <xf numFmtId="4" fontId="0" fillId="0" borderId="0" xfId="0" applyNumberFormat="1" applyFont="1" applyBorder="1" applyAlignment="1">
      <alignment horizontal="center" vertical="center" wrapText="1"/>
    </xf>
    <xf numFmtId="4" fontId="5" fillId="0" borderId="11" xfId="0" applyNumberFormat="1" applyFont="1" applyBorder="1" applyAlignment="1">
      <alignment horizontal="center" vertical="center" wrapText="1"/>
    </xf>
    <xf numFmtId="4" fontId="7" fillId="0" borderId="6" xfId="0" applyNumberFormat="1" applyFont="1" applyBorder="1" applyAlignment="1">
      <alignment horizontal="center" vertical="center" wrapText="1"/>
    </xf>
    <xf numFmtId="4" fontId="5" fillId="0" borderId="30" xfId="0" applyNumberFormat="1" applyFont="1" applyBorder="1" applyAlignment="1">
      <alignment horizontal="center" vertical="center" wrapText="1"/>
    </xf>
    <xf numFmtId="4" fontId="5" fillId="0" borderId="54" xfId="0" applyNumberFormat="1" applyFont="1" applyBorder="1" applyAlignment="1">
      <alignment vertical="center" wrapText="1"/>
    </xf>
    <xf numFmtId="4" fontId="5" fillId="0" borderId="48" xfId="0" applyNumberFormat="1" applyFont="1" applyBorder="1" applyAlignment="1">
      <alignment vertical="center" wrapText="1"/>
    </xf>
    <xf numFmtId="4" fontId="5" fillId="0" borderId="63" xfId="0" applyNumberFormat="1" applyFont="1" applyBorder="1" applyAlignment="1">
      <alignment vertical="center" wrapText="1"/>
    </xf>
    <xf numFmtId="4" fontId="7" fillId="0" borderId="3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5" xfId="0" applyBorder="1"/>
    <xf numFmtId="0" fontId="0" fillId="0" borderId="14" xfId="0" applyBorder="1"/>
    <xf numFmtId="0" fontId="30" fillId="0" borderId="0" xfId="0" applyFont="1" applyBorder="1"/>
    <xf numFmtId="0" fontId="6" fillId="0" borderId="0" xfId="0" applyFont="1"/>
    <xf numFmtId="4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3" fillId="0" borderId="0" xfId="0" applyFont="1" applyBorder="1" applyAlignment="1"/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4" fontId="14" fillId="0" borderId="10" xfId="0" applyNumberFormat="1" applyFont="1" applyBorder="1" applyAlignment="1">
      <alignment horizontal="center" vertical="center"/>
    </xf>
    <xf numFmtId="4" fontId="12" fillId="3" borderId="12" xfId="0" applyNumberFormat="1" applyFont="1" applyFill="1" applyBorder="1" applyAlignment="1">
      <alignment vertical="center" wrapText="1"/>
    </xf>
    <xf numFmtId="0" fontId="17" fillId="0" borderId="19" xfId="0" applyFont="1" applyBorder="1" applyAlignment="1">
      <alignment horizontal="center" vertical="center"/>
    </xf>
    <xf numFmtId="4" fontId="14" fillId="0" borderId="13" xfId="0" applyNumberFormat="1" applyFont="1" applyBorder="1" applyAlignment="1">
      <alignment horizontal="center" vertical="center"/>
    </xf>
    <xf numFmtId="4" fontId="12" fillId="3" borderId="11" xfId="0" applyNumberFormat="1" applyFont="1" applyFill="1" applyBorder="1" applyAlignment="1">
      <alignment vertical="center" wrapText="1"/>
    </xf>
    <xf numFmtId="4" fontId="12" fillId="3" borderId="14" xfId="0" applyNumberFormat="1" applyFont="1" applyFill="1" applyBorder="1" applyAlignment="1">
      <alignment vertical="center" wrapText="1"/>
    </xf>
    <xf numFmtId="0" fontId="1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" fontId="12" fillId="0" borderId="0" xfId="0" applyNumberFormat="1" applyFont="1" applyBorder="1" applyAlignment="1">
      <alignment horizontal="center" vertical="center"/>
    </xf>
    <xf numFmtId="4" fontId="12" fillId="0" borderId="0" xfId="0" applyNumberFormat="1" applyFont="1" applyBorder="1" applyAlignment="1">
      <alignment vertical="center"/>
    </xf>
    <xf numFmtId="4" fontId="11" fillId="3" borderId="0" xfId="0" applyNumberFormat="1" applyFont="1" applyFill="1" applyBorder="1" applyAlignment="1">
      <alignment vertical="center" wrapText="1"/>
    </xf>
    <xf numFmtId="4" fontId="12" fillId="0" borderId="10" xfId="0" applyNumberFormat="1" applyFont="1" applyBorder="1" applyAlignment="1">
      <alignment horizontal="center" vertical="center"/>
    </xf>
    <xf numFmtId="4" fontId="12" fillId="0" borderId="11" xfId="0" applyNumberFormat="1" applyFont="1" applyBorder="1" applyAlignment="1">
      <alignment horizontal="center" vertical="center"/>
    </xf>
    <xf numFmtId="43" fontId="12" fillId="0" borderId="12" xfId="1" applyFont="1" applyBorder="1" applyAlignment="1">
      <alignment horizontal="center" vertical="center" wrapText="1"/>
    </xf>
    <xf numFmtId="43" fontId="12" fillId="0" borderId="13" xfId="1" applyFont="1" applyBorder="1" applyAlignment="1">
      <alignment horizontal="center" vertical="center" wrapText="1"/>
    </xf>
    <xf numFmtId="4" fontId="11" fillId="0" borderId="10" xfId="0" applyNumberFormat="1" applyFont="1" applyBorder="1" applyAlignment="1">
      <alignment horizontal="center" vertical="center"/>
    </xf>
    <xf numFmtId="0" fontId="12" fillId="0" borderId="14" xfId="0" applyFont="1" applyBorder="1"/>
    <xf numFmtId="0" fontId="35" fillId="0" borderId="11" xfId="0" applyFont="1" applyBorder="1" applyAlignment="1">
      <alignment vertical="center"/>
    </xf>
    <xf numFmtId="0" fontId="35" fillId="0" borderId="14" xfId="0" applyFont="1" applyBorder="1" applyAlignment="1">
      <alignment vertical="center"/>
    </xf>
    <xf numFmtId="4" fontId="18" fillId="0" borderId="48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4" fontId="12" fillId="0" borderId="10" xfId="0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4" fontId="12" fillId="0" borderId="15" xfId="0" applyNumberFormat="1" applyFont="1" applyBorder="1" applyAlignment="1">
      <alignment horizontal="center" vertical="center" wrapText="1"/>
    </xf>
    <xf numFmtId="4" fontId="7" fillId="0" borderId="0" xfId="0" applyNumberFormat="1" applyFont="1" applyFill="1" applyBorder="1" applyAlignment="1">
      <alignment horizontal="left" vertical="center" wrapText="1"/>
    </xf>
    <xf numFmtId="4" fontId="7" fillId="0" borderId="6" xfId="0" applyNumberFormat="1" applyFont="1" applyFill="1" applyBorder="1" applyAlignment="1">
      <alignment horizontal="left" vertical="center" wrapText="1"/>
    </xf>
    <xf numFmtId="0" fontId="5" fillId="0" borderId="36" xfId="0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7" fillId="0" borderId="12" xfId="0" applyFont="1" applyBorder="1"/>
    <xf numFmtId="0" fontId="7" fillId="0" borderId="19" xfId="0" applyFont="1" applyBorder="1" applyAlignment="1">
      <alignment horizontal="center"/>
    </xf>
    <xf numFmtId="4" fontId="7" fillId="0" borderId="11" xfId="1" applyNumberFormat="1" applyFont="1" applyBorder="1" applyAlignment="1">
      <alignment horizontal="center" vertical="center" wrapText="1"/>
    </xf>
    <xf numFmtId="4" fontId="7" fillId="0" borderId="0" xfId="1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4" fontId="5" fillId="0" borderId="11" xfId="1" applyNumberFormat="1" applyFont="1" applyBorder="1" applyAlignment="1">
      <alignment horizontal="center" vertical="center" wrapText="1"/>
    </xf>
    <xf numFmtId="4" fontId="7" fillId="0" borderId="10" xfId="1" applyNumberFormat="1" applyFont="1" applyBorder="1" applyAlignment="1">
      <alignment horizontal="center" vertical="center" wrapText="1"/>
    </xf>
    <xf numFmtId="4" fontId="7" fillId="0" borderId="10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43" fontId="7" fillId="0" borderId="0" xfId="1" applyFont="1"/>
    <xf numFmtId="43" fontId="7" fillId="0" borderId="17" xfId="1" applyFont="1" applyBorder="1" applyAlignment="1">
      <alignment horizontal="center" vertical="center" wrapText="1"/>
    </xf>
    <xf numFmtId="43" fontId="5" fillId="0" borderId="16" xfId="1" applyFont="1" applyBorder="1" applyAlignment="1">
      <alignment horizontal="center" vertical="center"/>
    </xf>
    <xf numFmtId="43" fontId="5" fillId="0" borderId="18" xfId="1" applyFont="1" applyBorder="1" applyAlignment="1">
      <alignment horizontal="center" vertical="center"/>
    </xf>
    <xf numFmtId="43" fontId="5" fillId="0" borderId="48" xfId="1" applyFont="1" applyBorder="1" applyAlignment="1">
      <alignment horizontal="center" vertical="center"/>
    </xf>
    <xf numFmtId="43" fontId="5" fillId="0" borderId="0" xfId="1" applyFont="1" applyBorder="1"/>
    <xf numFmtId="43" fontId="7" fillId="0" borderId="0" xfId="1" applyFont="1" applyBorder="1"/>
    <xf numFmtId="43" fontId="7" fillId="0" borderId="0" xfId="1" applyFont="1" applyAlignment="1">
      <alignment horizontal="center"/>
    </xf>
    <xf numFmtId="4" fontId="5" fillId="0" borderId="0" xfId="1" applyNumberFormat="1" applyFont="1" applyBorder="1" applyAlignment="1">
      <alignment horizontal="center" vertical="center" wrapText="1"/>
    </xf>
    <xf numFmtId="4" fontId="7" fillId="0" borderId="11" xfId="0" applyNumberFormat="1" applyFont="1" applyBorder="1" applyAlignment="1">
      <alignment horizontal="center"/>
    </xf>
    <xf numFmtId="0" fontId="12" fillId="0" borderId="53" xfId="0" applyFont="1" applyBorder="1" applyAlignment="1">
      <alignment horizontal="center"/>
    </xf>
    <xf numFmtId="43" fontId="12" fillId="0" borderId="53" xfId="1" applyFont="1" applyBorder="1" applyAlignment="1">
      <alignment horizontal="center"/>
    </xf>
    <xf numFmtId="0" fontId="11" fillId="0" borderId="5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43" fontId="0" fillId="0" borderId="16" xfId="1" applyFont="1" applyBorder="1" applyAlignment="1">
      <alignment horizontal="center" vertical="center" wrapText="1"/>
    </xf>
    <xf numFmtId="43" fontId="0" fillId="0" borderId="14" xfId="1" applyFont="1" applyBorder="1" applyAlignment="1">
      <alignment horizontal="center" vertical="center" wrapText="1"/>
    </xf>
    <xf numFmtId="43" fontId="0" fillId="0" borderId="11" xfId="1" applyFont="1" applyBorder="1" applyAlignment="1">
      <alignment horizontal="center" vertical="center" wrapText="1"/>
    </xf>
    <xf numFmtId="0" fontId="0" fillId="0" borderId="19" xfId="0" applyBorder="1"/>
    <xf numFmtId="0" fontId="0" fillId="0" borderId="13" xfId="0" applyBorder="1"/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43" fontId="0" fillId="0" borderId="18" xfId="1" applyFont="1" applyBorder="1"/>
    <xf numFmtId="43" fontId="0" fillId="0" borderId="14" xfId="1" applyFont="1" applyBorder="1" applyAlignment="1">
      <alignment horizontal="left" vertical="center" wrapText="1"/>
    </xf>
    <xf numFmtId="43" fontId="0" fillId="0" borderId="13" xfId="1" applyFont="1" applyBorder="1"/>
    <xf numFmtId="0" fontId="0" fillId="0" borderId="5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2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3" fontId="0" fillId="0" borderId="0" xfId="1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43" fontId="4" fillId="0" borderId="17" xfId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5" fillId="0" borderId="0" xfId="0" applyFont="1" applyBorder="1"/>
    <xf numFmtId="0" fontId="2" fillId="0" borderId="11" xfId="0" applyFont="1" applyBorder="1" applyAlignment="1">
      <alignment horizontal="center"/>
    </xf>
    <xf numFmtId="4" fontId="13" fillId="0" borderId="15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166" fontId="0" fillId="0" borderId="14" xfId="1" applyNumberFormat="1" applyFont="1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43" fontId="0" fillId="0" borderId="0" xfId="1" applyFont="1" applyBorder="1" applyAlignment="1">
      <alignment horizontal="center" vertical="center"/>
    </xf>
    <xf numFmtId="43" fontId="0" fillId="0" borderId="6" xfId="1" applyFont="1" applyBorder="1" applyAlignment="1">
      <alignment horizontal="left" vertical="center" wrapText="1"/>
    </xf>
    <xf numFmtId="43" fontId="1" fillId="0" borderId="0" xfId="1" applyFont="1" applyBorder="1"/>
    <xf numFmtId="43" fontId="4" fillId="0" borderId="48" xfId="1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4" fontId="0" fillId="0" borderId="14" xfId="1" applyNumberFormat="1" applyFont="1" applyBorder="1" applyAlignment="1">
      <alignment horizontal="center" vertical="center" wrapText="1"/>
    </xf>
    <xf numFmtId="0" fontId="5" fillId="0" borderId="0" xfId="0" applyFont="1" applyBorder="1" applyAlignment="1"/>
    <xf numFmtId="43" fontId="7" fillId="0" borderId="10" xfId="1" applyFont="1" applyBorder="1"/>
    <xf numFmtId="43" fontId="7" fillId="0" borderId="10" xfId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43" fontId="7" fillId="0" borderId="15" xfId="1" applyFont="1" applyBorder="1" applyAlignment="1">
      <alignment horizontal="center"/>
    </xf>
    <xf numFmtId="0" fontId="5" fillId="0" borderId="10" xfId="0" applyFont="1" applyBorder="1" applyAlignment="1"/>
    <xf numFmtId="4" fontId="7" fillId="0" borderId="14" xfId="1" applyNumberFormat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/>
    </xf>
    <xf numFmtId="43" fontId="7" fillId="0" borderId="11" xfId="1" applyFont="1" applyBorder="1"/>
    <xf numFmtId="0" fontId="5" fillId="0" borderId="11" xfId="0" applyFont="1" applyBorder="1" applyAlignment="1"/>
    <xf numFmtId="0" fontId="7" fillId="0" borderId="14" xfId="0" applyFont="1" applyBorder="1" applyAlignment="1">
      <alignment horizontal="center"/>
    </xf>
    <xf numFmtId="4" fontId="7" fillId="0" borderId="6" xfId="1" applyNumberFormat="1" applyFont="1" applyBorder="1" applyAlignment="1">
      <alignment horizontal="center" vertical="center" wrapText="1"/>
    </xf>
    <xf numFmtId="4" fontId="6" fillId="0" borderId="0" xfId="1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3" fontId="0" fillId="0" borderId="0" xfId="1" applyFont="1" applyAlignment="1"/>
    <xf numFmtId="0" fontId="2" fillId="0" borderId="0" xfId="0" applyFont="1" applyAlignment="1">
      <alignment horizontal="center"/>
    </xf>
    <xf numFmtId="166" fontId="0" fillId="0" borderId="15" xfId="1" applyNumberFormat="1" applyFont="1" applyBorder="1" applyAlignment="1">
      <alignment horizontal="center" vertical="center" wrapText="1"/>
    </xf>
    <xf numFmtId="166" fontId="0" fillId="0" borderId="0" xfId="1" applyNumberFormat="1" applyFont="1" applyAlignment="1">
      <alignment vertical="center" wrapText="1"/>
    </xf>
    <xf numFmtId="0" fontId="0" fillId="0" borderId="26" xfId="0" applyBorder="1" applyAlignment="1">
      <alignment vertical="center" wrapText="1"/>
    </xf>
    <xf numFmtId="166" fontId="0" fillId="0" borderId="26" xfId="1" applyNumberFormat="1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43" fontId="0" fillId="0" borderId="15" xfId="1" applyFont="1" applyBorder="1" applyAlignment="1">
      <alignment vertical="center" wrapText="1"/>
    </xf>
    <xf numFmtId="43" fontId="12" fillId="0" borderId="26" xfId="1" applyFont="1" applyBorder="1" applyAlignment="1">
      <alignment horizontal="center" vertical="center" wrapText="1"/>
    </xf>
    <xf numFmtId="4" fontId="18" fillId="3" borderId="17" xfId="0" applyNumberFormat="1" applyFont="1" applyFill="1" applyBorder="1" applyAlignment="1">
      <alignment horizontal="center" vertical="center" wrapText="1"/>
    </xf>
    <xf numFmtId="43" fontId="12" fillId="0" borderId="33" xfId="1" applyFont="1" applyBorder="1" applyAlignment="1">
      <alignment horizontal="center" vertical="center" wrapText="1"/>
    </xf>
    <xf numFmtId="43" fontId="12" fillId="0" borderId="34" xfId="1" applyFont="1" applyBorder="1" applyAlignment="1">
      <alignment horizontal="center" vertical="center" wrapText="1"/>
    </xf>
    <xf numFmtId="0" fontId="0" fillId="0" borderId="0" xfId="0" applyBorder="1" applyAlignment="1"/>
    <xf numFmtId="43" fontId="0" fillId="0" borderId="0" xfId="1" applyFont="1" applyBorder="1" applyAlignment="1"/>
    <xf numFmtId="0" fontId="0" fillId="0" borderId="6" xfId="0" applyBorder="1"/>
    <xf numFmtId="0" fontId="0" fillId="0" borderId="6" xfId="0" applyBorder="1" applyAlignment="1"/>
    <xf numFmtId="166" fontId="2" fillId="0" borderId="17" xfId="0" applyNumberFormat="1" applyFont="1" applyBorder="1" applyAlignment="1">
      <alignment horizontal="center" vertical="center" wrapText="1"/>
    </xf>
    <xf numFmtId="166" fontId="2" fillId="0" borderId="18" xfId="0" applyNumberFormat="1" applyFont="1" applyBorder="1" applyAlignment="1">
      <alignment horizontal="center" vertical="center" wrapText="1"/>
    </xf>
    <xf numFmtId="43" fontId="36" fillId="0" borderId="0" xfId="1" applyFont="1" applyBorder="1" applyAlignment="1">
      <alignment horizontal="left" vertical="center" wrapText="1"/>
    </xf>
    <xf numFmtId="4" fontId="14" fillId="0" borderId="11" xfId="0" applyNumberFormat="1" applyFont="1" applyBorder="1" applyAlignment="1">
      <alignment horizontal="center" vertical="center"/>
    </xf>
    <xf numFmtId="4" fontId="14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Border="1" applyAlignment="1">
      <alignment horizontal="center"/>
    </xf>
    <xf numFmtId="43" fontId="0" fillId="0" borderId="0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4" fontId="14" fillId="3" borderId="13" xfId="0" applyNumberFormat="1" applyFont="1" applyFill="1" applyBorder="1" applyAlignment="1">
      <alignment horizontal="center" vertical="center" wrapText="1"/>
    </xf>
    <xf numFmtId="4" fontId="18" fillId="3" borderId="10" xfId="0" applyNumberFormat="1" applyFont="1" applyFill="1" applyBorder="1" applyAlignment="1">
      <alignment horizontal="center" vertical="center" wrapText="1"/>
    </xf>
    <xf numFmtId="4" fontId="14" fillId="3" borderId="15" xfId="0" applyNumberFormat="1" applyFont="1" applyFill="1" applyBorder="1" applyAlignment="1">
      <alignment horizontal="center" vertical="center" wrapText="1"/>
    </xf>
    <xf numFmtId="0" fontId="2" fillId="0" borderId="51" xfId="0" applyFont="1" applyBorder="1" applyAlignment="1">
      <alignment vertical="center" wrapText="1"/>
    </xf>
    <xf numFmtId="43" fontId="2" fillId="0" borderId="6" xfId="1" applyFont="1" applyBorder="1" applyAlignment="1">
      <alignment horizontal="center"/>
    </xf>
    <xf numFmtId="43" fontId="0" fillId="0" borderId="12" xfId="1" applyFont="1" applyBorder="1" applyAlignment="1">
      <alignment horizontal="center"/>
    </xf>
    <xf numFmtId="0" fontId="7" fillId="0" borderId="0" xfId="0" applyFont="1" applyAlignment="1"/>
    <xf numFmtId="43" fontId="6" fillId="0" borderId="0" xfId="1" applyFont="1" applyBorder="1"/>
    <xf numFmtId="43" fontId="2" fillId="0" borderId="0" xfId="1" applyFont="1" applyAlignment="1">
      <alignment horizontal="center"/>
    </xf>
    <xf numFmtId="43" fontId="0" fillId="0" borderId="0" xfId="1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47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/>
    </xf>
    <xf numFmtId="4" fontId="5" fillId="0" borderId="14" xfId="1" applyNumberFormat="1" applyFont="1" applyBorder="1" applyAlignment="1">
      <alignment horizontal="center" vertical="center" wrapText="1"/>
    </xf>
    <xf numFmtId="4" fontId="7" fillId="0" borderId="15" xfId="1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" fontId="7" fillId="0" borderId="12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4" fontId="7" fillId="0" borderId="12" xfId="1" applyNumberFormat="1" applyFont="1" applyBorder="1" applyAlignment="1">
      <alignment horizontal="center" vertical="center" wrapText="1"/>
    </xf>
    <xf numFmtId="4" fontId="7" fillId="0" borderId="19" xfId="1" applyNumberFormat="1" applyFont="1" applyBorder="1" applyAlignment="1">
      <alignment horizontal="center" vertical="center" wrapText="1"/>
    </xf>
    <xf numFmtId="4" fontId="7" fillId="0" borderId="13" xfId="1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43" fontId="5" fillId="0" borderId="6" xfId="1" applyFont="1" applyBorder="1" applyAlignment="1">
      <alignment horizontal="center" vertical="center"/>
    </xf>
    <xf numFmtId="4" fontId="7" fillId="0" borderId="48" xfId="0" applyNumberFormat="1" applyFont="1" applyFill="1" applyBorder="1" applyAlignment="1">
      <alignment horizontal="center" vertical="center" wrapText="1"/>
    </xf>
    <xf numFmtId="4" fontId="7" fillId="0" borderId="51" xfId="0" applyNumberFormat="1" applyFont="1" applyFill="1" applyBorder="1" applyAlignment="1">
      <alignment horizontal="left" vertical="center" wrapText="1"/>
    </xf>
    <xf numFmtId="0" fontId="7" fillId="0" borderId="48" xfId="0" applyFont="1" applyBorder="1" applyAlignment="1">
      <alignment horizontal="center" vertical="center"/>
    </xf>
    <xf numFmtId="4" fontId="7" fillId="0" borderId="51" xfId="0" applyNumberFormat="1" applyFont="1" applyFill="1" applyBorder="1" applyAlignment="1">
      <alignment horizontal="center" vertical="center" wrapText="1"/>
    </xf>
    <xf numFmtId="4" fontId="7" fillId="0" borderId="52" xfId="0" applyNumberFormat="1" applyFont="1" applyFill="1" applyBorder="1" applyAlignment="1">
      <alignment horizontal="center" vertical="center" wrapText="1"/>
    </xf>
    <xf numFmtId="4" fontId="5" fillId="0" borderId="51" xfId="0" applyNumberFormat="1" applyFont="1" applyFill="1" applyBorder="1" applyAlignment="1">
      <alignment horizontal="left" vertical="center" wrapText="1"/>
    </xf>
    <xf numFmtId="4" fontId="5" fillId="0" borderId="52" xfId="0" applyNumberFormat="1" applyFont="1" applyFill="1" applyBorder="1" applyAlignment="1">
      <alignment horizontal="left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4" fontId="14" fillId="0" borderId="11" xfId="0" applyNumberFormat="1" applyFont="1" applyBorder="1" applyAlignment="1">
      <alignment vertical="center"/>
    </xf>
    <xf numFmtId="4" fontId="14" fillId="0" borderId="10" xfId="0" applyNumberFormat="1" applyFont="1" applyBorder="1" applyAlignment="1">
      <alignment vertical="center"/>
    </xf>
    <xf numFmtId="4" fontId="14" fillId="0" borderId="12" xfId="0" applyNumberFormat="1" applyFont="1" applyBorder="1" applyAlignment="1">
      <alignment vertical="center"/>
    </xf>
    <xf numFmtId="0" fontId="0" fillId="0" borderId="11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47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5" xfId="0" applyBorder="1" applyAlignment="1">
      <alignment vertical="center" wrapText="1"/>
    </xf>
    <xf numFmtId="0" fontId="0" fillId="0" borderId="65" xfId="0" applyBorder="1" applyAlignment="1">
      <alignment horizontal="center" vertical="center"/>
    </xf>
    <xf numFmtId="166" fontId="0" fillId="0" borderId="66" xfId="1" applyNumberFormat="1" applyFont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43" fontId="0" fillId="0" borderId="0" xfId="1" applyFont="1" applyAlignment="1">
      <alignment horizontal="center" vertical="center" wrapText="1"/>
    </xf>
    <xf numFmtId="43" fontId="4" fillId="0" borderId="48" xfId="0" applyNumberFormat="1" applyFont="1" applyBorder="1"/>
    <xf numFmtId="43" fontId="0" fillId="0" borderId="0" xfId="0" applyNumberFormat="1" applyBorder="1"/>
    <xf numFmtId="0" fontId="0" fillId="0" borderId="10" xfId="0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52" xfId="0" applyBorder="1" applyAlignment="1">
      <alignment horizontal="center"/>
    </xf>
    <xf numFmtId="43" fontId="0" fillId="0" borderId="5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43" fontId="3" fillId="0" borderId="48" xfId="0" applyNumberFormat="1" applyFont="1" applyBorder="1"/>
    <xf numFmtId="10" fontId="0" fillId="0" borderId="0" xfId="0" applyNumberFormat="1"/>
    <xf numFmtId="0" fontId="0" fillId="0" borderId="48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3" fontId="11" fillId="0" borderId="12" xfId="1" applyFont="1" applyBorder="1" applyAlignment="1">
      <alignment horizontal="center"/>
    </xf>
    <xf numFmtId="43" fontId="11" fillId="0" borderId="19" xfId="1" applyFont="1" applyBorder="1" applyAlignment="1">
      <alignment horizontal="center"/>
    </xf>
    <xf numFmtId="43" fontId="11" fillId="0" borderId="13" xfId="1" applyFont="1" applyBorder="1" applyAlignment="1">
      <alignment horizontal="center"/>
    </xf>
    <xf numFmtId="0" fontId="0" fillId="0" borderId="0" xfId="0" applyFont="1" applyAlignment="1">
      <alignment vertical="center" wrapText="1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1" fillId="0" borderId="0" xfId="0" applyFont="1" applyAlignment="1">
      <alignment horizontal="center"/>
    </xf>
    <xf numFmtId="43" fontId="12" fillId="0" borderId="11" xfId="1" applyFont="1" applyBorder="1" applyAlignment="1">
      <alignment horizontal="center"/>
    </xf>
    <xf numFmtId="43" fontId="12" fillId="0" borderId="14" xfId="1" applyFont="1" applyBorder="1"/>
    <xf numFmtId="43" fontId="12" fillId="0" borderId="15" xfId="1" applyFont="1" applyBorder="1"/>
    <xf numFmtId="43" fontId="11" fillId="0" borderId="0" xfId="1" applyFont="1" applyAlignment="1">
      <alignment horizontal="center"/>
    </xf>
    <xf numFmtId="43" fontId="12" fillId="0" borderId="0" xfId="1" applyFont="1" applyBorder="1" applyAlignment="1">
      <alignment horizontal="center"/>
    </xf>
    <xf numFmtId="43" fontId="12" fillId="0" borderId="10" xfId="1" applyFont="1" applyBorder="1" applyAlignment="1">
      <alignment horizontal="center"/>
    </xf>
    <xf numFmtId="0" fontId="12" fillId="0" borderId="17" xfId="0" applyFont="1" applyBorder="1" applyAlignment="1"/>
    <xf numFmtId="0" fontId="12" fillId="0" borderId="16" xfId="0" applyFont="1" applyBorder="1" applyAlignment="1"/>
    <xf numFmtId="43" fontId="12" fillId="0" borderId="16" xfId="1" applyFont="1" applyBorder="1" applyAlignment="1"/>
    <xf numFmtId="0" fontId="11" fillId="0" borderId="16" xfId="0" applyFont="1" applyBorder="1" applyAlignment="1"/>
    <xf numFmtId="0" fontId="11" fillId="0" borderId="18" xfId="0" applyFont="1" applyBorder="1" applyAlignment="1"/>
    <xf numFmtId="43" fontId="12" fillId="0" borderId="11" xfId="1" applyFont="1" applyBorder="1" applyAlignment="1">
      <alignment vertical="center" wrapText="1"/>
    </xf>
    <xf numFmtId="43" fontId="12" fillId="0" borderId="15" xfId="1" applyFont="1" applyBorder="1" applyAlignment="1">
      <alignment horizontal="center"/>
    </xf>
    <xf numFmtId="43" fontId="11" fillId="0" borderId="0" xfId="1" applyFont="1"/>
    <xf numFmtId="0" fontId="12" fillId="0" borderId="0" xfId="0" applyFont="1" applyAlignment="1">
      <alignment horizontal="left" vertical="center" wrapText="1"/>
    </xf>
    <xf numFmtId="43" fontId="11" fillId="0" borderId="48" xfId="1" applyFont="1" applyBorder="1"/>
    <xf numFmtId="43" fontId="11" fillId="0" borderId="11" xfId="1" applyFont="1" applyBorder="1"/>
    <xf numFmtId="43" fontId="11" fillId="0" borderId="0" xfId="1" applyFont="1" applyBorder="1"/>
    <xf numFmtId="43" fontId="11" fillId="0" borderId="10" xfId="1" applyFont="1" applyBorder="1"/>
    <xf numFmtId="43" fontId="11" fillId="0" borderId="15" xfId="1" applyFont="1" applyBorder="1"/>
    <xf numFmtId="43" fontId="37" fillId="0" borderId="11" xfId="1" applyFont="1" applyBorder="1" applyAlignment="1">
      <alignment horizontal="center"/>
    </xf>
    <xf numFmtId="43" fontId="37" fillId="0" borderId="0" xfId="1" applyFont="1" applyBorder="1" applyAlignment="1">
      <alignment horizontal="center"/>
    </xf>
    <xf numFmtId="43" fontId="37" fillId="0" borderId="10" xfId="1" applyFont="1" applyBorder="1" applyAlignment="1">
      <alignment horizontal="center"/>
    </xf>
    <xf numFmtId="43" fontId="12" fillId="0" borderId="14" xfId="1" applyFont="1" applyBorder="1" applyAlignment="1">
      <alignment horizontal="center" vertical="center" wrapText="1"/>
    </xf>
    <xf numFmtId="43" fontId="12" fillId="0" borderId="15" xfId="1" applyFont="1" applyBorder="1" applyAlignment="1">
      <alignment horizontal="center" vertical="center" wrapText="1"/>
    </xf>
    <xf numFmtId="43" fontId="12" fillId="0" borderId="0" xfId="1" applyFont="1" applyAlignment="1">
      <alignment horizontal="center" vertical="center"/>
    </xf>
    <xf numFmtId="43" fontId="11" fillId="0" borderId="48" xfId="1" applyFont="1" applyBorder="1" applyAlignment="1">
      <alignment horizontal="center" vertical="center"/>
    </xf>
    <xf numFmtId="43" fontId="11" fillId="0" borderId="0" xfId="1" applyFont="1" applyAlignment="1">
      <alignment horizontal="center" vertical="center"/>
    </xf>
    <xf numFmtId="43" fontId="11" fillId="0" borderId="14" xfId="1" applyFont="1" applyBorder="1"/>
    <xf numFmtId="43" fontId="12" fillId="0" borderId="6" xfId="1" applyFont="1" applyBorder="1" applyAlignment="1">
      <alignment horizontal="center"/>
    </xf>
    <xf numFmtId="43" fontId="11" fillId="0" borderId="6" xfId="1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43" fontId="12" fillId="0" borderId="0" xfId="1" applyFont="1" applyBorder="1" applyAlignment="1">
      <alignment horizontal="center" vertical="center"/>
    </xf>
    <xf numFmtId="43" fontId="11" fillId="0" borderId="0" xfId="1" applyFont="1" applyBorder="1" applyAlignment="1">
      <alignment horizontal="center" vertical="center"/>
    </xf>
    <xf numFmtId="43" fontId="11" fillId="0" borderId="0" xfId="1" applyFont="1" applyBorder="1" applyAlignment="1">
      <alignment vertical="center" wrapText="1"/>
    </xf>
    <xf numFmtId="0" fontId="11" fillId="0" borderId="12" xfId="0" applyFont="1" applyBorder="1" applyAlignment="1">
      <alignment horizontal="center"/>
    </xf>
    <xf numFmtId="0" fontId="11" fillId="0" borderId="11" xfId="0" applyFont="1" applyBorder="1"/>
    <xf numFmtId="0" fontId="12" fillId="0" borderId="14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43" fontId="11" fillId="0" borderId="0" xfId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16" xfId="0" applyFont="1" applyBorder="1" applyAlignment="1">
      <alignment horizontal="center" vertical="center" wrapText="1"/>
    </xf>
    <xf numFmtId="43" fontId="12" fillId="0" borderId="48" xfId="1" applyFont="1" applyBorder="1" applyAlignment="1">
      <alignment horizontal="center" vertical="center" wrapText="1"/>
    </xf>
    <xf numFmtId="43" fontId="12" fillId="0" borderId="17" xfId="1" applyFont="1" applyBorder="1" applyAlignment="1">
      <alignment horizontal="center" vertical="center" wrapText="1"/>
    </xf>
    <xf numFmtId="43" fontId="12" fillId="0" borderId="18" xfId="1" applyFont="1" applyBorder="1" applyAlignment="1">
      <alignment horizontal="center" vertical="center" wrapText="1"/>
    </xf>
    <xf numFmtId="4" fontId="13" fillId="0" borderId="0" xfId="0" applyNumberFormat="1" applyFont="1" applyBorder="1" applyAlignment="1">
      <alignment vertical="center" wrapText="1" shrinkToFi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4" fontId="14" fillId="0" borderId="17" xfId="0" applyNumberFormat="1" applyFont="1" applyBorder="1" applyAlignment="1">
      <alignment vertical="center"/>
    </xf>
    <xf numFmtId="4" fontId="14" fillId="0" borderId="17" xfId="0" applyNumberFormat="1" applyFont="1" applyBorder="1" applyAlignment="1">
      <alignment horizontal="center" vertical="center"/>
    </xf>
    <xf numFmtId="4" fontId="14" fillId="0" borderId="16" xfId="0" applyNumberFormat="1" applyFont="1" applyBorder="1" applyAlignment="1">
      <alignment horizontal="center" vertical="center"/>
    </xf>
    <xf numFmtId="4" fontId="13" fillId="0" borderId="18" xfId="0" applyNumberFormat="1" applyFont="1" applyBorder="1" applyAlignment="1">
      <alignment horizontal="center" vertical="center"/>
    </xf>
    <xf numFmtId="4" fontId="14" fillId="0" borderId="16" xfId="0" applyNumberFormat="1" applyFont="1" applyBorder="1" applyAlignment="1">
      <alignment vertical="center"/>
    </xf>
    <xf numFmtId="4" fontId="13" fillId="0" borderId="16" xfId="0" applyNumberFormat="1" applyFont="1" applyBorder="1" applyAlignment="1">
      <alignment horizontal="center" vertical="center"/>
    </xf>
    <xf numFmtId="4" fontId="13" fillId="0" borderId="50" xfId="0" applyNumberFormat="1" applyFont="1" applyBorder="1" applyAlignment="1">
      <alignment horizontal="center" vertical="center"/>
    </xf>
    <xf numFmtId="0" fontId="12" fillId="0" borderId="12" xfId="0" applyFont="1" applyBorder="1"/>
    <xf numFmtId="0" fontId="12" fillId="0" borderId="13" xfId="0" applyFont="1" applyBorder="1"/>
    <xf numFmtId="4" fontId="12" fillId="0" borderId="10" xfId="0" applyNumberFormat="1" applyFont="1" applyBorder="1"/>
    <xf numFmtId="4" fontId="14" fillId="3" borderId="12" xfId="0" applyNumberFormat="1" applyFont="1" applyFill="1" applyBorder="1" applyAlignment="1">
      <alignment vertical="center" wrapText="1"/>
    </xf>
    <xf numFmtId="4" fontId="14" fillId="3" borderId="11" xfId="0" applyNumberFormat="1" applyFont="1" applyFill="1" applyBorder="1" applyAlignment="1">
      <alignment vertical="center" wrapText="1"/>
    </xf>
    <xf numFmtId="4" fontId="14" fillId="3" borderId="14" xfId="0" applyNumberFormat="1" applyFont="1" applyFill="1" applyBorder="1" applyAlignment="1">
      <alignment vertical="center" wrapText="1"/>
    </xf>
    <xf numFmtId="43" fontId="11" fillId="0" borderId="0" xfId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4" fontId="12" fillId="0" borderId="15" xfId="0" applyNumberFormat="1" applyFont="1" applyBorder="1"/>
    <xf numFmtId="0" fontId="11" fillId="0" borderId="0" xfId="0" applyFont="1" applyBorder="1" applyAlignment="1">
      <alignment horizontal="left"/>
    </xf>
    <xf numFmtId="4" fontId="5" fillId="0" borderId="0" xfId="0" applyNumberFormat="1" applyFont="1" applyBorder="1" applyAlignment="1">
      <alignment vertical="center" wrapText="1"/>
    </xf>
    <xf numFmtId="0" fontId="2" fillId="0" borderId="0" xfId="0" applyFont="1" applyBorder="1"/>
    <xf numFmtId="43" fontId="12" fillId="0" borderId="50" xfId="1" applyFont="1" applyBorder="1" applyAlignment="1">
      <alignment horizontal="center" vertical="center" wrapText="1"/>
    </xf>
    <xf numFmtId="4" fontId="13" fillId="0" borderId="52" xfId="0" applyNumberFormat="1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4" fontId="13" fillId="0" borderId="0" xfId="0" applyNumberFormat="1" applyFont="1" applyBorder="1" applyAlignment="1">
      <alignment horizontal="center" vertical="center"/>
    </xf>
    <xf numFmtId="0" fontId="13" fillId="0" borderId="29" xfId="0" applyFont="1" applyBorder="1" applyAlignment="1"/>
    <xf numFmtId="0" fontId="2" fillId="0" borderId="29" xfId="0" applyFont="1" applyBorder="1" applyAlignment="1">
      <alignment horizontal="center"/>
    </xf>
    <xf numFmtId="4" fontId="2" fillId="0" borderId="29" xfId="0" applyNumberFormat="1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4" fillId="0" borderId="10" xfId="0" applyFont="1" applyBorder="1" applyAlignment="1"/>
    <xf numFmtId="0" fontId="0" fillId="0" borderId="33" xfId="0" applyBorder="1" applyAlignment="1">
      <alignment horizontal="center" vertical="center" wrapText="1"/>
    </xf>
    <xf numFmtId="4" fontId="2" fillId="0" borderId="34" xfId="0" applyNumberFormat="1" applyFon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0" fillId="0" borderId="0" xfId="0" applyFont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26" xfId="0" applyNumberFormat="1" applyBorder="1" applyAlignment="1">
      <alignment horizontal="center"/>
    </xf>
    <xf numFmtId="14" fontId="0" fillId="0" borderId="49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38" fillId="0" borderId="56" xfId="0" applyFont="1" applyBorder="1" applyAlignment="1">
      <alignment horizontal="center"/>
    </xf>
    <xf numFmtId="166" fontId="0" fillId="0" borderId="0" xfId="0" applyNumberFormat="1"/>
    <xf numFmtId="0" fontId="11" fillId="0" borderId="26" xfId="0" applyFont="1" applyBorder="1" applyAlignment="1">
      <alignment horizontal="center" vertical="center" wrapText="1"/>
    </xf>
    <xf numFmtId="4" fontId="12" fillId="0" borderId="0" xfId="0" applyNumberFormat="1" applyFont="1" applyBorder="1"/>
    <xf numFmtId="3" fontId="14" fillId="0" borderId="2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3" fontId="14" fillId="0" borderId="0" xfId="0" applyNumberFormat="1" applyFont="1" applyBorder="1" applyAlignment="1">
      <alignment horizontal="center" vertical="center"/>
    </xf>
    <xf numFmtId="4" fontId="11" fillId="0" borderId="0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1" fillId="0" borderId="2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0" fillId="0" borderId="26" xfId="0" applyBorder="1" applyAlignment="1">
      <alignment horizontal="left" vertical="center"/>
    </xf>
    <xf numFmtId="4" fontId="0" fillId="0" borderId="26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/>
    </xf>
    <xf numFmtId="43" fontId="1" fillId="0" borderId="10" xfId="1" applyFont="1" applyBorder="1"/>
    <xf numFmtId="0" fontId="0" fillId="0" borderId="11" xfId="0" applyBorder="1" applyAlignment="1">
      <alignment wrapText="1"/>
    </xf>
    <xf numFmtId="43" fontId="0" fillId="0" borderId="10" xfId="1" applyFont="1" applyBorder="1" applyAlignment="1">
      <alignment vertical="center" wrapText="1"/>
    </xf>
    <xf numFmtId="43" fontId="4" fillId="0" borderId="16" xfId="0" applyNumberFormat="1" applyFont="1" applyBorder="1"/>
    <xf numFmtId="0" fontId="10" fillId="0" borderId="16" xfId="0" applyFont="1" applyBorder="1" applyAlignment="1">
      <alignment horizontal="center"/>
    </xf>
    <xf numFmtId="43" fontId="6" fillId="0" borderId="16" xfId="0" applyNumberFormat="1" applyFont="1" applyBorder="1" applyAlignment="1">
      <alignment horizontal="center"/>
    </xf>
    <xf numFmtId="43" fontId="4" fillId="0" borderId="18" xfId="0" applyNumberFormat="1" applyFont="1" applyBorder="1"/>
    <xf numFmtId="0" fontId="2" fillId="0" borderId="26" xfId="0" applyFont="1" applyBorder="1" applyAlignment="1">
      <alignment horizontal="center" vertical="center"/>
    </xf>
    <xf numFmtId="4" fontId="2" fillId="0" borderId="26" xfId="0" applyNumberFormat="1" applyFont="1" applyBorder="1" applyAlignment="1">
      <alignment horizontal="center" vertical="center"/>
    </xf>
    <xf numFmtId="43" fontId="1" fillId="0" borderId="11" xfId="1" applyFont="1" applyBorder="1"/>
    <xf numFmtId="4" fontId="0" fillId="0" borderId="0" xfId="0" applyNumberFormat="1" applyBorder="1" applyAlignment="1">
      <alignment vertical="center"/>
    </xf>
    <xf numFmtId="0" fontId="4" fillId="0" borderId="6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4" fontId="3" fillId="0" borderId="12" xfId="0" applyNumberFormat="1" applyFont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4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/>
    <xf numFmtId="4" fontId="3" fillId="0" borderId="14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>
      <alignment horizontal="center" vertical="center"/>
    </xf>
    <xf numFmtId="4" fontId="4" fillId="0" borderId="13" xfId="0" applyNumberFormat="1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center" vertical="center"/>
    </xf>
    <xf numFmtId="4" fontId="6" fillId="0" borderId="48" xfId="0" applyNumberFormat="1" applyFont="1" applyBorder="1"/>
    <xf numFmtId="43" fontId="0" fillId="0" borderId="26" xfId="1" applyFont="1" applyBorder="1"/>
    <xf numFmtId="43" fontId="2" fillId="0" borderId="48" xfId="1" applyFont="1" applyBorder="1" applyAlignment="1">
      <alignment horizontal="center"/>
    </xf>
    <xf numFmtId="0" fontId="0" fillId="0" borderId="6" xfId="0" applyBorder="1" applyAlignment="1">
      <alignment wrapText="1"/>
    </xf>
    <xf numFmtId="43" fontId="0" fillId="0" borderId="15" xfId="1" applyFont="1" applyBorder="1" applyAlignment="1">
      <alignment horizontal="center" vertical="center" wrapText="1"/>
    </xf>
    <xf numFmtId="0" fontId="14" fillId="0" borderId="26" xfId="0" applyNumberFormat="1" applyFont="1" applyBorder="1" applyAlignment="1">
      <alignment horizontal="center" vertical="center"/>
    </xf>
    <xf numFmtId="3" fontId="14" fillId="0" borderId="30" xfId="0" applyNumberFormat="1" applyFont="1" applyBorder="1" applyAlignment="1">
      <alignment horizontal="center" vertical="center"/>
    </xf>
    <xf numFmtId="4" fontId="13" fillId="0" borderId="26" xfId="0" applyNumberFormat="1" applyFont="1" applyBorder="1" applyAlignment="1">
      <alignment horizontal="center" vertical="center"/>
    </xf>
    <xf numFmtId="4" fontId="12" fillId="3" borderId="30" xfId="0" applyNumberFormat="1" applyFont="1" applyFill="1" applyBorder="1" applyAlignment="1">
      <alignment vertical="center" wrapText="1"/>
    </xf>
    <xf numFmtId="0" fontId="17" fillId="0" borderId="30" xfId="0" applyFont="1" applyBorder="1" applyAlignment="1">
      <alignment horizontal="center" vertical="center"/>
    </xf>
    <xf numFmtId="4" fontId="14" fillId="0" borderId="30" xfId="0" applyNumberFormat="1" applyFont="1" applyBorder="1" applyAlignment="1">
      <alignment horizontal="center" vertical="center"/>
    </xf>
    <xf numFmtId="4" fontId="12" fillId="3" borderId="1" xfId="0" applyNumberFormat="1" applyFont="1" applyFill="1" applyBorder="1" applyAlignment="1">
      <alignment vertical="center" wrapText="1"/>
    </xf>
    <xf numFmtId="0" fontId="17" fillId="0" borderId="5" xfId="0" applyFont="1" applyBorder="1" applyAlignment="1">
      <alignment horizontal="center" vertical="center"/>
    </xf>
    <xf numFmtId="3" fontId="14" fillId="0" borderId="5" xfId="0" applyNumberFormat="1" applyFont="1" applyBorder="1" applyAlignment="1">
      <alignment horizontal="center" vertical="center"/>
    </xf>
    <xf numFmtId="4" fontId="12" fillId="3" borderId="3" xfId="0" applyNumberFormat="1" applyFont="1" applyFill="1" applyBorder="1" applyAlignment="1">
      <alignment vertical="center" wrapText="1"/>
    </xf>
    <xf numFmtId="0" fontId="17" fillId="0" borderId="47" xfId="0" applyFont="1" applyBorder="1" applyAlignment="1">
      <alignment horizontal="center" vertical="center"/>
    </xf>
    <xf numFmtId="3" fontId="14" fillId="0" borderId="47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6" fontId="2" fillId="0" borderId="16" xfId="0" applyNumberFormat="1" applyFont="1" applyBorder="1"/>
    <xf numFmtId="4" fontId="4" fillId="0" borderId="0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4" fontId="41" fillId="3" borderId="26" xfId="0" applyNumberFormat="1" applyFont="1" applyFill="1" applyBorder="1" applyAlignment="1">
      <alignment horizontal="left" vertical="center" wrapText="1"/>
    </xf>
    <xf numFmtId="4" fontId="41" fillId="0" borderId="0" xfId="0" applyNumberFormat="1" applyFont="1" applyBorder="1" applyAlignment="1">
      <alignment vertical="center" wrapText="1"/>
    </xf>
    <xf numFmtId="4" fontId="41" fillId="0" borderId="30" xfId="0" applyNumberFormat="1" applyFont="1" applyBorder="1" applyAlignment="1">
      <alignment horizontal="center" vertical="center"/>
    </xf>
    <xf numFmtId="4" fontId="41" fillId="3" borderId="30" xfId="0" applyNumberFormat="1" applyFont="1" applyFill="1" applyBorder="1" applyAlignment="1">
      <alignment horizontal="center" vertical="center"/>
    </xf>
    <xf numFmtId="4" fontId="41" fillId="0" borderId="3" xfId="0" applyNumberFormat="1" applyFont="1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19" xfId="0" applyFont="1" applyBorder="1"/>
    <xf numFmtId="0" fontId="4" fillId="0" borderId="19" xfId="0" applyFont="1" applyBorder="1"/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Font="1" applyBorder="1" applyAlignment="1">
      <alignment vertical="center" wrapText="1"/>
    </xf>
    <xf numFmtId="164" fontId="42" fillId="0" borderId="0" xfId="0" applyNumberFormat="1" applyFont="1" applyBorder="1"/>
    <xf numFmtId="164" fontId="42" fillId="0" borderId="0" xfId="0" applyNumberFormat="1" applyFont="1" applyBorder="1" applyAlignment="1">
      <alignment horizontal="center"/>
    </xf>
    <xf numFmtId="164" fontId="42" fillId="0" borderId="0" xfId="0" applyNumberFormat="1" applyFont="1" applyBorder="1" applyAlignment="1">
      <alignment horizontal="right"/>
    </xf>
    <xf numFmtId="164" fontId="42" fillId="0" borderId="0" xfId="0" applyNumberFormat="1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164" fontId="42" fillId="0" borderId="0" xfId="1" applyNumberFormat="1" applyFont="1" applyBorder="1"/>
    <xf numFmtId="14" fontId="42" fillId="0" borderId="0" xfId="0" applyNumberFormat="1" applyFont="1" applyBorder="1"/>
    <xf numFmtId="165" fontId="18" fillId="7" borderId="17" xfId="0" applyNumberFormat="1" applyFont="1" applyFill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9" borderId="21" xfId="0" applyNumberFormat="1" applyFont="1" applyFill="1" applyBorder="1" applyAlignment="1">
      <alignment horizontal="center" vertical="center"/>
    </xf>
    <xf numFmtId="164" fontId="18" fillId="9" borderId="22" xfId="0" applyNumberFormat="1" applyFont="1" applyFill="1" applyBorder="1" applyAlignment="1">
      <alignment horizontal="center" vertical="center"/>
    </xf>
    <xf numFmtId="164" fontId="18" fillId="9" borderId="44" xfId="0" applyNumberFormat="1" applyFont="1" applyFill="1" applyBorder="1" applyAlignment="1">
      <alignment horizontal="center" vertical="center" wrapText="1"/>
    </xf>
    <xf numFmtId="164" fontId="18" fillId="12" borderId="12" xfId="0" applyNumberFormat="1" applyFont="1" applyFill="1" applyBorder="1" applyAlignment="1">
      <alignment horizontal="center" vertical="center" wrapText="1"/>
    </xf>
    <xf numFmtId="164" fontId="18" fillId="12" borderId="19" xfId="0" applyNumberFormat="1" applyFont="1" applyFill="1" applyBorder="1" applyAlignment="1">
      <alignment horizontal="center" vertical="center" wrapText="1"/>
    </xf>
    <xf numFmtId="164" fontId="42" fillId="0" borderId="10" xfId="0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4" fontId="18" fillId="0" borderId="19" xfId="0" applyNumberFormat="1" applyFont="1" applyBorder="1" applyAlignment="1">
      <alignment horizontal="center"/>
    </xf>
    <xf numFmtId="4" fontId="18" fillId="12" borderId="0" xfId="0" applyNumberFormat="1" applyFont="1" applyFill="1" applyBorder="1" applyAlignment="1">
      <alignment horizontal="center"/>
    </xf>
    <xf numFmtId="4" fontId="42" fillId="0" borderId="10" xfId="0" applyNumberFormat="1" applyFont="1" applyBorder="1" applyAlignment="1">
      <alignment horizontal="center"/>
    </xf>
    <xf numFmtId="4" fontId="18" fillId="0" borderId="0" xfId="1" applyNumberFormat="1" applyFont="1" applyBorder="1" applyAlignment="1">
      <alignment horizontal="center"/>
    </xf>
    <xf numFmtId="4" fontId="42" fillId="0" borderId="0" xfId="0" applyNumberFormat="1" applyFont="1" applyBorder="1" applyAlignment="1">
      <alignment horizontal="center" vertical="center"/>
    </xf>
    <xf numFmtId="4" fontId="18" fillId="0" borderId="0" xfId="0" applyNumberFormat="1" applyFont="1" applyBorder="1" applyAlignment="1">
      <alignment horizontal="center" vertical="center"/>
    </xf>
    <xf numFmtId="4" fontId="42" fillId="12" borderId="0" xfId="0" applyNumberFormat="1" applyFont="1" applyFill="1" applyBorder="1" applyAlignment="1">
      <alignment horizontal="center"/>
    </xf>
    <xf numFmtId="4" fontId="42" fillId="0" borderId="0" xfId="0" applyNumberFormat="1" applyFont="1" applyBorder="1" applyAlignment="1">
      <alignment horizontal="center"/>
    </xf>
    <xf numFmtId="4" fontId="42" fillId="0" borderId="0" xfId="0" applyNumberFormat="1" applyFont="1" applyBorder="1"/>
    <xf numFmtId="4" fontId="44" fillId="0" borderId="0" xfId="0" applyNumberFormat="1" applyFont="1" applyBorder="1" applyAlignment="1">
      <alignment horizontal="center"/>
    </xf>
    <xf numFmtId="4" fontId="42" fillId="0" borderId="0" xfId="0" applyNumberFormat="1" applyFont="1" applyFill="1" applyBorder="1" applyAlignment="1">
      <alignment horizontal="center"/>
    </xf>
    <xf numFmtId="4" fontId="18" fillId="0" borderId="0" xfId="0" applyNumberFormat="1" applyFont="1" applyFill="1" applyBorder="1" applyAlignment="1">
      <alignment horizontal="center"/>
    </xf>
    <xf numFmtId="4" fontId="18" fillId="0" borderId="6" xfId="0" applyNumberFormat="1" applyFont="1" applyBorder="1" applyAlignment="1">
      <alignment horizontal="center"/>
    </xf>
    <xf numFmtId="4" fontId="18" fillId="7" borderId="70" xfId="0" applyNumberFormat="1" applyFont="1" applyFill="1" applyBorder="1" applyAlignment="1"/>
    <xf numFmtId="4" fontId="18" fillId="10" borderId="18" xfId="0" applyNumberFormat="1" applyFont="1" applyFill="1" applyBorder="1" applyAlignment="1">
      <alignment horizontal="center"/>
    </xf>
    <xf numFmtId="4" fontId="42" fillId="0" borderId="0" xfId="0" applyNumberFormat="1" applyFont="1" applyBorder="1" applyAlignment="1">
      <alignment horizontal="right"/>
    </xf>
    <xf numFmtId="4" fontId="18" fillId="7" borderId="64" xfId="0" applyNumberFormat="1" applyFont="1" applyFill="1" applyBorder="1" applyAlignment="1"/>
    <xf numFmtId="4" fontId="18" fillId="7" borderId="18" xfId="0" applyNumberFormat="1" applyFont="1" applyFill="1" applyBorder="1" applyAlignment="1"/>
    <xf numFmtId="4" fontId="18" fillId="7" borderId="48" xfId="0" applyNumberFormat="1" applyFont="1" applyFill="1" applyBorder="1" applyAlignment="1"/>
    <xf numFmtId="4" fontId="42" fillId="0" borderId="0" xfId="1" applyNumberFormat="1" applyFont="1" applyBorder="1"/>
    <xf numFmtId="4" fontId="45" fillId="0" borderId="26" xfId="0" applyNumberFormat="1" applyFont="1" applyBorder="1" applyAlignment="1">
      <alignment horizontal="center" vertical="center"/>
    </xf>
    <xf numFmtId="4" fontId="45" fillId="3" borderId="26" xfId="0" applyNumberFormat="1" applyFont="1" applyFill="1" applyBorder="1" applyAlignment="1">
      <alignment horizontal="center" vertical="center"/>
    </xf>
    <xf numFmtId="4" fontId="45" fillId="0" borderId="27" xfId="0" applyNumberFormat="1" applyFont="1" applyBorder="1" applyAlignment="1">
      <alignment vertical="center"/>
    </xf>
    <xf numFmtId="43" fontId="38" fillId="0" borderId="0" xfId="1" applyFont="1"/>
    <xf numFmtId="0" fontId="38" fillId="0" borderId="0" xfId="0" applyFont="1"/>
    <xf numFmtId="3" fontId="45" fillId="0" borderId="30" xfId="0" applyNumberFormat="1" applyFont="1" applyBorder="1" applyAlignment="1">
      <alignment horizontal="center" vertical="center"/>
    </xf>
    <xf numFmtId="4" fontId="45" fillId="3" borderId="30" xfId="0" applyNumberFormat="1" applyFont="1" applyFill="1" applyBorder="1" applyAlignment="1">
      <alignment horizontal="center" vertical="center"/>
    </xf>
    <xf numFmtId="4" fontId="45" fillId="3" borderId="0" xfId="0" applyNumberFormat="1" applyFont="1" applyFill="1" applyBorder="1" applyAlignment="1">
      <alignment horizontal="left" vertical="center" wrapText="1"/>
    </xf>
    <xf numFmtId="4" fontId="45" fillId="0" borderId="29" xfId="0" applyNumberFormat="1" applyFont="1" applyBorder="1" applyAlignment="1">
      <alignment horizontal="center" vertical="center"/>
    </xf>
    <xf numFmtId="4" fontId="45" fillId="0" borderId="4" xfId="0" applyNumberFormat="1" applyFont="1" applyBorder="1" applyAlignment="1">
      <alignment horizontal="center" vertical="center"/>
    </xf>
    <xf numFmtId="4" fontId="46" fillId="4" borderId="60" xfId="0" applyNumberFormat="1" applyFont="1" applyFill="1" applyBorder="1" applyAlignment="1">
      <alignment horizontal="center" vertical="center" wrapText="1"/>
    </xf>
    <xf numFmtId="4" fontId="45" fillId="0" borderId="73" xfId="0" applyNumberFormat="1" applyFont="1" applyBorder="1" applyAlignment="1">
      <alignment vertical="center" wrapText="1"/>
    </xf>
    <xf numFmtId="4" fontId="45" fillId="0" borderId="52" xfId="0" applyNumberFormat="1" applyFont="1" applyBorder="1" applyAlignment="1">
      <alignment vertical="center" wrapText="1"/>
    </xf>
    <xf numFmtId="9" fontId="18" fillId="7" borderId="70" xfId="3" applyFont="1" applyFill="1" applyBorder="1" applyAlignment="1">
      <alignment horizontal="center"/>
    </xf>
    <xf numFmtId="9" fontId="18" fillId="7" borderId="8" xfId="3" applyFont="1" applyFill="1" applyBorder="1" applyAlignment="1">
      <alignment horizontal="center"/>
    </xf>
    <xf numFmtId="165" fontId="18" fillId="7" borderId="19" xfId="0" applyNumberFormat="1" applyFont="1" applyFill="1" applyBorder="1" applyAlignment="1">
      <alignment horizontal="center"/>
    </xf>
    <xf numFmtId="165" fontId="18" fillId="7" borderId="13" xfId="0" applyNumberFormat="1" applyFont="1" applyFill="1" applyBorder="1" applyAlignment="1">
      <alignment horizontal="center"/>
    </xf>
    <xf numFmtId="9" fontId="18" fillId="11" borderId="11" xfId="3" applyFont="1" applyFill="1" applyBorder="1" applyAlignment="1">
      <alignment horizontal="center"/>
    </xf>
    <xf numFmtId="9" fontId="18" fillId="11" borderId="8" xfId="3" applyFont="1" applyFill="1" applyBorder="1" applyAlignment="1">
      <alignment horizontal="center"/>
    </xf>
    <xf numFmtId="9" fontId="18" fillId="11" borderId="72" xfId="3" applyFont="1" applyFill="1" applyBorder="1" applyAlignment="1">
      <alignment horizontal="center"/>
    </xf>
    <xf numFmtId="165" fontId="18" fillId="11" borderId="13" xfId="0" applyNumberFormat="1" applyFont="1" applyFill="1" applyBorder="1" applyAlignment="1">
      <alignment horizontal="center"/>
    </xf>
    <xf numFmtId="165" fontId="18" fillId="13" borderId="50" xfId="0" applyNumberFormat="1" applyFont="1" applyFill="1" applyBorder="1" applyAlignment="1">
      <alignment horizontal="center"/>
    </xf>
    <xf numFmtId="165" fontId="18" fillId="13" borderId="12" xfId="0" applyNumberFormat="1" applyFont="1" applyFill="1" applyBorder="1" applyAlignment="1">
      <alignment horizontal="center"/>
    </xf>
    <xf numFmtId="165" fontId="18" fillId="13" borderId="19" xfId="0" applyNumberFormat="1" applyFont="1" applyFill="1" applyBorder="1" applyAlignment="1">
      <alignment horizontal="center"/>
    </xf>
    <xf numFmtId="165" fontId="18" fillId="13" borderId="13" xfId="0" applyNumberFormat="1" applyFont="1" applyFill="1" applyBorder="1" applyAlignment="1">
      <alignment horizontal="center"/>
    </xf>
    <xf numFmtId="165" fontId="18" fillId="10" borderId="50" xfId="0" applyNumberFormat="1" applyFont="1" applyFill="1" applyBorder="1" applyAlignment="1">
      <alignment horizontal="center"/>
    </xf>
    <xf numFmtId="164" fontId="18" fillId="12" borderId="13" xfId="0" applyNumberFormat="1" applyFont="1" applyFill="1" applyBorder="1" applyAlignment="1">
      <alignment horizontal="center" vertical="center" wrapText="1"/>
    </xf>
    <xf numFmtId="4" fontId="18" fillId="12" borderId="10" xfId="0" applyNumberFormat="1" applyFont="1" applyFill="1" applyBorder="1" applyAlignment="1">
      <alignment horizontal="center"/>
    </xf>
    <xf numFmtId="4" fontId="42" fillId="12" borderId="1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4" fontId="14" fillId="0" borderId="17" xfId="0" applyNumberFormat="1" applyFont="1" applyBorder="1" applyAlignment="1">
      <alignment horizontal="center" vertical="center"/>
    </xf>
    <xf numFmtId="4" fontId="14" fillId="0" borderId="16" xfId="0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Border="1" applyAlignment="1"/>
    <xf numFmtId="4" fontId="12" fillId="0" borderId="0" xfId="0" applyNumberFormat="1" applyFont="1" applyBorder="1" applyAlignment="1">
      <alignment horizontal="center"/>
    </xf>
    <xf numFmtId="4" fontId="18" fillId="3" borderId="0" xfId="0" applyNumberFormat="1" applyFont="1" applyFill="1" applyBorder="1" applyAlignment="1">
      <alignment vertical="center" wrapText="1"/>
    </xf>
    <xf numFmtId="0" fontId="12" fillId="0" borderId="36" xfId="0" applyFont="1" applyBorder="1" applyAlignment="1">
      <alignment horizontal="center"/>
    </xf>
    <xf numFmtId="4" fontId="11" fillId="0" borderId="0" xfId="0" applyNumberFormat="1" applyFont="1" applyBorder="1" applyAlignment="1">
      <alignment horizontal="center"/>
    </xf>
    <xf numFmtId="3" fontId="14" fillId="0" borderId="50" xfId="0" applyNumberFormat="1" applyFont="1" applyBorder="1" applyAlignment="1">
      <alignment horizontal="center" vertical="center"/>
    </xf>
    <xf numFmtId="3" fontId="14" fillId="0" borderId="51" xfId="0" applyNumberFormat="1" applyFont="1" applyBorder="1" applyAlignment="1">
      <alignment horizontal="center" vertical="center"/>
    </xf>
    <xf numFmtId="3" fontId="14" fillId="0" borderId="52" xfId="0" applyNumberFormat="1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/>
    </xf>
    <xf numFmtId="0" fontId="12" fillId="0" borderId="17" xfId="0" applyFont="1" applyBorder="1"/>
    <xf numFmtId="0" fontId="12" fillId="0" borderId="18" xfId="0" applyFont="1" applyBorder="1"/>
    <xf numFmtId="4" fontId="13" fillId="0" borderId="11" xfId="0" applyNumberFormat="1" applyFont="1" applyBorder="1" applyAlignment="1">
      <alignment vertical="center" wrapText="1" shrinkToFit="1"/>
    </xf>
    <xf numFmtId="0" fontId="47" fillId="2" borderId="0" xfId="0" applyFont="1" applyFill="1" applyBorder="1" applyAlignment="1">
      <alignment horizontal="center"/>
    </xf>
    <xf numFmtId="4" fontId="0" fillId="0" borderId="0" xfId="0" applyNumberFormat="1" applyBorder="1"/>
    <xf numFmtId="4" fontId="0" fillId="0" borderId="6" xfId="0" applyNumberFormat="1" applyBorder="1"/>
    <xf numFmtId="4" fontId="0" fillId="0" borderId="10" xfId="0" applyNumberFormat="1" applyBorder="1"/>
    <xf numFmtId="4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/>
    <xf numFmtId="4" fontId="0" fillId="0" borderId="19" xfId="0" applyNumberFormat="1" applyBorder="1" applyAlignment="1">
      <alignment horizontal="center"/>
    </xf>
    <xf numFmtId="4" fontId="0" fillId="0" borderId="19" xfId="0" applyNumberFormat="1" applyBorder="1"/>
    <xf numFmtId="4" fontId="0" fillId="0" borderId="13" xfId="0" applyNumberFormat="1" applyBorder="1"/>
    <xf numFmtId="4" fontId="2" fillId="0" borderId="6" xfId="0" applyNumberFormat="1" applyFont="1" applyBorder="1" applyAlignment="1">
      <alignment horizontal="center"/>
    </xf>
    <xf numFmtId="4" fontId="0" fillId="0" borderId="15" xfId="0" applyNumberFormat="1" applyBorder="1"/>
    <xf numFmtId="4" fontId="2" fillId="0" borderId="17" xfId="0" applyNumberFormat="1" applyFont="1" applyBorder="1" applyAlignment="1">
      <alignment horizontal="center"/>
    </xf>
    <xf numFmtId="4" fontId="2" fillId="0" borderId="18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4" fontId="2" fillId="0" borderId="0" xfId="0" applyNumberFormat="1" applyFont="1"/>
    <xf numFmtId="0" fontId="5" fillId="0" borderId="12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4" fontId="0" fillId="0" borderId="11" xfId="0" applyNumberForma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43" fontId="12" fillId="0" borderId="27" xfId="1" applyFont="1" applyBorder="1" applyAlignment="1">
      <alignment horizontal="center" vertical="center" wrapText="1"/>
    </xf>
    <xf numFmtId="43" fontId="12" fillId="0" borderId="68" xfId="1" applyFont="1" applyBorder="1" applyAlignment="1">
      <alignment horizontal="center"/>
    </xf>
    <xf numFmtId="4" fontId="0" fillId="0" borderId="12" xfId="0" applyNumberFormat="1" applyBorder="1" applyAlignment="1">
      <alignment horizontal="center" vertical="center" wrapText="1"/>
    </xf>
    <xf numFmtId="4" fontId="0" fillId="0" borderId="19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4" fontId="0" fillId="0" borderId="6" xfId="0" applyNumberFormat="1" applyBorder="1" applyAlignment="1">
      <alignment horizontal="center"/>
    </xf>
    <xf numFmtId="4" fontId="0" fillId="0" borderId="6" xfId="0" applyNumberFormat="1" applyFont="1" applyBorder="1" applyAlignment="1">
      <alignment horizontal="center"/>
    </xf>
    <xf numFmtId="0" fontId="4" fillId="0" borderId="19" xfId="0" applyFont="1" applyFill="1" applyBorder="1" applyAlignment="1">
      <alignment horizontal="left" vertic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Fill="1" applyBorder="1" applyAlignment="1">
      <alignment horizontal="left" vertical="center" wrapText="1"/>
    </xf>
    <xf numFmtId="2" fontId="13" fillId="0" borderId="6" xfId="0" applyNumberFormat="1" applyFont="1" applyBorder="1" applyAlignment="1">
      <alignment horizontal="center" vertical="center" wrapText="1"/>
    </xf>
    <xf numFmtId="0" fontId="13" fillId="0" borderId="6" xfId="0" applyFont="1" applyBorder="1"/>
    <xf numFmtId="0" fontId="13" fillId="0" borderId="15" xfId="0" applyFont="1" applyBorder="1"/>
    <xf numFmtId="4" fontId="13" fillId="0" borderId="13" xfId="0" applyNumberFormat="1" applyFon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3" fillId="0" borderId="10" xfId="0" applyNumberFormat="1" applyFont="1" applyBorder="1" applyAlignment="1">
      <alignment vertical="center"/>
    </xf>
    <xf numFmtId="4" fontId="13" fillId="0" borderId="15" xfId="0" applyNumberFormat="1" applyFont="1" applyBorder="1" applyAlignment="1">
      <alignment vertical="center"/>
    </xf>
    <xf numFmtId="0" fontId="18" fillId="0" borderId="19" xfId="0" applyFont="1" applyBorder="1"/>
    <xf numFmtId="0" fontId="18" fillId="0" borderId="13" xfId="0" applyFont="1" applyBorder="1"/>
    <xf numFmtId="0" fontId="18" fillId="0" borderId="0" xfId="0" applyFont="1" applyBorder="1"/>
    <xf numFmtId="0" fontId="18" fillId="0" borderId="10" xfId="0" applyFont="1" applyBorder="1"/>
    <xf numFmtId="0" fontId="13" fillId="0" borderId="11" xfId="0" applyFont="1" applyBorder="1" applyAlignment="1">
      <alignment horizontal="center"/>
    </xf>
    <xf numFmtId="0" fontId="18" fillId="0" borderId="6" xfId="0" applyFont="1" applyBorder="1"/>
    <xf numFmtId="0" fontId="18" fillId="0" borderId="15" xfId="0" applyFont="1" applyBorder="1"/>
    <xf numFmtId="0" fontId="18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9" fillId="0" borderId="16" xfId="0" applyFont="1" applyBorder="1" applyAlignment="1"/>
    <xf numFmtId="0" fontId="19" fillId="0" borderId="18" xfId="0" applyFont="1" applyBorder="1" applyAlignment="1"/>
    <xf numFmtId="4" fontId="18" fillId="0" borderId="48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" fontId="48" fillId="0" borderId="0" xfId="0" applyNumberFormat="1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2" fillId="0" borderId="19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4" fontId="49" fillId="0" borderId="6" xfId="0" applyNumberFormat="1" applyFont="1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4" fontId="0" fillId="0" borderId="6" xfId="0" applyNumberFormat="1" applyFill="1" applyBorder="1" applyAlignment="1">
      <alignment horizontal="center"/>
    </xf>
    <xf numFmtId="4" fontId="0" fillId="0" borderId="13" xfId="0" applyNumberFormat="1" applyFill="1" applyBorder="1" applyAlignment="1">
      <alignment horizontal="center"/>
    </xf>
    <xf numFmtId="4" fontId="0" fillId="0" borderId="10" xfId="0" applyNumberFormat="1" applyFill="1" applyBorder="1" applyAlignment="1">
      <alignment horizontal="center"/>
    </xf>
    <xf numFmtId="4" fontId="0" fillId="0" borderId="15" xfId="0" applyNumberFormat="1" applyFill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19" xfId="0" applyFont="1" applyBorder="1"/>
    <xf numFmtId="0" fontId="2" fillId="0" borderId="6" xfId="0" applyFont="1" applyBorder="1"/>
    <xf numFmtId="4" fontId="0" fillId="0" borderId="19" xfId="0" applyNumberFormat="1" applyFill="1" applyBorder="1" applyAlignment="1">
      <alignment horizontal="center"/>
    </xf>
    <xf numFmtId="4" fontId="48" fillId="0" borderId="14" xfId="0" applyNumberFormat="1" applyFont="1" applyFill="1" applyBorder="1" applyAlignment="1">
      <alignment horizontal="center"/>
    </xf>
    <xf numFmtId="4" fontId="48" fillId="0" borderId="6" xfId="0" applyNumberFormat="1" applyFont="1" applyFill="1" applyBorder="1" applyAlignment="1">
      <alignment horizontal="center"/>
    </xf>
    <xf numFmtId="4" fontId="49" fillId="0" borderId="14" xfId="0" applyNumberFormat="1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" fontId="7" fillId="0" borderId="0" xfId="0" applyNumberFormat="1" applyFont="1" applyFill="1" applyBorder="1" applyAlignment="1">
      <alignment horizontal="center"/>
    </xf>
    <xf numFmtId="4" fontId="49" fillId="0" borderId="15" xfId="0" applyNumberFormat="1" applyFont="1" applyFill="1" applyBorder="1" applyAlignment="1">
      <alignment horizontal="center"/>
    </xf>
    <xf numFmtId="0" fontId="13" fillId="0" borderId="0" xfId="0" applyFont="1"/>
    <xf numFmtId="4" fontId="11" fillId="0" borderId="17" xfId="0" applyNumberFormat="1" applyFont="1" applyBorder="1" applyAlignment="1">
      <alignment horizontal="center" vertical="center" wrapText="1"/>
    </xf>
    <xf numFmtId="4" fontId="11" fillId="0" borderId="18" xfId="0" applyNumberFormat="1" applyFont="1" applyBorder="1" applyAlignment="1">
      <alignment horizontal="center" vertical="center" wrapText="1"/>
    </xf>
    <xf numFmtId="14" fontId="12" fillId="0" borderId="0" xfId="0" applyNumberFormat="1" applyFont="1"/>
    <xf numFmtId="43" fontId="11" fillId="0" borderId="12" xfId="1" applyFont="1" applyBorder="1" applyAlignment="1">
      <alignment horizontal="center"/>
    </xf>
    <xf numFmtId="43" fontId="11" fillId="0" borderId="19" xfId="1" applyFont="1" applyBorder="1" applyAlignment="1">
      <alignment horizontal="center"/>
    </xf>
    <xf numFmtId="43" fontId="11" fillId="0" borderId="13" xfId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53" xfId="0" applyNumberFormat="1" applyFont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3" fontId="0" fillId="0" borderId="0" xfId="1" applyFont="1" applyBorder="1" applyAlignment="1">
      <alignment horizontal="center" vertical="center" wrapText="1"/>
    </xf>
    <xf numFmtId="4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center" vertical="center" wrapText="1"/>
    </xf>
    <xf numFmtId="4" fontId="2" fillId="0" borderId="10" xfId="0" applyNumberFormat="1" applyFont="1" applyBorder="1" applyAlignment="1">
      <alignment horizontal="center" vertical="center" wrapText="1"/>
    </xf>
    <xf numFmtId="4" fontId="2" fillId="0" borderId="15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43" fontId="12" fillId="0" borderId="6" xfId="1" applyFont="1" applyBorder="1"/>
    <xf numFmtId="170" fontId="12" fillId="0" borderId="0" xfId="0" applyNumberFormat="1" applyFont="1"/>
    <xf numFmtId="0" fontId="12" fillId="0" borderId="0" xfId="0" applyFont="1" applyAlignment="1">
      <alignment horizontal="right"/>
    </xf>
    <xf numFmtId="43" fontId="12" fillId="0" borderId="11" xfId="1" applyFont="1" applyBorder="1"/>
    <xf numFmtId="43" fontId="12" fillId="0" borderId="17" xfId="1" applyFont="1" applyBorder="1" applyAlignment="1">
      <alignment horizontal="center"/>
    </xf>
    <xf numFmtId="43" fontId="12" fillId="0" borderId="18" xfId="1" applyFont="1" applyBorder="1" applyAlignment="1">
      <alignment horizontal="center"/>
    </xf>
    <xf numFmtId="43" fontId="13" fillId="0" borderId="48" xfId="0" applyNumberFormat="1" applyFont="1" applyBorder="1"/>
    <xf numFmtId="0" fontId="12" fillId="0" borderId="48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4" fontId="18" fillId="0" borderId="10" xfId="0" applyNumberFormat="1" applyFont="1" applyBorder="1" applyAlignment="1">
      <alignment horizontal="center"/>
    </xf>
    <xf numFmtId="4" fontId="18" fillId="0" borderId="15" xfId="0" applyNumberFormat="1" applyFont="1" applyBorder="1" applyAlignment="1">
      <alignment horizontal="center"/>
    </xf>
    <xf numFmtId="4" fontId="5" fillId="0" borderId="3" xfId="0" applyNumberFormat="1" applyFont="1" applyBorder="1" applyAlignment="1">
      <alignment vertical="center" wrapText="1"/>
    </xf>
    <xf numFmtId="4" fontId="5" fillId="0" borderId="6" xfId="0" applyNumberFormat="1" applyFont="1" applyBorder="1" applyAlignment="1">
      <alignment horizontal="center" vertical="center" wrapText="1"/>
    </xf>
    <xf numFmtId="4" fontId="0" fillId="0" borderId="15" xfId="0" applyNumberFormat="1" applyFont="1" applyBorder="1" applyAlignment="1">
      <alignment horizontal="center" vertical="center" wrapText="1"/>
    </xf>
    <xf numFmtId="4" fontId="5" fillId="0" borderId="4" xfId="0" applyNumberFormat="1" applyFont="1" applyBorder="1" applyAlignment="1">
      <alignment vertical="center" wrapText="1"/>
    </xf>
    <xf numFmtId="0" fontId="0" fillId="0" borderId="3" xfId="0" applyBorder="1" applyAlignment="1"/>
    <xf numFmtId="0" fontId="0" fillId="0" borderId="47" xfId="0" applyBorder="1" applyAlignment="1"/>
    <xf numFmtId="0" fontId="0" fillId="0" borderId="14" xfId="0" applyBorder="1" applyAlignment="1"/>
    <xf numFmtId="4" fontId="5" fillId="0" borderId="15" xfId="0" applyNumberFormat="1" applyFont="1" applyBorder="1" applyAlignment="1">
      <alignment vertical="center" wrapText="1"/>
    </xf>
    <xf numFmtId="4" fontId="5" fillId="0" borderId="26" xfId="0" applyNumberFormat="1" applyFont="1" applyBorder="1" applyAlignment="1">
      <alignment horizontal="left" vertical="center" wrapText="1"/>
    </xf>
    <xf numFmtId="4" fontId="5" fillId="0" borderId="27" xfId="0" applyNumberFormat="1" applyFont="1" applyBorder="1" applyAlignment="1">
      <alignment horizontal="left" vertical="center" wrapText="1"/>
    </xf>
    <xf numFmtId="4" fontId="5" fillId="0" borderId="10" xfId="0" applyNumberFormat="1" applyFont="1" applyBorder="1" applyAlignment="1">
      <alignment vertical="center" wrapText="1"/>
    </xf>
    <xf numFmtId="0" fontId="4" fillId="0" borderId="14" xfId="0" applyFont="1" applyBorder="1" applyAlignment="1"/>
    <xf numFmtId="0" fontId="4" fillId="0" borderId="6" xfId="0" applyFont="1" applyBorder="1" applyAlignment="1"/>
    <xf numFmtId="4" fontId="5" fillId="0" borderId="11" xfId="0" applyNumberFormat="1" applyFont="1" applyBorder="1" applyAlignment="1">
      <alignment vertical="center" wrapText="1"/>
    </xf>
    <xf numFmtId="0" fontId="11" fillId="0" borderId="47" xfId="0" applyFont="1" applyBorder="1" applyAlignment="1">
      <alignment horizontal="center"/>
    </xf>
    <xf numFmtId="4" fontId="3" fillId="0" borderId="44" xfId="0" applyNumberFormat="1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43" fontId="12" fillId="4" borderId="0" xfId="1" applyFont="1" applyFill="1" applyAlignment="1">
      <alignment horizontal="center" vertical="center" wrapText="1"/>
    </xf>
    <xf numFmtId="0" fontId="0" fillId="0" borderId="50" xfId="0" applyBorder="1"/>
    <xf numFmtId="171" fontId="0" fillId="0" borderId="0" xfId="0" applyNumberFormat="1"/>
    <xf numFmtId="0" fontId="4" fillId="0" borderId="48" xfId="0" applyFont="1" applyBorder="1" applyAlignment="1">
      <alignment horizontal="center"/>
    </xf>
    <xf numFmtId="0" fontId="4" fillId="0" borderId="19" xfId="0" applyFont="1" applyFill="1" applyBorder="1" applyAlignment="1"/>
    <xf numFmtId="0" fontId="4" fillId="0" borderId="13" xfId="0" applyFont="1" applyFill="1" applyBorder="1" applyAlignment="1"/>
    <xf numFmtId="0" fontId="0" fillId="0" borderId="50" xfId="0" applyFill="1" applyBorder="1"/>
    <xf numFmtId="0" fontId="0" fillId="0" borderId="0" xfId="0" applyFill="1"/>
    <xf numFmtId="0" fontId="13" fillId="0" borderId="34" xfId="0" applyFont="1" applyBorder="1" applyAlignment="1"/>
    <xf numFmtId="0" fontId="13" fillId="0" borderId="33" xfId="0" applyFont="1" applyBorder="1" applyAlignment="1"/>
    <xf numFmtId="0" fontId="12" fillId="0" borderId="34" xfId="0" applyFont="1" applyBorder="1" applyAlignment="1"/>
    <xf numFmtId="0" fontId="13" fillId="0" borderId="26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2" fillId="0" borderId="67" xfId="0" applyFont="1" applyFill="1" applyBorder="1" applyAlignment="1">
      <alignment horizontal="center" vertical="center" wrapText="1"/>
    </xf>
    <xf numFmtId="0" fontId="2" fillId="0" borderId="74" xfId="0" applyFont="1" applyFill="1" applyBorder="1" applyAlignment="1">
      <alignment horizontal="center" vertical="center" wrapText="1"/>
    </xf>
    <xf numFmtId="0" fontId="2" fillId="0" borderId="53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center" vertical="center" wrapText="1"/>
    </xf>
    <xf numFmtId="171" fontId="2" fillId="0" borderId="12" xfId="0" applyNumberFormat="1" applyFont="1" applyBorder="1" applyAlignment="1">
      <alignment horizontal="center" vertical="center" wrapText="1"/>
    </xf>
    <xf numFmtId="171" fontId="2" fillId="0" borderId="19" xfId="0" applyNumberFormat="1" applyFont="1" applyBorder="1" applyAlignment="1">
      <alignment horizontal="center" vertical="center" wrapText="1"/>
    </xf>
    <xf numFmtId="4" fontId="0" fillId="0" borderId="13" xfId="0" applyNumberFormat="1" applyFont="1" applyBorder="1" applyAlignment="1">
      <alignment horizontal="left" vertical="center" wrapText="1"/>
    </xf>
    <xf numFmtId="4" fontId="2" fillId="0" borderId="12" xfId="0" applyNumberFormat="1" applyFont="1" applyBorder="1" applyAlignment="1">
      <alignment horizontal="center" vertical="center" wrapText="1"/>
    </xf>
    <xf numFmtId="4" fontId="2" fillId="0" borderId="19" xfId="0" applyNumberFormat="1" applyFont="1" applyBorder="1" applyAlignment="1">
      <alignment horizontal="center" vertical="center" wrapText="1"/>
    </xf>
    <xf numFmtId="0" fontId="5" fillId="0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171" fontId="2" fillId="0" borderId="11" xfId="0" applyNumberFormat="1" applyFont="1" applyBorder="1" applyAlignment="1">
      <alignment horizontal="center" vertical="center" wrapText="1"/>
    </xf>
    <xf numFmtId="171" fontId="2" fillId="0" borderId="0" xfId="0" applyNumberFormat="1" applyFont="1" applyBorder="1" applyAlignment="1">
      <alignment horizontal="center" vertical="center" wrapText="1"/>
    </xf>
    <xf numFmtId="4" fontId="48" fillId="0" borderId="11" xfId="0" applyNumberFormat="1" applyFont="1" applyBorder="1" applyAlignment="1">
      <alignment horizontal="center" vertical="center" wrapText="1"/>
    </xf>
    <xf numFmtId="4" fontId="48" fillId="0" borderId="0" xfId="0" applyNumberFormat="1" applyFont="1" applyBorder="1" applyAlignment="1">
      <alignment horizontal="center" vertical="center" wrapText="1"/>
    </xf>
    <xf numFmtId="171" fontId="2" fillId="0" borderId="0" xfId="0" applyNumberFormat="1" applyFont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2" fillId="0" borderId="11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4" fontId="2" fillId="0" borderId="14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171" fontId="2" fillId="0" borderId="14" xfId="0" applyNumberFormat="1" applyFont="1" applyBorder="1" applyAlignment="1">
      <alignment horizontal="center" vertical="center" wrapText="1"/>
    </xf>
    <xf numFmtId="171" fontId="2" fillId="0" borderId="6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171" fontId="4" fillId="0" borderId="52" xfId="0" applyNumberFormat="1" applyFont="1" applyBorder="1" applyAlignment="1">
      <alignment horizontal="center"/>
    </xf>
    <xf numFmtId="4" fontId="4" fillId="0" borderId="48" xfId="0" applyNumberFormat="1" applyFont="1" applyBorder="1" applyAlignment="1">
      <alignment horizontal="center" vertical="center" wrapText="1"/>
    </xf>
    <xf numFmtId="43" fontId="0" fillId="0" borderId="0" xfId="0" applyNumberFormat="1" applyBorder="1" applyAlignment="1">
      <alignment horizontal="center" vertical="center"/>
    </xf>
    <xf numFmtId="171" fontId="0" fillId="0" borderId="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71" fontId="4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71" fontId="4" fillId="0" borderId="0" xfId="0" applyNumberFormat="1" applyFont="1" applyBorder="1" applyAlignment="1">
      <alignment horizontal="center" vertical="center"/>
    </xf>
    <xf numFmtId="43" fontId="10" fillId="0" borderId="0" xfId="1" applyFont="1" applyBorder="1" applyAlignment="1">
      <alignment horizontal="center"/>
    </xf>
    <xf numFmtId="172" fontId="0" fillId="0" borderId="0" xfId="0" applyNumberFormat="1"/>
    <xf numFmtId="171" fontId="18" fillId="0" borderId="0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" fontId="18" fillId="0" borderId="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164" fontId="42" fillId="0" borderId="0" xfId="0" applyNumberFormat="1" applyFont="1" applyAlignment="1">
      <alignment horizontal="center"/>
    </xf>
    <xf numFmtId="164" fontId="42" fillId="0" borderId="0" xfId="0" applyNumberFormat="1" applyFont="1" applyBorder="1" applyAlignment="1">
      <alignment horizontal="center" vertical="center" wrapText="1"/>
    </xf>
    <xf numFmtId="172" fontId="42" fillId="0" borderId="0" xfId="0" applyNumberFormat="1" applyFont="1" applyAlignment="1">
      <alignment horizontal="center"/>
    </xf>
    <xf numFmtId="164" fontId="18" fillId="0" borderId="0" xfId="0" applyNumberFormat="1" applyFont="1" applyBorder="1" applyAlignment="1">
      <alignment horizontal="center" vertical="center" wrapText="1"/>
    </xf>
    <xf numFmtId="164" fontId="42" fillId="0" borderId="0" xfId="0" applyNumberFormat="1" applyFont="1"/>
    <xf numFmtId="164" fontId="18" fillId="4" borderId="0" xfId="0" applyNumberFormat="1" applyFont="1" applyFill="1"/>
    <xf numFmtId="172" fontId="0" fillId="4" borderId="0" xfId="0" applyNumberFormat="1" applyFill="1"/>
    <xf numFmtId="0" fontId="42" fillId="0" borderId="0" xfId="0" applyFont="1"/>
    <xf numFmtId="0" fontId="0" fillId="0" borderId="0" xfId="0" applyFont="1" applyBorder="1" applyAlignment="1">
      <alignment horizontal="center" wrapText="1"/>
    </xf>
    <xf numFmtId="43" fontId="42" fillId="0" borderId="0" xfId="0" applyNumberFormat="1" applyFont="1"/>
    <xf numFmtId="43" fontId="6" fillId="0" borderId="0" xfId="0" applyNumberFormat="1" applyFont="1"/>
    <xf numFmtId="172" fontId="6" fillId="0" borderId="0" xfId="0" applyNumberFormat="1" applyFont="1" applyAlignment="1">
      <alignment horizontal="center" vertical="center"/>
    </xf>
    <xf numFmtId="171" fontId="0" fillId="0" borderId="6" xfId="0" applyNumberFormat="1" applyBorder="1" applyAlignment="1">
      <alignment horizontal="center" vertical="center" wrapText="1"/>
    </xf>
    <xf numFmtId="171" fontId="0" fillId="0" borderId="52" xfId="0" applyNumberFormat="1" applyBorder="1" applyAlignment="1">
      <alignment horizontal="center" vertical="center" wrapText="1"/>
    </xf>
    <xf numFmtId="171" fontId="0" fillId="0" borderId="17" xfId="0" applyNumberFormat="1" applyBorder="1" applyAlignment="1">
      <alignment horizontal="center"/>
    </xf>
    <xf numFmtId="171" fontId="0" fillId="0" borderId="18" xfId="0" applyNumberFormat="1" applyBorder="1" applyAlignment="1">
      <alignment horizontal="center"/>
    </xf>
    <xf numFmtId="0" fontId="12" fillId="0" borderId="27" xfId="0" applyFont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4" fontId="2" fillId="0" borderId="55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64" xfId="0" applyFont="1" applyBorder="1" applyAlignment="1">
      <alignment vertical="center" wrapText="1"/>
    </xf>
    <xf numFmtId="0" fontId="0" fillId="0" borderId="67" xfId="0" applyBorder="1" applyAlignment="1">
      <alignment horizontal="center" vertical="center" wrapText="1"/>
    </xf>
    <xf numFmtId="0" fontId="0" fillId="0" borderId="26" xfId="0" applyFont="1" applyBorder="1" applyAlignment="1">
      <alignment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171" fontId="4" fillId="0" borderId="12" xfId="0" applyNumberFormat="1" applyFont="1" applyBorder="1" applyAlignment="1">
      <alignment horizontal="left"/>
    </xf>
    <xf numFmtId="171" fontId="4" fillId="0" borderId="11" xfId="0" applyNumberFormat="1" applyFont="1" applyBorder="1" applyAlignment="1">
      <alignment horizontal="left"/>
    </xf>
    <xf numFmtId="0" fontId="12" fillId="0" borderId="73" xfId="0" applyFont="1" applyBorder="1" applyAlignment="1"/>
    <xf numFmtId="171" fontId="4" fillId="0" borderId="11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12" fillId="0" borderId="10" xfId="0" applyFont="1" applyBorder="1" applyAlignment="1"/>
    <xf numFmtId="0" fontId="2" fillId="0" borderId="10" xfId="0" applyFont="1" applyFill="1" applyBorder="1" applyAlignment="1">
      <alignment horizontal="center" vertical="center" wrapText="1"/>
    </xf>
    <xf numFmtId="171" fontId="4" fillId="0" borderId="0" xfId="0" applyNumberFormat="1" applyFont="1" applyBorder="1" applyAlignment="1">
      <alignment horizontal="left"/>
    </xf>
    <xf numFmtId="4" fontId="0" fillId="0" borderId="10" xfId="0" applyNumberFormat="1" applyFont="1" applyBorder="1" applyAlignment="1">
      <alignment horizontal="left" vertical="center" wrapText="1"/>
    </xf>
    <xf numFmtId="4" fontId="0" fillId="0" borderId="10" xfId="0" applyNumberFormat="1" applyBorder="1" applyAlignment="1">
      <alignment horizontal="left"/>
    </xf>
    <xf numFmtId="0" fontId="30" fillId="0" borderId="19" xfId="0" applyFont="1" applyBorder="1"/>
    <xf numFmtId="0" fontId="2" fillId="0" borderId="0" xfId="0" applyFont="1" applyBorder="1" applyAlignment="1">
      <alignment horizontal="right"/>
    </xf>
    <xf numFmtId="166" fontId="0" fillId="0" borderId="0" xfId="1" applyNumberFormat="1" applyFont="1" applyFill="1" applyAlignment="1">
      <alignment horizontal="center" vertical="center" wrapText="1"/>
    </xf>
    <xf numFmtId="0" fontId="51" fillId="0" borderId="0" xfId="0" applyFont="1" applyAlignment="1">
      <alignment horizontal="left"/>
    </xf>
    <xf numFmtId="0" fontId="51" fillId="0" borderId="0" xfId="0" applyFont="1"/>
    <xf numFmtId="0" fontId="15" fillId="0" borderId="0" xfId="0" applyFont="1"/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43" fontId="11" fillId="0" borderId="0" xfId="1" applyFont="1" applyAlignment="1">
      <alignment horizontal="left"/>
    </xf>
    <xf numFmtId="0" fontId="12" fillId="0" borderId="0" xfId="0" applyFont="1" applyBorder="1" applyAlignment="1">
      <alignment horizontal="left"/>
    </xf>
    <xf numFmtId="43" fontId="12" fillId="0" borderId="0" xfId="1" applyFont="1" applyBorder="1" applyAlignment="1">
      <alignment horizontal="left" vertical="center" wrapText="1"/>
    </xf>
    <xf numFmtId="1" fontId="12" fillId="0" borderId="0" xfId="0" applyNumberFormat="1" applyFont="1" applyAlignment="1">
      <alignment horizontal="right"/>
    </xf>
    <xf numFmtId="0" fontId="12" fillId="0" borderId="0" xfId="0" applyFont="1" applyBorder="1" applyAlignment="1">
      <alignment horizontal="left" vertical="center" wrapText="1"/>
    </xf>
    <xf numFmtId="0" fontId="53" fillId="0" borderId="0" xfId="0" applyFont="1"/>
    <xf numFmtId="0" fontId="54" fillId="0" borderId="0" xfId="0" applyFont="1" applyAlignment="1">
      <alignment horizontal="center"/>
    </xf>
    <xf numFmtId="0" fontId="30" fillId="0" borderId="12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4" fontId="30" fillId="0" borderId="13" xfId="1" applyNumberFormat="1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4" fontId="30" fillId="0" borderId="10" xfId="1" applyNumberFormat="1" applyFont="1" applyBorder="1" applyAlignment="1">
      <alignment horizontal="center" vertical="center" wrapText="1"/>
    </xf>
    <xf numFmtId="3" fontId="30" fillId="0" borderId="10" xfId="1" applyNumberFormat="1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/>
    </xf>
    <xf numFmtId="0" fontId="55" fillId="0" borderId="0" xfId="0" applyFont="1"/>
    <xf numFmtId="43" fontId="30" fillId="0" borderId="0" xfId="1" applyFont="1" applyBorder="1"/>
    <xf numFmtId="2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56" fillId="0" borderId="0" xfId="0" applyFont="1"/>
    <xf numFmtId="0" fontId="52" fillId="0" borderId="0" xfId="0" applyFont="1"/>
    <xf numFmtId="0" fontId="57" fillId="0" borderId="0" xfId="0" applyFont="1"/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18" fillId="9" borderId="46" xfId="0" applyNumberFormat="1" applyFont="1" applyFill="1" applyBorder="1" applyAlignment="1">
      <alignment horizontal="center" vertical="center"/>
    </xf>
    <xf numFmtId="170" fontId="0" fillId="0" borderId="15" xfId="1" applyNumberFormat="1" applyFont="1" applyBorder="1" applyAlignment="1">
      <alignment horizontal="center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4" fontId="7" fillId="0" borderId="12" xfId="0" applyNumberFormat="1" applyFont="1" applyBorder="1" applyAlignment="1">
      <alignment horizontal="center" vertical="center" wrapText="1"/>
    </xf>
    <xf numFmtId="4" fontId="7" fillId="0" borderId="1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17" borderId="26" xfId="0" applyFill="1" applyBorder="1"/>
    <xf numFmtId="0" fontId="0" fillId="17" borderId="26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49" fillId="2" borderId="26" xfId="0" applyFont="1" applyFill="1" applyBorder="1"/>
    <xf numFmtId="0" fontId="49" fillId="0" borderId="26" xfId="0" applyFont="1" applyBorder="1" applyAlignment="1">
      <alignment horizontal="center"/>
    </xf>
    <xf numFmtId="0" fontId="49" fillId="2" borderId="26" xfId="0" applyFont="1" applyFill="1" applyBorder="1" applyAlignment="1">
      <alignment horizontal="center"/>
    </xf>
    <xf numFmtId="0" fontId="4" fillId="0" borderId="15" xfId="0" applyFont="1" applyBorder="1" applyAlignment="1"/>
    <xf numFmtId="4" fontId="6" fillId="0" borderId="17" xfId="0" applyNumberFormat="1" applyFont="1" applyBorder="1" applyAlignment="1">
      <alignment horizontal="center" vertical="center" wrapText="1"/>
    </xf>
    <xf numFmtId="4" fontId="58" fillId="0" borderId="18" xfId="0" applyNumberFormat="1" applyFont="1" applyBorder="1" applyAlignment="1">
      <alignment vertical="center" wrapText="1"/>
    </xf>
    <xf numFmtId="43" fontId="2" fillId="0" borderId="0" xfId="1" applyFont="1" applyBorder="1" applyAlignment="1">
      <alignment wrapText="1"/>
    </xf>
    <xf numFmtId="4" fontId="18" fillId="0" borderId="19" xfId="0" applyNumberFormat="1" applyFont="1" applyBorder="1" applyAlignment="1">
      <alignment horizontal="center" vertical="center"/>
    </xf>
    <xf numFmtId="4" fontId="18" fillId="0" borderId="13" xfId="0" applyNumberFormat="1" applyFont="1" applyBorder="1" applyAlignment="1">
      <alignment horizontal="center"/>
    </xf>
    <xf numFmtId="164" fontId="42" fillId="0" borderId="11" xfId="0" applyNumberFormat="1" applyFont="1" applyBorder="1" applyAlignment="1">
      <alignment horizontal="center" vertical="center"/>
    </xf>
    <xf numFmtId="164" fontId="42" fillId="0" borderId="11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43" fontId="0" fillId="0" borderId="26" xfId="1" applyFont="1" applyBorder="1" applyAlignment="1">
      <alignment horizontal="center"/>
    </xf>
    <xf numFmtId="43" fontId="0" fillId="0" borderId="26" xfId="1" applyFont="1" applyBorder="1" applyAlignment="1">
      <alignment horizontal="center" vertical="center" wrapText="1"/>
    </xf>
    <xf numFmtId="43" fontId="0" fillId="0" borderId="53" xfId="1" applyFont="1" applyBorder="1" applyAlignment="1">
      <alignment horizontal="center"/>
    </xf>
    <xf numFmtId="0" fontId="0" fillId="0" borderId="48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4" fontId="42" fillId="12" borderId="11" xfId="0" applyNumberFormat="1" applyFont="1" applyFill="1" applyBorder="1" applyAlignment="1">
      <alignment horizontal="center"/>
    </xf>
    <xf numFmtId="4" fontId="18" fillId="12" borderId="11" xfId="0" applyNumberFormat="1" applyFont="1" applyFill="1" applyBorder="1" applyAlignment="1">
      <alignment horizontal="center"/>
    </xf>
    <xf numFmtId="164" fontId="50" fillId="18" borderId="51" xfId="0" applyNumberFormat="1" applyFont="1" applyFill="1" applyBorder="1" applyAlignment="1">
      <alignment horizontal="left" vertical="center"/>
    </xf>
    <xf numFmtId="164" fontId="37" fillId="18" borderId="51" xfId="0" applyNumberFormat="1" applyFont="1" applyFill="1" applyBorder="1" applyAlignment="1">
      <alignment horizontal="left" vertical="center"/>
    </xf>
    <xf numFmtId="164" fontId="50" fillId="19" borderId="51" xfId="0" applyNumberFormat="1" applyFont="1" applyFill="1" applyBorder="1" applyAlignment="1">
      <alignment horizontal="left" vertical="center"/>
    </xf>
    <xf numFmtId="164" fontId="59" fillId="14" borderId="51" xfId="0" applyNumberFormat="1" applyFont="1" applyFill="1" applyBorder="1"/>
    <xf numFmtId="164" fontId="59" fillId="14" borderId="51" xfId="0" applyNumberFormat="1" applyFont="1" applyFill="1" applyBorder="1" applyAlignment="1">
      <alignment horizontal="left" vertical="center" wrapText="1"/>
    </xf>
    <xf numFmtId="164" fontId="59" fillId="18" borderId="51" xfId="0" applyNumberFormat="1" applyFont="1" applyFill="1" applyBorder="1" applyAlignment="1">
      <alignment horizontal="left" vertical="center" wrapText="1"/>
    </xf>
    <xf numFmtId="164" fontId="37" fillId="18" borderId="51" xfId="0" applyNumberFormat="1" applyFont="1" applyFill="1" applyBorder="1" applyAlignment="1">
      <alignment horizontal="left" vertical="center" wrapText="1"/>
    </xf>
    <xf numFmtId="164" fontId="60" fillId="18" borderId="51" xfId="0" applyNumberFormat="1" applyFont="1" applyFill="1" applyBorder="1" applyAlignment="1">
      <alignment horizontal="left" vertical="center" wrapText="1"/>
    </xf>
    <xf numFmtId="164" fontId="60" fillId="0" borderId="51" xfId="0" applyNumberFormat="1" applyFont="1" applyBorder="1" applyAlignment="1">
      <alignment horizontal="left" vertical="center" wrapText="1"/>
    </xf>
    <xf numFmtId="164" fontId="50" fillId="19" borderId="51" xfId="0" applyNumberFormat="1" applyFont="1" applyFill="1" applyBorder="1" applyAlignment="1">
      <alignment horizontal="left" vertical="center" wrapText="1"/>
    </xf>
    <xf numFmtId="164" fontId="59" fillId="19" borderId="51" xfId="0" applyNumberFormat="1" applyFont="1" applyFill="1" applyBorder="1" applyAlignment="1">
      <alignment horizontal="left" vertical="center" wrapText="1"/>
    </xf>
    <xf numFmtId="164" fontId="50" fillId="0" borderId="51" xfId="0" applyNumberFormat="1" applyFont="1" applyBorder="1" applyAlignment="1">
      <alignment horizontal="left" vertical="center" wrapText="1"/>
    </xf>
    <xf numFmtId="164" fontId="50" fillId="18" borderId="51" xfId="0" applyNumberFormat="1" applyFont="1" applyFill="1" applyBorder="1" applyAlignment="1">
      <alignment horizontal="left" vertical="center" wrapText="1"/>
    </xf>
    <xf numFmtId="164" fontId="50" fillId="0" borderId="52" xfId="0" applyNumberFormat="1" applyFont="1" applyBorder="1" applyAlignment="1">
      <alignment horizontal="left" vertical="center" wrapText="1"/>
    </xf>
    <xf numFmtId="164" fontId="37" fillId="9" borderId="71" xfId="0" applyNumberFormat="1" applyFont="1" applyFill="1" applyBorder="1" applyAlignment="1">
      <alignment horizontal="center" vertical="center"/>
    </xf>
    <xf numFmtId="164" fontId="37" fillId="9" borderId="48" xfId="0" applyNumberFormat="1" applyFont="1" applyFill="1" applyBorder="1" applyAlignment="1">
      <alignment horizontal="center" vertical="center"/>
    </xf>
    <xf numFmtId="0" fontId="0" fillId="18" borderId="26" xfId="0" applyFill="1" applyBorder="1"/>
    <xf numFmtId="0" fontId="0" fillId="14" borderId="26" xfId="0" applyFill="1" applyBorder="1"/>
    <xf numFmtId="0" fontId="0" fillId="19" borderId="26" xfId="0" applyFill="1" applyBorder="1"/>
    <xf numFmtId="0" fontId="0" fillId="0" borderId="29" xfId="0" applyBorder="1"/>
    <xf numFmtId="0" fontId="2" fillId="0" borderId="29" xfId="0" applyFont="1" applyBorder="1"/>
    <xf numFmtId="0" fontId="2" fillId="0" borderId="26" xfId="0" applyFont="1" applyBorder="1"/>
    <xf numFmtId="43" fontId="3" fillId="0" borderId="26" xfId="1" applyFont="1" applyBorder="1"/>
    <xf numFmtId="164" fontId="61" fillId="18" borderId="26" xfId="0" applyNumberFormat="1" applyFont="1" applyFill="1" applyBorder="1" applyAlignment="1">
      <alignment horizontal="justify"/>
    </xf>
    <xf numFmtId="164" fontId="61" fillId="14" borderId="26" xfId="0" applyNumberFormat="1" applyFont="1" applyFill="1" applyBorder="1"/>
    <xf numFmtId="43" fontId="62" fillId="0" borderId="26" xfId="1" applyFont="1" applyBorder="1"/>
    <xf numFmtId="164" fontId="61" fillId="19" borderId="26" xfId="0" applyNumberFormat="1" applyFont="1" applyFill="1" applyBorder="1" applyAlignment="1">
      <alignment horizontal="justify"/>
    </xf>
    <xf numFmtId="0" fontId="64" fillId="0" borderId="53" xfId="0" applyFont="1" applyBorder="1" applyAlignment="1">
      <alignment horizontal="center"/>
    </xf>
    <xf numFmtId="0" fontId="64" fillId="0" borderId="30" xfId="0" applyFont="1" applyBorder="1" applyAlignment="1">
      <alignment horizontal="center"/>
    </xf>
    <xf numFmtId="14" fontId="18" fillId="0" borderId="0" xfId="0" applyNumberFormat="1" applyFont="1" applyBorder="1" applyAlignment="1">
      <alignment horizontal="center"/>
    </xf>
    <xf numFmtId="43" fontId="11" fillId="0" borderId="13" xfId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18" fillId="0" borderId="51" xfId="0" applyNumberFormat="1" applyFont="1" applyFill="1" applyBorder="1" applyAlignment="1">
      <alignment horizontal="left" vertical="center"/>
    </xf>
    <xf numFmtId="164" fontId="33" fillId="0" borderId="51" xfId="0" applyNumberFormat="1" applyFont="1" applyFill="1" applyBorder="1" applyAlignment="1">
      <alignment horizontal="left" vertical="center" wrapText="1"/>
    </xf>
    <xf numFmtId="0" fontId="11" fillId="0" borderId="19" xfId="0" applyFont="1" applyBorder="1" applyAlignment="1">
      <alignment horizontal="center"/>
    </xf>
    <xf numFmtId="1" fontId="12" fillId="0" borderId="11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43" fontId="12" fillId="0" borderId="10" xfId="1" applyFont="1" applyBorder="1"/>
    <xf numFmtId="43" fontId="12" fillId="0" borderId="10" xfId="1" applyFont="1" applyBorder="1" applyAlignment="1">
      <alignment horizontal="right" vertical="center" wrapText="1"/>
    </xf>
    <xf numFmtId="43" fontId="12" fillId="0" borderId="10" xfId="1" applyFont="1" applyBorder="1" applyAlignment="1">
      <alignment horizontal="right"/>
    </xf>
    <xf numFmtId="164" fontId="18" fillId="0" borderId="50" xfId="0" applyNumberFormat="1" applyFont="1" applyFill="1" applyBorder="1" applyAlignment="1">
      <alignment horizontal="left" vertical="center"/>
    </xf>
    <xf numFmtId="164" fontId="18" fillId="0" borderId="12" xfId="0" applyNumberFormat="1" applyFont="1" applyFill="1" applyBorder="1" applyAlignment="1">
      <alignment horizontal="center" vertical="center"/>
    </xf>
    <xf numFmtId="164" fontId="18" fillId="0" borderId="11" xfId="0" applyNumberFormat="1" applyFont="1" applyFill="1" applyBorder="1" applyAlignment="1">
      <alignment horizontal="center" vertical="center"/>
    </xf>
    <xf numFmtId="9" fontId="18" fillId="5" borderId="18" xfId="3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10" fillId="0" borderId="0" xfId="0" applyFont="1" applyAlignment="1">
      <alignment horizontal="center"/>
    </xf>
    <xf numFmtId="4" fontId="7" fillId="0" borderId="12" xfId="0" applyNumberFormat="1" applyFont="1" applyBorder="1" applyAlignment="1">
      <alignment horizontal="center" vertical="center" wrapText="1"/>
    </xf>
    <xf numFmtId="4" fontId="7" fillId="0" borderId="11" xfId="0" applyNumberFormat="1" applyFont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4" fontId="0" fillId="0" borderId="12" xfId="0" applyNumberFormat="1" applyBorder="1" applyAlignment="1">
      <alignment horizontal="center" vertical="center"/>
    </xf>
    <xf numFmtId="43" fontId="5" fillId="0" borderId="16" xfId="1" applyFont="1" applyBorder="1" applyAlignment="1">
      <alignment horizontal="center" vertical="center" wrapText="1"/>
    </xf>
    <xf numFmtId="43" fontId="0" fillId="0" borderId="17" xfId="1" applyFont="1" applyBorder="1" applyAlignment="1">
      <alignment horizontal="center" vertical="center" wrapText="1"/>
    </xf>
    <xf numFmtId="43" fontId="0" fillId="0" borderId="18" xfId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43" fontId="5" fillId="0" borderId="18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3" fontId="18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/>
    <xf numFmtId="4" fontId="18" fillId="0" borderId="48" xfId="0" applyNumberFormat="1" applyFont="1" applyFill="1" applyBorder="1" applyAlignment="1">
      <alignment vertical="center" wrapText="1"/>
    </xf>
    <xf numFmtId="4" fontId="18" fillId="0" borderId="29" xfId="0" applyNumberFormat="1" applyFont="1" applyFill="1" applyBorder="1" applyAlignment="1">
      <alignment horizontal="center" vertical="center" wrapText="1"/>
    </xf>
    <xf numFmtId="4" fontId="18" fillId="0" borderId="30" xfId="0" applyNumberFormat="1" applyFont="1" applyFill="1" applyBorder="1" applyAlignment="1">
      <alignment vertical="center" wrapText="1"/>
    </xf>
    <xf numFmtId="4" fontId="18" fillId="0" borderId="26" xfId="0" applyNumberFormat="1" applyFont="1" applyFill="1" applyBorder="1" applyAlignment="1">
      <alignment horizontal="center" vertical="center" wrapText="1"/>
    </xf>
    <xf numFmtId="4" fontId="18" fillId="0" borderId="26" xfId="0" applyNumberFormat="1" applyFont="1" applyFill="1" applyBorder="1" applyAlignment="1">
      <alignment vertical="center" wrapText="1"/>
    </xf>
    <xf numFmtId="4" fontId="42" fillId="0" borderId="26" xfId="0" applyNumberFormat="1" applyFont="1" applyBorder="1" applyAlignment="1">
      <alignment vertical="center" wrapText="1"/>
    </xf>
    <xf numFmtId="4" fontId="42" fillId="0" borderId="26" xfId="0" applyNumberFormat="1" applyFont="1" applyFill="1" applyBorder="1" applyAlignment="1">
      <alignment vertical="center" wrapText="1"/>
    </xf>
    <xf numFmtId="0" fontId="42" fillId="0" borderId="0" xfId="0" applyFont="1" applyFill="1"/>
    <xf numFmtId="0" fontId="18" fillId="0" borderId="0" xfId="0" applyFont="1" applyFill="1" applyAlignment="1">
      <alignment horizontal="center"/>
    </xf>
    <xf numFmtId="0" fontId="42" fillId="0" borderId="0" xfId="0" applyFont="1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/>
    <xf numFmtId="0" fontId="18" fillId="0" borderId="0" xfId="0" applyFont="1" applyBorder="1" applyAlignment="1">
      <alignment horizontal="center"/>
    </xf>
    <xf numFmtId="0" fontId="42" fillId="0" borderId="26" xfId="0" applyFont="1" applyFill="1" applyBorder="1"/>
    <xf numFmtId="0" fontId="18" fillId="0" borderId="53" xfId="0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42" fillId="0" borderId="27" xfId="0" applyFont="1" applyFill="1" applyBorder="1" applyAlignment="1">
      <alignment horizontal="center" vertical="center" wrapText="1"/>
    </xf>
    <xf numFmtId="0" fontId="18" fillId="0" borderId="29" xfId="0" applyFont="1" applyFill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4" fontId="18" fillId="0" borderId="51" xfId="0" applyNumberFormat="1" applyFont="1" applyBorder="1" applyAlignment="1">
      <alignment horizontal="center" vertical="center" wrapText="1"/>
    </xf>
    <xf numFmtId="4" fontId="18" fillId="0" borderId="10" xfId="0" applyNumberFormat="1" applyFont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center" vertical="center" wrapText="1"/>
    </xf>
    <xf numFmtId="4" fontId="18" fillId="0" borderId="52" xfId="0" applyNumberFormat="1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/>
    </xf>
    <xf numFmtId="4" fontId="18" fillId="0" borderId="52" xfId="0" applyNumberFormat="1" applyFont="1" applyBorder="1" applyAlignment="1">
      <alignment horizontal="center"/>
    </xf>
    <xf numFmtId="0" fontId="42" fillId="0" borderId="26" xfId="0" applyFont="1" applyBorder="1" applyAlignment="1">
      <alignment horizontal="center" vertical="center" wrapText="1"/>
    </xf>
    <xf numFmtId="4" fontId="42" fillId="0" borderId="48" xfId="0" applyNumberFormat="1" applyFont="1" applyBorder="1" applyAlignment="1">
      <alignment horizontal="center"/>
    </xf>
    <xf numFmtId="4" fontId="42" fillId="0" borderId="11" xfId="0" applyNumberFormat="1" applyFont="1" applyBorder="1" applyAlignment="1">
      <alignment horizontal="center" vertical="center" wrapText="1"/>
    </xf>
    <xf numFmtId="4" fontId="42" fillId="0" borderId="10" xfId="0" applyNumberFormat="1" applyFont="1" applyBorder="1" applyAlignment="1">
      <alignment horizontal="center" vertical="center" wrapText="1"/>
    </xf>
    <xf numFmtId="4" fontId="42" fillId="0" borderId="11" xfId="0" applyNumberFormat="1" applyFont="1" applyFill="1" applyBorder="1" applyAlignment="1">
      <alignment horizontal="center" vertical="center" wrapText="1"/>
    </xf>
    <xf numFmtId="4" fontId="42" fillId="0" borderId="11" xfId="0" applyNumberFormat="1" applyFont="1" applyBorder="1"/>
    <xf numFmtId="4" fontId="42" fillId="0" borderId="10" xfId="0" applyNumberFormat="1" applyFont="1" applyBorder="1"/>
    <xf numFmtId="4" fontId="42" fillId="0" borderId="14" xfId="0" applyNumberFormat="1" applyFont="1" applyBorder="1"/>
    <xf numFmtId="4" fontId="42" fillId="0" borderId="15" xfId="0" applyNumberFormat="1" applyFont="1" applyBorder="1"/>
    <xf numFmtId="4" fontId="42" fillId="0" borderId="0" xfId="0" applyNumberFormat="1" applyFont="1" applyAlignment="1">
      <alignment horizontal="right"/>
    </xf>
    <xf numFmtId="164" fontId="18" fillId="0" borderId="11" xfId="0" applyNumberFormat="1" applyFont="1" applyBorder="1" applyAlignment="1">
      <alignment horizontal="center" vertical="center"/>
    </xf>
    <xf numFmtId="164" fontId="33" fillId="0" borderId="51" xfId="0" applyNumberFormat="1" applyFont="1" applyFill="1" applyBorder="1"/>
    <xf numFmtId="164" fontId="33" fillId="0" borderId="11" xfId="0" applyNumberFormat="1" applyFont="1" applyBorder="1" applyAlignment="1">
      <alignment horizontal="center"/>
    </xf>
    <xf numFmtId="4" fontId="33" fillId="0" borderId="0" xfId="0" applyNumberFormat="1" applyFont="1" applyBorder="1" applyAlignment="1">
      <alignment horizontal="center"/>
    </xf>
    <xf numFmtId="164" fontId="33" fillId="0" borderId="11" xfId="0" applyNumberFormat="1" applyFont="1" applyBorder="1" applyAlignment="1">
      <alignment horizontal="center" vertical="center" wrapText="1"/>
    </xf>
    <xf numFmtId="3" fontId="18" fillId="0" borderId="0" xfId="0" applyNumberFormat="1" applyFont="1" applyFill="1" applyBorder="1" applyAlignment="1">
      <alignment horizontal="center"/>
    </xf>
    <xf numFmtId="164" fontId="15" fillId="0" borderId="48" xfId="0" applyNumberFormat="1" applyFont="1" applyFill="1" applyBorder="1" applyAlignment="1">
      <alignment horizontal="left" vertical="center" wrapText="1"/>
    </xf>
    <xf numFmtId="170" fontId="0" fillId="0" borderId="18" xfId="1" applyNumberFormat="1" applyFont="1" applyBorder="1" applyAlignment="1">
      <alignment horizontal="center" vertical="center" wrapText="1"/>
    </xf>
    <xf numFmtId="0" fontId="0" fillId="0" borderId="17" xfId="0" applyBorder="1" applyAlignment="1"/>
    <xf numFmtId="0" fontId="0" fillId="0" borderId="6" xfId="0" applyFill="1" applyBorder="1"/>
    <xf numFmtId="14" fontId="0" fillId="0" borderId="0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 vertical="center"/>
    </xf>
    <xf numFmtId="0" fontId="0" fillId="0" borderId="11" xfId="0" applyFill="1" applyBorder="1"/>
    <xf numFmtId="0" fontId="0" fillId="0" borderId="14" xfId="0" applyFill="1" applyBorder="1"/>
    <xf numFmtId="4" fontId="4" fillId="0" borderId="0" xfId="0" applyNumberFormat="1" applyFont="1"/>
    <xf numFmtId="0" fontId="48" fillId="0" borderId="0" xfId="0" applyFont="1"/>
    <xf numFmtId="0" fontId="0" fillId="0" borderId="0" xfId="0" applyFont="1"/>
    <xf numFmtId="0" fontId="0" fillId="0" borderId="12" xfId="0" applyFont="1" applyBorder="1"/>
    <xf numFmtId="0" fontId="0" fillId="0" borderId="11" xfId="0" applyFont="1" applyBorder="1"/>
    <xf numFmtId="0" fontId="0" fillId="0" borderId="14" xfId="0" applyFont="1" applyFill="1" applyBorder="1"/>
    <xf numFmtId="1" fontId="0" fillId="0" borderId="0" xfId="0" applyNumberFormat="1" applyAlignment="1">
      <alignment horizontal="center"/>
    </xf>
    <xf numFmtId="4" fontId="5" fillId="0" borderId="0" xfId="0" applyNumberFormat="1" applyFont="1" applyAlignment="1">
      <alignment horizontal="center"/>
    </xf>
    <xf numFmtId="0" fontId="0" fillId="0" borderId="0" xfId="0" applyFont="1" applyFill="1" applyBorder="1"/>
    <xf numFmtId="4" fontId="6" fillId="0" borderId="48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/>
    </xf>
    <xf numFmtId="0" fontId="0" fillId="0" borderId="51" xfId="0" applyFill="1" applyBorder="1"/>
    <xf numFmtId="0" fontId="0" fillId="0" borderId="52" xfId="0" applyFill="1" applyBorder="1"/>
    <xf numFmtId="0" fontId="65" fillId="0" borderId="0" xfId="0" applyFont="1"/>
    <xf numFmtId="0" fontId="0" fillId="20" borderId="26" xfId="0" applyFill="1" applyBorder="1" applyAlignment="1">
      <alignment horizontal="center"/>
    </xf>
    <xf numFmtId="0" fontId="0" fillId="20" borderId="27" xfId="0" applyFill="1" applyBorder="1" applyAlignment="1">
      <alignment horizontal="center"/>
    </xf>
    <xf numFmtId="0" fontId="0" fillId="4" borderId="26" xfId="0" applyFill="1" applyBorder="1"/>
    <xf numFmtId="0" fontId="0" fillId="0" borderId="26" xfId="0" applyFill="1" applyBorder="1"/>
    <xf numFmtId="2" fontId="0" fillId="0" borderId="0" xfId="0" applyNumberFormat="1" applyAlignment="1">
      <alignment horizontal="center"/>
    </xf>
    <xf numFmtId="1" fontId="0" fillId="0" borderId="19" xfId="0" applyNumberFormat="1" applyFill="1" applyBorder="1" applyAlignment="1">
      <alignment horizontal="center"/>
    </xf>
    <xf numFmtId="0" fontId="0" fillId="0" borderId="19" xfId="0" applyFill="1" applyBorder="1"/>
    <xf numFmtId="0" fontId="0" fillId="0" borderId="13" xfId="0" applyFill="1" applyBorder="1"/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Fill="1"/>
    <xf numFmtId="1" fontId="0" fillId="0" borderId="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66" fillId="0" borderId="0" xfId="6"/>
    <xf numFmtId="0" fontId="58" fillId="0" borderId="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1" xfId="0" applyFill="1" applyBorder="1" applyAlignment="1">
      <alignment horizontal="center" vertical="center" wrapText="1"/>
    </xf>
    <xf numFmtId="4" fontId="0" fillId="0" borderId="12" xfId="0" applyNumberFormat="1" applyFill="1" applyBorder="1" applyAlignment="1">
      <alignment horizontal="center" vertical="center"/>
    </xf>
    <xf numFmtId="4" fontId="0" fillId="0" borderId="19" xfId="0" applyNumberFormat="1" applyFill="1" applyBorder="1" applyAlignment="1">
      <alignment horizontal="center" vertical="center"/>
    </xf>
    <xf numFmtId="4" fontId="0" fillId="0" borderId="12" xfId="0" applyNumberFormat="1" applyBorder="1" applyAlignment="1">
      <alignment horizontal="center"/>
    </xf>
    <xf numFmtId="4" fontId="0" fillId="0" borderId="11" xfId="0" applyNumberFormat="1" applyFill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10" xfId="0" applyNumberFormat="1" applyBorder="1" applyAlignment="1">
      <alignment vertical="center"/>
    </xf>
    <xf numFmtId="4" fontId="2" fillId="0" borderId="11" xfId="0" applyNumberFormat="1" applyFont="1" applyBorder="1" applyAlignment="1">
      <alignment horizontal="center"/>
    </xf>
    <xf numFmtId="4" fontId="2" fillId="0" borderId="11" xfId="0" applyNumberFormat="1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0" fontId="0" fillId="0" borderId="52" xfId="0" applyFill="1" applyBorder="1" applyAlignment="1">
      <alignment horizontal="center" vertical="center" wrapText="1"/>
    </xf>
    <xf numFmtId="4" fontId="0" fillId="0" borderId="15" xfId="0" applyNumberFormat="1" applyBorder="1" applyAlignment="1">
      <alignment horizontal="center" vertical="center"/>
    </xf>
    <xf numFmtId="0" fontId="2" fillId="0" borderId="48" xfId="0" applyFont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4" fontId="2" fillId="0" borderId="19" xfId="0" applyNumberFormat="1" applyFont="1" applyBorder="1" applyAlignment="1">
      <alignment horizontal="center"/>
    </xf>
    <xf numFmtId="4" fontId="0" fillId="0" borderId="50" xfId="0" applyNumberFormat="1" applyBorder="1" applyAlignment="1">
      <alignment horizontal="center"/>
    </xf>
    <xf numFmtId="4" fontId="0" fillId="0" borderId="51" xfId="0" applyNumberFormat="1" applyBorder="1"/>
    <xf numFmtId="4" fontId="0" fillId="0" borderId="14" xfId="0" applyNumberFormat="1" applyBorder="1" applyAlignment="1">
      <alignment horizontal="center"/>
    </xf>
    <xf numFmtId="4" fontId="0" fillId="0" borderId="52" xfId="0" applyNumberFormat="1" applyBorder="1"/>
    <xf numFmtId="4" fontId="0" fillId="0" borderId="48" xfId="0" applyNumberFormat="1" applyBorder="1"/>
    <xf numFmtId="0" fontId="0" fillId="0" borderId="48" xfId="0" applyBorder="1"/>
    <xf numFmtId="0" fontId="3" fillId="0" borderId="48" xfId="0" applyFont="1" applyBorder="1"/>
    <xf numFmtId="0" fontId="4" fillId="0" borderId="48" xfId="0" applyFont="1" applyBorder="1"/>
    <xf numFmtId="0" fontId="0" fillId="0" borderId="48" xfId="0" applyFont="1" applyBorder="1"/>
    <xf numFmtId="14" fontId="0" fillId="0" borderId="0" xfId="0" applyNumberFormat="1" applyAlignment="1">
      <alignment horizontal="center" vertical="center" wrapText="1"/>
    </xf>
    <xf numFmtId="0" fontId="7" fillId="0" borderId="5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53" xfId="0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30" xfId="0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4" fontId="7" fillId="0" borderId="26" xfId="0" applyNumberFormat="1" applyFont="1" applyBorder="1" applyAlignment="1">
      <alignment horizontal="center"/>
    </xf>
    <xf numFmtId="0" fontId="7" fillId="0" borderId="29" xfId="0" applyFont="1" applyBorder="1"/>
    <xf numFmtId="4" fontId="4" fillId="0" borderId="0" xfId="0" applyNumberFormat="1" applyFon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14" fontId="0" fillId="0" borderId="52" xfId="0" applyNumberFormat="1" applyBorder="1" applyAlignment="1">
      <alignment horizontal="center"/>
    </xf>
    <xf numFmtId="0" fontId="0" fillId="0" borderId="66" xfId="0" applyBorder="1" applyAlignment="1">
      <alignment horizontal="center"/>
    </xf>
    <xf numFmtId="14" fontId="3" fillId="0" borderId="11" xfId="0" applyNumberFormat="1" applyFont="1" applyBorder="1" applyAlignment="1">
      <alignment horizontal="center"/>
    </xf>
    <xf numFmtId="43" fontId="5" fillId="0" borderId="16" xfId="1" applyFont="1" applyBorder="1" applyAlignment="1">
      <alignment horizontal="center"/>
    </xf>
    <xf numFmtId="43" fontId="5" fillId="0" borderId="18" xfId="1" applyFont="1" applyBorder="1"/>
    <xf numFmtId="43" fontId="5" fillId="0" borderId="17" xfId="1" applyFont="1" applyBorder="1" applyAlignment="1">
      <alignment horizontal="center"/>
    </xf>
    <xf numFmtId="43" fontId="5" fillId="0" borderId="18" xfId="1" applyFont="1" applyBorder="1" applyAlignment="1">
      <alignment horizontal="center"/>
    </xf>
    <xf numFmtId="43" fontId="2" fillId="0" borderId="6" xfId="1" applyFont="1" applyBorder="1" applyAlignment="1">
      <alignment vertical="center" wrapText="1"/>
    </xf>
    <xf numFmtId="166" fontId="0" fillId="0" borderId="17" xfId="1" applyNumberFormat="1" applyFont="1" applyBorder="1" applyAlignment="1">
      <alignment horizontal="center" vertical="center" wrapText="1"/>
    </xf>
    <xf numFmtId="166" fontId="0" fillId="0" borderId="18" xfId="1" applyNumberFormat="1" applyFont="1" applyBorder="1" applyAlignment="1">
      <alignment horizontal="center" vertical="center" wrapText="1"/>
    </xf>
    <xf numFmtId="0" fontId="4" fillId="0" borderId="14" xfId="0" applyFont="1" applyBorder="1"/>
    <xf numFmtId="43" fontId="5" fillId="0" borderId="6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166" fontId="0" fillId="0" borderId="9" xfId="1" applyNumberFormat="1" applyFont="1" applyBorder="1" applyAlignment="1">
      <alignment horizontal="center" vertical="center" wrapText="1"/>
    </xf>
    <xf numFmtId="43" fontId="0" fillId="0" borderId="9" xfId="1" applyFont="1" applyBorder="1"/>
    <xf numFmtId="164" fontId="33" fillId="0" borderId="11" xfId="0" applyNumberFormat="1" applyFont="1" applyFill="1" applyBorder="1" applyAlignment="1">
      <alignment horizontal="center" vertical="center" wrapText="1"/>
    </xf>
    <xf numFmtId="0" fontId="4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4" fontId="18" fillId="0" borderId="51" xfId="0" applyNumberFormat="1" applyFont="1" applyFill="1" applyBorder="1" applyAlignment="1">
      <alignment horizontal="left" vertical="center" wrapText="1"/>
    </xf>
    <xf numFmtId="164" fontId="18" fillId="0" borderId="11" xfId="0" applyNumberFormat="1" applyFont="1" applyBorder="1" applyAlignment="1">
      <alignment horizontal="center" vertical="center" wrapText="1"/>
    </xf>
    <xf numFmtId="0" fontId="42" fillId="0" borderId="17" xfId="0" applyFont="1" applyBorder="1"/>
    <xf numFmtId="14" fontId="42" fillId="0" borderId="16" xfId="0" applyNumberFormat="1" applyFont="1" applyBorder="1"/>
    <xf numFmtId="0" fontId="42" fillId="0" borderId="16" xfId="0" applyFont="1" applyBorder="1"/>
    <xf numFmtId="0" fontId="42" fillId="0" borderId="18" xfId="0" applyFont="1" applyBorder="1"/>
    <xf numFmtId="0" fontId="42" fillId="0" borderId="48" xfId="0" applyFont="1" applyBorder="1" applyAlignment="1">
      <alignment horizontal="center"/>
    </xf>
    <xf numFmtId="0" fontId="42" fillId="0" borderId="12" xfId="0" applyFont="1" applyBorder="1" applyAlignment="1">
      <alignment horizontal="center"/>
    </xf>
    <xf numFmtId="0" fontId="42" fillId="0" borderId="19" xfId="0" applyFont="1" applyBorder="1" applyAlignment="1">
      <alignment horizontal="center" vertical="center" wrapText="1"/>
    </xf>
    <xf numFmtId="0" fontId="42" fillId="0" borderId="19" xfId="0" applyFont="1" applyBorder="1" applyAlignment="1">
      <alignment horizontal="center"/>
    </xf>
    <xf numFmtId="0" fontId="42" fillId="0" borderId="51" xfId="0" applyFont="1" applyBorder="1" applyAlignment="1">
      <alignment horizontal="center" vertical="center" wrapText="1"/>
    </xf>
    <xf numFmtId="0" fontId="42" fillId="0" borderId="50" xfId="0" applyFont="1" applyBorder="1" applyAlignment="1">
      <alignment horizontal="center" vertical="center" wrapText="1"/>
    </xf>
    <xf numFmtId="164" fontId="42" fillId="0" borderId="0" xfId="0" applyNumberFormat="1" applyFont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4" fontId="42" fillId="0" borderId="0" xfId="0" applyNumberFormat="1" applyFont="1" applyFill="1" applyBorder="1" applyAlignment="1">
      <alignment horizontal="left" vertical="center" wrapText="1"/>
    </xf>
    <xf numFmtId="4" fontId="42" fillId="0" borderId="0" xfId="0" applyNumberFormat="1" applyFont="1" applyBorder="1" applyAlignment="1">
      <alignment horizontal="center" vertical="center" wrapText="1"/>
    </xf>
    <xf numFmtId="1" fontId="42" fillId="0" borderId="51" xfId="0" applyNumberFormat="1" applyFont="1" applyBorder="1" applyAlignment="1">
      <alignment horizontal="center" vertical="center" wrapText="1"/>
    </xf>
    <xf numFmtId="164" fontId="71" fillId="0" borderId="0" xfId="0" applyNumberFormat="1" applyFont="1" applyFill="1" applyAlignment="1">
      <alignment horizontal="center" vertical="center" wrapText="1"/>
    </xf>
    <xf numFmtId="4" fontId="42" fillId="0" borderId="0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Alignment="1">
      <alignment horizontal="center" vertical="center" wrapText="1"/>
    </xf>
    <xf numFmtId="4" fontId="42" fillId="0" borderId="6" xfId="0" applyNumberFormat="1" applyFont="1" applyFill="1" applyBorder="1" applyAlignment="1">
      <alignment horizontal="left" vertical="center" wrapText="1"/>
    </xf>
    <xf numFmtId="4" fontId="42" fillId="0" borderId="6" xfId="0" applyNumberFormat="1" applyFont="1" applyFill="1" applyBorder="1" applyAlignment="1">
      <alignment horizontal="center" vertical="center" wrapText="1"/>
    </xf>
    <xf numFmtId="1" fontId="42" fillId="0" borderId="52" xfId="0" applyNumberFormat="1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5" fillId="0" borderId="48" xfId="0" applyFont="1" applyBorder="1"/>
    <xf numFmtId="0" fontId="42" fillId="0" borderId="37" xfId="0" applyFont="1" applyBorder="1"/>
    <xf numFmtId="0" fontId="42" fillId="0" borderId="55" xfId="0" applyFont="1" applyBorder="1"/>
    <xf numFmtId="43" fontId="42" fillId="0" borderId="55" xfId="1" applyFont="1" applyBorder="1" applyAlignment="1">
      <alignment horizontal="center"/>
    </xf>
    <xf numFmtId="43" fontId="42" fillId="0" borderId="38" xfId="1" applyFont="1" applyBorder="1"/>
    <xf numFmtId="0" fontId="42" fillId="0" borderId="38" xfId="0" applyFont="1" applyBorder="1"/>
    <xf numFmtId="0" fontId="0" fillId="0" borderId="28" xfId="0" applyBorder="1"/>
    <xf numFmtId="0" fontId="0" fillId="0" borderId="60" xfId="0" applyBorder="1"/>
    <xf numFmtId="0" fontId="42" fillId="0" borderId="33" xfId="0" applyFont="1" applyBorder="1"/>
    <xf numFmtId="0" fontId="42" fillId="0" borderId="26" xfId="0" applyFont="1" applyBorder="1" applyAlignment="1">
      <alignment horizontal="center"/>
    </xf>
    <xf numFmtId="0" fontId="42" fillId="0" borderId="26" xfId="0" applyFont="1" applyBorder="1"/>
    <xf numFmtId="43" fontId="42" fillId="0" borderId="26" xfId="1" applyFont="1" applyBorder="1" applyAlignment="1">
      <alignment horizontal="center"/>
    </xf>
    <xf numFmtId="43" fontId="42" fillId="0" borderId="34" xfId="1" applyFont="1" applyBorder="1" applyAlignment="1">
      <alignment horizontal="center"/>
    </xf>
    <xf numFmtId="0" fontId="42" fillId="0" borderId="33" xfId="0" applyFont="1" applyBorder="1" applyAlignment="1">
      <alignment horizontal="center"/>
    </xf>
    <xf numFmtId="0" fontId="42" fillId="0" borderId="34" xfId="0" applyFont="1" applyBorder="1" applyAlignment="1">
      <alignment horizontal="center"/>
    </xf>
    <xf numFmtId="0" fontId="42" fillId="0" borderId="34" xfId="0" applyFont="1" applyBorder="1"/>
    <xf numFmtId="0" fontId="0" fillId="0" borderId="73" xfId="0" applyBorder="1"/>
    <xf numFmtId="0" fontId="18" fillId="0" borderId="33" xfId="0" applyFont="1" applyBorder="1" applyAlignment="1">
      <alignment horizontal="center" vertical="center" wrapText="1"/>
    </xf>
    <xf numFmtId="0" fontId="43" fillId="0" borderId="26" xfId="0" applyFont="1" applyFill="1" applyBorder="1" applyAlignment="1">
      <alignment vertical="center" wrapText="1"/>
    </xf>
    <xf numFmtId="0" fontId="43" fillId="0" borderId="26" xfId="0" applyFont="1" applyBorder="1" applyAlignment="1">
      <alignment horizontal="center" vertical="center" wrapText="1"/>
    </xf>
    <xf numFmtId="164" fontId="43" fillId="0" borderId="26" xfId="1" applyNumberFormat="1" applyFont="1" applyFill="1" applyBorder="1" applyAlignment="1">
      <alignment horizontal="center" vertical="center" wrapText="1"/>
    </xf>
    <xf numFmtId="164" fontId="42" fillId="0" borderId="34" xfId="0" applyNumberFormat="1" applyFont="1" applyBorder="1" applyAlignment="1">
      <alignment horizontal="center" vertical="center"/>
    </xf>
    <xf numFmtId="164" fontId="70" fillId="0" borderId="33" xfId="0" applyNumberFormat="1" applyFont="1" applyBorder="1" applyAlignment="1">
      <alignment horizontal="center" vertical="center"/>
    </xf>
    <xf numFmtId="164" fontId="42" fillId="0" borderId="26" xfId="0" applyNumberFormat="1" applyFont="1" applyBorder="1" applyAlignment="1">
      <alignment horizontal="center" vertical="center"/>
    </xf>
    <xf numFmtId="164" fontId="42" fillId="0" borderId="33" xfId="0" applyNumberFormat="1" applyFont="1" applyBorder="1" applyAlignment="1">
      <alignment horizontal="center" vertical="center"/>
    </xf>
    <xf numFmtId="164" fontId="42" fillId="0" borderId="33" xfId="0" applyNumberFormat="1" applyFont="1" applyBorder="1" applyAlignment="1">
      <alignment horizontal="center" vertical="center" wrapText="1"/>
    </xf>
    <xf numFmtId="164" fontId="42" fillId="0" borderId="26" xfId="0" applyNumberFormat="1" applyFont="1" applyBorder="1" applyAlignment="1">
      <alignment horizontal="center" vertical="center" wrapText="1"/>
    </xf>
    <xf numFmtId="164" fontId="42" fillId="0" borderId="34" xfId="0" applyNumberFormat="1" applyFont="1" applyBorder="1" applyAlignment="1">
      <alignment horizontal="center" vertical="center" wrapText="1"/>
    </xf>
    <xf numFmtId="164" fontId="43" fillId="0" borderId="33" xfId="0" applyNumberFormat="1" applyFont="1" applyBorder="1" applyAlignment="1">
      <alignment horizontal="center" vertical="center" wrapText="1"/>
    </xf>
    <xf numFmtId="4" fontId="18" fillId="0" borderId="26" xfId="0" applyNumberFormat="1" applyFont="1" applyBorder="1" applyAlignment="1">
      <alignment horizontal="center" vertical="center" wrapText="1"/>
    </xf>
    <xf numFmtId="4" fontId="18" fillId="0" borderId="34" xfId="0" applyNumberFormat="1" applyFont="1" applyBorder="1" applyAlignment="1">
      <alignment horizontal="center" vertical="center" wrapText="1"/>
    </xf>
    <xf numFmtId="0" fontId="0" fillId="0" borderId="28" xfId="0" applyBorder="1" applyAlignment="1">
      <alignment vertical="center"/>
    </xf>
    <xf numFmtId="164" fontId="42" fillId="0" borderId="33" xfId="0" applyNumberFormat="1" applyFont="1" applyBorder="1" applyAlignment="1">
      <alignment vertical="center"/>
    </xf>
    <xf numFmtId="164" fontId="42" fillId="0" borderId="34" xfId="0" applyNumberFormat="1" applyFont="1" applyBorder="1" applyAlignment="1">
      <alignment vertical="center"/>
    </xf>
    <xf numFmtId="0" fontId="0" fillId="0" borderId="73" xfId="0" applyBorder="1" applyAlignment="1">
      <alignment vertical="center"/>
    </xf>
    <xf numFmtId="164" fontId="70" fillId="0" borderId="33" xfId="0" applyNumberFormat="1" applyFont="1" applyBorder="1" applyAlignment="1">
      <alignment horizontal="center" vertical="center" wrapText="1"/>
    </xf>
    <xf numFmtId="164" fontId="43" fillId="0" borderId="33" xfId="0" applyNumberFormat="1" applyFont="1" applyBorder="1" applyAlignment="1">
      <alignment horizontal="center" vertical="center"/>
    </xf>
    <xf numFmtId="164" fontId="42" fillId="0" borderId="34" xfId="0" applyNumberFormat="1" applyFont="1" applyFill="1" applyBorder="1" applyAlignment="1">
      <alignment horizontal="center" vertical="center"/>
    </xf>
    <xf numFmtId="164" fontId="42" fillId="0" borderId="33" xfId="0" applyNumberFormat="1" applyFont="1" applyFill="1" applyBorder="1" applyAlignment="1">
      <alignment horizontal="center" vertical="center"/>
    </xf>
    <xf numFmtId="4" fontId="18" fillId="0" borderId="34" xfId="0" applyNumberFormat="1" applyFont="1" applyFill="1" applyBorder="1" applyAlignment="1">
      <alignment horizontal="center" vertical="center" wrapText="1"/>
    </xf>
    <xf numFmtId="0" fontId="72" fillId="0" borderId="0" xfId="0" applyFont="1" applyFill="1" applyBorder="1" applyAlignment="1">
      <alignment horizontal="center" vertical="center" wrapText="1"/>
    </xf>
    <xf numFmtId="0" fontId="43" fillId="0" borderId="26" xfId="0" applyFont="1" applyFill="1" applyBorder="1" applyAlignment="1">
      <alignment horizontal="center" vertical="center" wrapText="1"/>
    </xf>
    <xf numFmtId="164" fontId="18" fillId="0" borderId="33" xfId="0" applyNumberFormat="1" applyFont="1" applyBorder="1" applyAlignment="1">
      <alignment horizontal="center" vertical="center"/>
    </xf>
    <xf numFmtId="164" fontId="42" fillId="0" borderId="26" xfId="0" applyNumberFormat="1" applyFont="1" applyFill="1" applyBorder="1" applyAlignment="1">
      <alignment horizontal="center" vertical="center"/>
    </xf>
    <xf numFmtId="0" fontId="42" fillId="0" borderId="34" xfId="0" applyFont="1" applyBorder="1" applyAlignment="1">
      <alignment vertical="center"/>
    </xf>
    <xf numFmtId="164" fontId="70" fillId="0" borderId="33" xfId="0" applyNumberFormat="1" applyFont="1" applyFill="1" applyBorder="1" applyAlignment="1">
      <alignment horizontal="center" vertical="center"/>
    </xf>
    <xf numFmtId="164" fontId="42" fillId="0" borderId="34" xfId="0" applyNumberFormat="1" applyFont="1" applyFill="1" applyBorder="1" applyAlignment="1">
      <alignment vertical="center"/>
    </xf>
    <xf numFmtId="164" fontId="18" fillId="0" borderId="33" xfId="0" applyNumberFormat="1" applyFont="1" applyBorder="1" applyAlignment="1">
      <alignment vertical="center"/>
    </xf>
    <xf numFmtId="0" fontId="42" fillId="0" borderId="26" xfId="0" applyFont="1" applyBorder="1" applyAlignment="1">
      <alignment vertical="center"/>
    </xf>
    <xf numFmtId="164" fontId="18" fillId="0" borderId="26" xfId="0" applyNumberFormat="1" applyFont="1" applyBorder="1" applyAlignment="1">
      <alignment horizontal="center" vertical="center"/>
    </xf>
    <xf numFmtId="164" fontId="18" fillId="0" borderId="34" xfId="0" applyNumberFormat="1" applyFont="1" applyBorder="1" applyAlignment="1">
      <alignment horizontal="center" vertical="center"/>
    </xf>
    <xf numFmtId="164" fontId="18" fillId="0" borderId="73" xfId="0" applyNumberFormat="1" applyFont="1" applyBorder="1" applyAlignment="1">
      <alignment vertical="center"/>
    </xf>
    <xf numFmtId="164" fontId="42" fillId="0" borderId="73" xfId="0" applyNumberFormat="1" applyFont="1" applyBorder="1" applyAlignment="1">
      <alignment horizontal="center" vertical="center"/>
    </xf>
    <xf numFmtId="0" fontId="42" fillId="0" borderId="35" xfId="0" applyFont="1" applyBorder="1"/>
    <xf numFmtId="0" fontId="42" fillId="0" borderId="49" xfId="0" applyFont="1" applyBorder="1" applyAlignment="1">
      <alignment vertical="center"/>
    </xf>
    <xf numFmtId="0" fontId="42" fillId="0" borderId="49" xfId="0" applyFont="1" applyBorder="1" applyAlignment="1">
      <alignment horizontal="center" vertical="center"/>
    </xf>
    <xf numFmtId="0" fontId="42" fillId="0" borderId="36" xfId="0" applyFont="1" applyBorder="1" applyAlignment="1">
      <alignment vertical="center"/>
    </xf>
    <xf numFmtId="0" fontId="42" fillId="0" borderId="35" xfId="0" applyFont="1" applyBorder="1" applyAlignment="1">
      <alignment vertical="center"/>
    </xf>
    <xf numFmtId="4" fontId="42" fillId="0" borderId="49" xfId="0" applyNumberFormat="1" applyFont="1" applyBorder="1" applyAlignment="1">
      <alignment horizontal="center" vertical="center"/>
    </xf>
    <xf numFmtId="164" fontId="42" fillId="0" borderId="35" xfId="0" applyNumberFormat="1" applyFont="1" applyBorder="1" applyAlignment="1">
      <alignment vertical="center"/>
    </xf>
    <xf numFmtId="164" fontId="42" fillId="0" borderId="36" xfId="0" applyNumberFormat="1" applyFont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164" fontId="0" fillId="0" borderId="35" xfId="0" applyNumberFormat="1" applyBorder="1" applyAlignment="1">
      <alignment vertical="center"/>
    </xf>
    <xf numFmtId="164" fontId="0" fillId="0" borderId="36" xfId="0" applyNumberFormat="1" applyBorder="1" applyAlignment="1">
      <alignment vertical="center"/>
    </xf>
    <xf numFmtId="0" fontId="0" fillId="0" borderId="7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4" fontId="33" fillId="0" borderId="0" xfId="0" applyNumberFormat="1" applyFont="1" applyFill="1" applyBorder="1" applyAlignment="1">
      <alignment horizontal="center"/>
    </xf>
    <xf numFmtId="4" fontId="33" fillId="0" borderId="0" xfId="0" applyNumberFormat="1" applyFont="1" applyBorder="1" applyAlignment="1">
      <alignment horizontal="center" vertical="center"/>
    </xf>
    <xf numFmtId="164" fontId="42" fillId="0" borderId="0" xfId="0" applyNumberFormat="1" applyFont="1" applyFill="1" applyBorder="1"/>
    <xf numFmtId="165" fontId="18" fillId="21" borderId="17" xfId="0" applyNumberFormat="1" applyFont="1" applyFill="1" applyBorder="1" applyAlignment="1">
      <alignment horizontal="center"/>
    </xf>
    <xf numFmtId="165" fontId="18" fillId="21" borderId="50" xfId="0" applyNumberFormat="1" applyFont="1" applyFill="1" applyBorder="1" applyAlignment="1">
      <alignment horizontal="center"/>
    </xf>
    <xf numFmtId="164" fontId="73" fillId="0" borderId="0" xfId="0" applyNumberFormat="1" applyFont="1" applyBorder="1"/>
    <xf numFmtId="164" fontId="18" fillId="21" borderId="0" xfId="0" applyNumberFormat="1" applyFont="1" applyFill="1" applyBorder="1" applyAlignment="1">
      <alignment horizontal="center" vertical="center" wrapText="1"/>
    </xf>
    <xf numFmtId="43" fontId="11" fillId="0" borderId="12" xfId="1" applyFont="1" applyBorder="1" applyAlignment="1">
      <alignment horizontal="center"/>
    </xf>
    <xf numFmtId="43" fontId="11" fillId="0" borderId="19" xfId="1" applyFont="1" applyBorder="1" applyAlignment="1">
      <alignment horizontal="center"/>
    </xf>
    <xf numFmtId="43" fontId="11" fillId="0" borderId="13" xfId="1" applyFont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164" fontId="18" fillId="0" borderId="14" xfId="0" applyNumberFormat="1" applyFont="1" applyBorder="1" applyAlignment="1">
      <alignment horizontal="center" vertical="center" wrapText="1"/>
    </xf>
    <xf numFmtId="4" fontId="18" fillId="0" borderId="6" xfId="0" applyNumberFormat="1" applyFont="1" applyFill="1" applyBorder="1" applyAlignment="1">
      <alignment horizontal="center"/>
    </xf>
    <xf numFmtId="4" fontId="18" fillId="0" borderId="6" xfId="0" applyNumberFormat="1" applyFont="1" applyBorder="1" applyAlignment="1">
      <alignment horizontal="center" vertical="center"/>
    </xf>
    <xf numFmtId="164" fontId="18" fillId="0" borderId="52" xfId="0" applyNumberFormat="1" applyFont="1" applyFill="1" applyBorder="1" applyAlignment="1">
      <alignment horizontal="left" vertical="center" wrapText="1"/>
    </xf>
    <xf numFmtId="164" fontId="42" fillId="0" borderId="50" xfId="0" applyNumberFormat="1" applyFont="1" applyBorder="1" applyAlignment="1">
      <alignment horizontal="center"/>
    </xf>
    <xf numFmtId="164" fontId="42" fillId="0" borderId="51" xfId="0" applyNumberFormat="1" applyFont="1" applyBorder="1" applyAlignment="1">
      <alignment horizontal="center"/>
    </xf>
    <xf numFmtId="164" fontId="42" fillId="0" borderId="51" xfId="0" applyNumberFormat="1" applyFont="1" applyFill="1" applyBorder="1" applyAlignment="1">
      <alignment horizontal="center"/>
    </xf>
    <xf numFmtId="164" fontId="18" fillId="0" borderId="51" xfId="0" applyNumberFormat="1" applyFont="1" applyBorder="1" applyAlignment="1">
      <alignment horizontal="center"/>
    </xf>
    <xf numFmtId="164" fontId="42" fillId="0" borderId="52" xfId="0" applyNumberFormat="1" applyFont="1" applyBorder="1" applyAlignment="1">
      <alignment horizontal="center"/>
    </xf>
    <xf numFmtId="4" fontId="19" fillId="0" borderId="17" xfId="0" applyNumberFormat="1" applyFont="1" applyBorder="1" applyAlignment="1">
      <alignment horizontal="center"/>
    </xf>
    <xf numFmtId="4" fontId="19" fillId="0" borderId="16" xfId="0" applyNumberFormat="1" applyFont="1" applyBorder="1" applyAlignment="1">
      <alignment horizontal="center"/>
    </xf>
    <xf numFmtId="4" fontId="19" fillId="0" borderId="18" xfId="0" applyNumberFormat="1" applyFont="1" applyBorder="1" applyAlignment="1">
      <alignment horizontal="center"/>
    </xf>
    <xf numFmtId="4" fontId="0" fillId="0" borderId="26" xfId="0" applyNumberFormat="1" applyFont="1" applyBorder="1" applyAlignment="1">
      <alignment horizontal="center" vertical="center" wrapText="1"/>
    </xf>
    <xf numFmtId="164" fontId="15" fillId="0" borderId="26" xfId="0" applyNumberFormat="1" applyFont="1" applyFill="1" applyBorder="1" applyAlignment="1">
      <alignment horizontal="left" vertical="center" wrapText="1"/>
    </xf>
    <xf numFmtId="170" fontId="0" fillId="0" borderId="26" xfId="1" applyNumberFormat="1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63" fillId="0" borderId="26" xfId="0" applyFont="1" applyBorder="1" applyAlignment="1">
      <alignment horizontal="center"/>
    </xf>
    <xf numFmtId="14" fontId="18" fillId="0" borderId="0" xfId="0" applyNumberFormat="1" applyFont="1" applyBorder="1" applyAlignment="1">
      <alignment horizontal="center"/>
    </xf>
    <xf numFmtId="164" fontId="18" fillId="7" borderId="17" xfId="0" applyNumberFormat="1" applyFont="1" applyFill="1" applyBorder="1" applyAlignment="1">
      <alignment horizontal="center" vertical="center" wrapText="1"/>
    </xf>
    <xf numFmtId="164" fontId="18" fillId="7" borderId="16" xfId="0" applyNumberFormat="1" applyFont="1" applyFill="1" applyBorder="1" applyAlignment="1">
      <alignment horizontal="center" vertical="center" wrapText="1"/>
    </xf>
    <xf numFmtId="164" fontId="18" fillId="7" borderId="18" xfId="0" applyNumberFormat="1" applyFont="1" applyFill="1" applyBorder="1" applyAlignment="1">
      <alignment horizontal="center" vertical="center" wrapText="1"/>
    </xf>
    <xf numFmtId="164" fontId="18" fillId="11" borderId="17" xfId="0" applyNumberFormat="1" applyFont="1" applyFill="1" applyBorder="1" applyAlignment="1">
      <alignment horizontal="center" vertical="center" wrapText="1"/>
    </xf>
    <xf numFmtId="164" fontId="18" fillId="11" borderId="16" xfId="0" applyNumberFormat="1" applyFont="1" applyFill="1" applyBorder="1" applyAlignment="1">
      <alignment horizontal="center" vertical="center" wrapText="1"/>
    </xf>
    <xf numFmtId="164" fontId="18" fillId="11" borderId="18" xfId="0" applyNumberFormat="1" applyFont="1" applyFill="1" applyBorder="1" applyAlignment="1">
      <alignment horizontal="center" vertical="center" wrapText="1"/>
    </xf>
    <xf numFmtId="164" fontId="18" fillId="13" borderId="17" xfId="0" applyNumberFormat="1" applyFont="1" applyFill="1" applyBorder="1" applyAlignment="1">
      <alignment horizontal="center" vertical="center" wrapText="1"/>
    </xf>
    <xf numFmtId="164" fontId="18" fillId="13" borderId="16" xfId="0" applyNumberFormat="1" applyFont="1" applyFill="1" applyBorder="1" applyAlignment="1">
      <alignment horizontal="center" vertical="center" wrapText="1"/>
    </xf>
    <xf numFmtId="164" fontId="18" fillId="13" borderId="18" xfId="0" applyNumberFormat="1" applyFont="1" applyFill="1" applyBorder="1" applyAlignment="1">
      <alignment horizontal="center" vertical="center" wrapText="1"/>
    </xf>
    <xf numFmtId="164" fontId="18" fillId="10" borderId="17" xfId="0" applyNumberFormat="1" applyFont="1" applyFill="1" applyBorder="1" applyAlignment="1">
      <alignment horizontal="center" vertical="center" wrapText="1"/>
    </xf>
    <xf numFmtId="164" fontId="18" fillId="10" borderId="16" xfId="0" applyNumberFormat="1" applyFont="1" applyFill="1" applyBorder="1" applyAlignment="1">
      <alignment horizontal="center" vertical="center" wrapText="1"/>
    </xf>
    <xf numFmtId="164" fontId="18" fillId="10" borderId="18" xfId="0" applyNumberFormat="1" applyFont="1" applyFill="1" applyBorder="1" applyAlignment="1">
      <alignment horizontal="center" vertical="center" wrapText="1"/>
    </xf>
    <xf numFmtId="43" fontId="11" fillId="0" borderId="11" xfId="1" applyFont="1" applyBorder="1" applyAlignment="1">
      <alignment horizontal="center" vertical="center" wrapText="1"/>
    </xf>
    <xf numFmtId="43" fontId="11" fillId="0" borderId="10" xfId="1" applyFont="1" applyBorder="1" applyAlignment="1">
      <alignment horizontal="center" vertical="center" wrapText="1"/>
    </xf>
    <xf numFmtId="43" fontId="11" fillId="0" borderId="11" xfId="1" applyFont="1" applyBorder="1" applyAlignment="1">
      <alignment horizontal="center"/>
    </xf>
    <xf numFmtId="43" fontId="11" fillId="0" borderId="10" xfId="1" applyFont="1" applyBorder="1" applyAlignment="1">
      <alignment horizontal="center"/>
    </xf>
    <xf numFmtId="43" fontId="11" fillId="0" borderId="17" xfId="1" applyFont="1" applyBorder="1" applyAlignment="1">
      <alignment horizontal="center" vertical="center" wrapText="1"/>
    </xf>
    <xf numFmtId="43" fontId="11" fillId="0" borderId="16" xfId="1" applyFont="1" applyBorder="1" applyAlignment="1">
      <alignment horizontal="center" vertical="center" wrapText="1"/>
    </xf>
    <xf numFmtId="43" fontId="11" fillId="0" borderId="18" xfId="1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43" fontId="11" fillId="0" borderId="12" xfId="1" applyFont="1" applyBorder="1" applyAlignment="1">
      <alignment horizontal="center" vertical="center" wrapText="1"/>
    </xf>
    <xf numFmtId="43" fontId="11" fillId="0" borderId="19" xfId="1" applyFont="1" applyBorder="1" applyAlignment="1">
      <alignment horizontal="center" vertical="center" wrapText="1"/>
    </xf>
    <xf numFmtId="43" fontId="11" fillId="0" borderId="0" xfId="1" applyFont="1" applyBorder="1" applyAlignment="1">
      <alignment horizontal="center"/>
    </xf>
    <xf numFmtId="43" fontId="11" fillId="0" borderId="13" xfId="1" applyFont="1" applyBorder="1" applyAlignment="1">
      <alignment horizontal="center" vertical="center" wrapText="1"/>
    </xf>
    <xf numFmtId="43" fontId="11" fillId="0" borderId="12" xfId="1" applyFont="1" applyBorder="1" applyAlignment="1">
      <alignment horizontal="center"/>
    </xf>
    <xf numFmtId="43" fontId="11" fillId="0" borderId="19" xfId="1" applyFont="1" applyBorder="1" applyAlignment="1">
      <alignment horizontal="center"/>
    </xf>
    <xf numFmtId="43" fontId="11" fillId="0" borderId="13" xfId="1" applyFont="1" applyBorder="1" applyAlignment="1">
      <alignment horizontal="center"/>
    </xf>
    <xf numFmtId="43" fontId="11" fillId="0" borderId="21" xfId="1" applyFont="1" applyBorder="1" applyAlignment="1">
      <alignment horizontal="center"/>
    </xf>
    <xf numFmtId="43" fontId="11" fillId="0" borderId="22" xfId="1" applyFont="1" applyBorder="1" applyAlignment="1">
      <alignment horizontal="center"/>
    </xf>
    <xf numFmtId="43" fontId="11" fillId="0" borderId="23" xfId="1" applyFont="1" applyBorder="1" applyAlignment="1">
      <alignment horizontal="center"/>
    </xf>
    <xf numFmtId="0" fontId="42" fillId="0" borderId="9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18" fillId="0" borderId="21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53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43" fontId="12" fillId="0" borderId="12" xfId="1" applyFont="1" applyBorder="1" applyAlignment="1">
      <alignment horizontal="center"/>
    </xf>
    <xf numFmtId="43" fontId="12" fillId="0" borderId="13" xfId="1" applyFont="1" applyBorder="1" applyAlignment="1">
      <alignment horizontal="center"/>
    </xf>
    <xf numFmtId="43" fontId="11" fillId="0" borderId="0" xfId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43" fontId="0" fillId="0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0" fillId="0" borderId="17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5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53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4" fontId="7" fillId="0" borderId="50" xfId="0" applyNumberFormat="1" applyFont="1" applyBorder="1" applyAlignment="1">
      <alignment horizontal="center" vertical="center" wrapText="1"/>
    </xf>
    <xf numFmtId="4" fontId="7" fillId="0" borderId="51" xfId="0" applyNumberFormat="1" applyFont="1" applyBorder="1" applyAlignment="1">
      <alignment horizontal="center" vertical="center" wrapText="1"/>
    </xf>
    <xf numFmtId="4" fontId="7" fillId="0" borderId="52" xfId="0" applyNumberFormat="1" applyFont="1" applyBorder="1" applyAlignment="1">
      <alignment horizontal="center" vertical="center" wrapText="1"/>
    </xf>
    <xf numFmtId="4" fontId="7" fillId="0" borderId="12" xfId="0" applyNumberFormat="1" applyFont="1" applyBorder="1" applyAlignment="1">
      <alignment horizontal="center" vertical="center" wrapText="1"/>
    </xf>
    <xf numFmtId="4" fontId="7" fillId="0" borderId="11" xfId="0" applyNumberFormat="1" applyFont="1" applyBorder="1" applyAlignment="1">
      <alignment horizontal="center" vertical="center" wrapText="1"/>
    </xf>
    <xf numFmtId="4" fontId="7" fillId="0" borderId="14" xfId="0" applyNumberFormat="1" applyFont="1" applyBorder="1" applyAlignment="1">
      <alignment horizontal="center" vertical="center" wrapText="1"/>
    </xf>
    <xf numFmtId="4" fontId="3" fillId="0" borderId="41" xfId="0" applyNumberFormat="1" applyFont="1" applyBorder="1" applyAlignment="1">
      <alignment horizontal="center" vertical="center" wrapText="1"/>
    </xf>
    <xf numFmtId="4" fontId="3" fillId="0" borderId="42" xfId="0" applyNumberFormat="1" applyFont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 wrapText="1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4" fillId="15" borderId="17" xfId="0" applyFont="1" applyFill="1" applyBorder="1" applyAlignment="1">
      <alignment horizontal="center"/>
    </xf>
    <xf numFmtId="0" fontId="4" fillId="15" borderId="16" xfId="0" applyFont="1" applyFill="1" applyBorder="1" applyAlignment="1">
      <alignment horizontal="center"/>
    </xf>
    <xf numFmtId="0" fontId="4" fillId="15" borderId="18" xfId="0" applyFont="1" applyFill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35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12" fillId="0" borderId="6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3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12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43" fontId="4" fillId="0" borderId="17" xfId="1" applyFont="1" applyBorder="1" applyAlignment="1">
      <alignment horizontal="center"/>
    </xf>
    <xf numFmtId="43" fontId="4" fillId="0" borderId="16" xfId="1" applyFont="1" applyBorder="1" applyAlignment="1">
      <alignment horizontal="center"/>
    </xf>
    <xf numFmtId="43" fontId="4" fillId="0" borderId="18" xfId="1" applyFont="1" applyBorder="1" applyAlignment="1">
      <alignment horizontal="center"/>
    </xf>
    <xf numFmtId="43" fontId="5" fillId="0" borderId="17" xfId="1" applyFont="1" applyBorder="1" applyAlignment="1">
      <alignment horizontal="center" vertical="center" wrapText="1"/>
    </xf>
    <xf numFmtId="43" fontId="5" fillId="0" borderId="16" xfId="1" applyFont="1" applyBorder="1" applyAlignment="1">
      <alignment horizontal="center" vertical="center" wrapText="1"/>
    </xf>
    <xf numFmtId="43" fontId="0" fillId="0" borderId="17" xfId="1" applyFont="1" applyBorder="1" applyAlignment="1">
      <alignment horizontal="center" vertical="center" wrapText="1"/>
    </xf>
    <xf numFmtId="43" fontId="0" fillId="0" borderId="18" xfId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43" fontId="5" fillId="0" borderId="18" xfId="1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/>
    </xf>
    <xf numFmtId="0" fontId="30" fillId="0" borderId="16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0" borderId="2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0" fillId="0" borderId="17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4" fontId="0" fillId="0" borderId="11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0" fillId="14" borderId="17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7" fillId="2" borderId="17" xfId="0" applyFont="1" applyFill="1" applyBorder="1" applyAlignment="1">
      <alignment horizontal="center"/>
    </xf>
    <xf numFmtId="0" fontId="47" fillId="2" borderId="16" xfId="0" applyFont="1" applyFill="1" applyBorder="1" applyAlignment="1">
      <alignment horizontal="center"/>
    </xf>
    <xf numFmtId="0" fontId="47" fillId="2" borderId="18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9" fillId="0" borderId="17" xfId="0" applyFont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5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7" fillId="2" borderId="6" xfId="0" applyFont="1" applyFill="1" applyBorder="1" applyAlignment="1">
      <alignment horizontal="center"/>
    </xf>
    <xf numFmtId="0" fontId="47" fillId="2" borderId="15" xfId="0" applyFont="1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5" fillId="0" borderId="18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4" fontId="13" fillId="0" borderId="11" xfId="0" applyNumberFormat="1" applyFont="1" applyBorder="1" applyAlignment="1">
      <alignment horizontal="center" vertical="center" wrapText="1" shrinkToFit="1"/>
    </xf>
    <xf numFmtId="4" fontId="13" fillId="0" borderId="10" xfId="0" applyNumberFormat="1" applyFont="1" applyBorder="1" applyAlignment="1">
      <alignment horizontal="center" vertical="center" wrapText="1" shrinkToFit="1"/>
    </xf>
    <xf numFmtId="4" fontId="13" fillId="0" borderId="14" xfId="0" applyNumberFormat="1" applyFont="1" applyBorder="1" applyAlignment="1">
      <alignment horizontal="center" vertical="center" wrapText="1" shrinkToFit="1"/>
    </xf>
    <xf numFmtId="4" fontId="13" fillId="0" borderId="15" xfId="0" applyNumberFormat="1" applyFont="1" applyBorder="1" applyAlignment="1">
      <alignment horizontal="center" vertical="center" wrapText="1" shrinkToFit="1"/>
    </xf>
    <xf numFmtId="4" fontId="14" fillId="0" borderId="0" xfId="0" applyNumberFormat="1" applyFont="1" applyBorder="1" applyAlignment="1">
      <alignment horizontal="center" vertical="center"/>
    </xf>
    <xf numFmtId="4" fontId="13" fillId="0" borderId="0" xfId="0" applyNumberFormat="1" applyFont="1" applyBorder="1" applyAlignment="1">
      <alignment horizontal="center" vertical="center" wrapText="1" shrinkToFi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/>
    </xf>
    <xf numFmtId="4" fontId="18" fillId="0" borderId="11" xfId="0" applyNumberFormat="1" applyFont="1" applyBorder="1" applyAlignment="1">
      <alignment horizontal="center" vertical="center" wrapText="1" shrinkToFit="1"/>
    </xf>
    <xf numFmtId="43" fontId="18" fillId="0" borderId="17" xfId="1" applyFont="1" applyBorder="1" applyAlignment="1">
      <alignment horizontal="center" vertical="center" wrapText="1"/>
    </xf>
    <xf numFmtId="43" fontId="18" fillId="0" borderId="16" xfId="1" applyFont="1" applyBorder="1" applyAlignment="1">
      <alignment horizontal="center" vertical="center" wrapText="1"/>
    </xf>
    <xf numFmtId="43" fontId="18" fillId="0" borderId="18" xfId="1" applyFont="1" applyBorder="1" applyAlignment="1">
      <alignment horizontal="center" vertical="center" wrapText="1"/>
    </xf>
    <xf numFmtId="4" fontId="13" fillId="3" borderId="14" xfId="0" applyNumberFormat="1" applyFont="1" applyFill="1" applyBorder="1" applyAlignment="1">
      <alignment horizontal="center" vertical="center" wrapText="1"/>
    </xf>
    <xf numFmtId="4" fontId="13" fillId="3" borderId="15" xfId="0" applyNumberFormat="1" applyFont="1" applyFill="1" applyBorder="1" applyAlignment="1">
      <alignment horizontal="center" vertical="center" wrapText="1"/>
    </xf>
    <xf numFmtId="43" fontId="11" fillId="0" borderId="14" xfId="1" applyFont="1" applyBorder="1" applyAlignment="1">
      <alignment horizontal="center" vertical="center" wrapText="1"/>
    </xf>
    <xf numFmtId="43" fontId="11" fillId="0" borderId="6" xfId="1" applyFont="1" applyBorder="1" applyAlignment="1">
      <alignment horizontal="center" vertical="center" wrapText="1"/>
    </xf>
    <xf numFmtId="43" fontId="11" fillId="0" borderId="15" xfId="1" applyFont="1" applyBorder="1" applyAlignment="1">
      <alignment horizontal="center" vertical="center" wrapText="1"/>
    </xf>
    <xf numFmtId="43" fontId="11" fillId="0" borderId="56" xfId="1" applyFont="1" applyBorder="1" applyAlignment="1">
      <alignment horizontal="center"/>
    </xf>
    <xf numFmtId="43" fontId="11" fillId="0" borderId="47" xfId="1" applyFont="1" applyBorder="1" applyAlignment="1">
      <alignment horizontal="center"/>
    </xf>
    <xf numFmtId="43" fontId="11" fillId="0" borderId="1" xfId="1" applyFont="1" applyBorder="1" applyAlignment="1">
      <alignment horizontal="center" vertical="center" wrapText="1"/>
    </xf>
    <xf numFmtId="43" fontId="11" fillId="0" borderId="5" xfId="1" applyFont="1" applyBorder="1" applyAlignment="1">
      <alignment horizontal="center" vertical="center" wrapText="1"/>
    </xf>
    <xf numFmtId="43" fontId="11" fillId="0" borderId="58" xfId="1" applyFont="1" applyBorder="1" applyAlignment="1">
      <alignment horizontal="center" vertical="center" wrapText="1"/>
    </xf>
    <xf numFmtId="43" fontId="11" fillId="0" borderId="28" xfId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4" fontId="13" fillId="3" borderId="12" xfId="0" applyNumberFormat="1" applyFont="1" applyFill="1" applyBorder="1" applyAlignment="1">
      <alignment horizontal="center" vertical="center" wrapText="1"/>
    </xf>
    <xf numFmtId="4" fontId="13" fillId="3" borderId="19" xfId="0" applyNumberFormat="1" applyFont="1" applyFill="1" applyBorder="1" applyAlignment="1">
      <alignment horizontal="center" vertical="center" wrapText="1"/>
    </xf>
    <xf numFmtId="4" fontId="13" fillId="3" borderId="13" xfId="0" applyNumberFormat="1" applyFont="1" applyFill="1" applyBorder="1" applyAlignment="1">
      <alignment horizontal="center" vertical="center" wrapText="1"/>
    </xf>
    <xf numFmtId="4" fontId="13" fillId="3" borderId="6" xfId="0" applyNumberFormat="1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8" fillId="0" borderId="26" xfId="0" applyFont="1" applyBorder="1" applyAlignment="1">
      <alignment horizontal="center" vertical="center" wrapText="1"/>
    </xf>
    <xf numFmtId="3" fontId="14" fillId="0" borderId="53" xfId="0" applyNumberFormat="1" applyFont="1" applyBorder="1" applyAlignment="1">
      <alignment horizontal="center" vertical="center"/>
    </xf>
    <xf numFmtId="3" fontId="14" fillId="0" borderId="24" xfId="0" applyNumberFormat="1" applyFont="1" applyBorder="1" applyAlignment="1">
      <alignment horizontal="center" vertical="center"/>
    </xf>
    <xf numFmtId="3" fontId="14" fillId="0" borderId="30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4" fillId="0" borderId="63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29" fillId="0" borderId="8" xfId="2" applyFont="1" applyFill="1" applyBorder="1" applyAlignment="1" applyProtection="1">
      <alignment horizontal="center" vertical="center" wrapText="1"/>
      <protection locked="0"/>
    </xf>
    <xf numFmtId="0" fontId="29" fillId="0" borderId="0" xfId="2" applyFont="1" applyFill="1" applyBorder="1" applyAlignment="1" applyProtection="1">
      <alignment horizontal="center" vertical="center" wrapText="1"/>
      <protection locked="0"/>
    </xf>
    <xf numFmtId="0" fontId="29" fillId="0" borderId="9" xfId="2" applyFont="1" applyFill="1" applyBorder="1" applyAlignment="1" applyProtection="1">
      <alignment horizontal="center" vertical="center" wrapText="1"/>
      <protection locked="0"/>
    </xf>
    <xf numFmtId="0" fontId="2" fillId="0" borderId="55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3" fillId="0" borderId="47" xfId="0" applyFont="1" applyBorder="1" applyAlignment="1">
      <alignment horizontal="center"/>
    </xf>
    <xf numFmtId="1" fontId="32" fillId="0" borderId="14" xfId="0" applyNumberFormat="1" applyFont="1" applyBorder="1" applyAlignment="1">
      <alignment horizontal="center" vertical="center"/>
    </xf>
    <xf numFmtId="1" fontId="32" fillId="0" borderId="15" xfId="0" applyNumberFormat="1" applyFont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/>
    </xf>
    <xf numFmtId="1" fontId="32" fillId="0" borderId="11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1" fontId="33" fillId="0" borderId="27" xfId="2" applyNumberFormat="1" applyFont="1" applyFill="1" applyBorder="1" applyAlignment="1" applyProtection="1">
      <alignment horizontal="center" vertical="center"/>
      <protection locked="0"/>
    </xf>
    <xf numFmtId="1" fontId="33" fillId="0" borderId="28" xfId="2" applyNumberFormat="1" applyFont="1" applyFill="1" applyBorder="1" applyAlignment="1" applyProtection="1">
      <alignment horizontal="center" vertical="center"/>
      <protection locked="0"/>
    </xf>
    <xf numFmtId="1" fontId="33" fillId="0" borderId="59" xfId="2" applyNumberFormat="1" applyFont="1" applyFill="1" applyBorder="1" applyAlignment="1" applyProtection="1">
      <alignment horizontal="center" vertical="center"/>
      <protection locked="0"/>
    </xf>
    <xf numFmtId="4" fontId="10" fillId="0" borderId="0" xfId="0" applyNumberFormat="1" applyFont="1" applyBorder="1" applyAlignment="1">
      <alignment horizontal="center"/>
    </xf>
    <xf numFmtId="4" fontId="10" fillId="0" borderId="26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9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0" fillId="0" borderId="37" xfId="0" applyBorder="1" applyAlignment="1">
      <alignment horizontal="center"/>
    </xf>
    <xf numFmtId="164" fontId="42" fillId="0" borderId="0" xfId="0" applyNumberFormat="1" applyFont="1" applyAlignment="1">
      <alignment horizontal="center"/>
    </xf>
    <xf numFmtId="43" fontId="42" fillId="10" borderId="37" xfId="1" applyFont="1" applyFill="1" applyBorder="1" applyAlignment="1">
      <alignment horizontal="center"/>
    </xf>
    <xf numFmtId="43" fontId="42" fillId="10" borderId="55" xfId="1" applyFont="1" applyFill="1" applyBorder="1" applyAlignment="1">
      <alignment horizontal="center"/>
    </xf>
    <xf numFmtId="43" fontId="42" fillId="10" borderId="38" xfId="1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43" fontId="42" fillId="0" borderId="37" xfId="1" applyFont="1" applyBorder="1" applyAlignment="1">
      <alignment horizontal="center"/>
    </xf>
    <xf numFmtId="43" fontId="42" fillId="0" borderId="55" xfId="1" applyFont="1" applyBorder="1" applyAlignment="1">
      <alignment horizontal="center"/>
    </xf>
    <xf numFmtId="43" fontId="42" fillId="0" borderId="38" xfId="1" applyFont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18" fillId="0" borderId="37" xfId="0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37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6" xfId="0" applyFont="1" applyBorder="1" applyAlignment="1">
      <alignment horizontal="center" vertical="center" wrapText="1"/>
    </xf>
    <xf numFmtId="4" fontId="12" fillId="0" borderId="11" xfId="0" applyNumberFormat="1" applyFont="1" applyBorder="1" applyAlignment="1">
      <alignment horizontal="center" vertical="center"/>
    </xf>
    <xf numFmtId="4" fontId="12" fillId="0" borderId="10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 wrapText="1"/>
    </xf>
    <xf numFmtId="43" fontId="12" fillId="0" borderId="53" xfId="1" applyFont="1" applyBorder="1" applyAlignment="1">
      <alignment horizontal="center"/>
    </xf>
    <xf numFmtId="0" fontId="11" fillId="0" borderId="26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wrapText="1"/>
    </xf>
    <xf numFmtId="0" fontId="4" fillId="0" borderId="26" xfId="0" applyFont="1" applyBorder="1" applyAlignment="1">
      <alignment horizontal="center" vertical="center" wrapText="1"/>
    </xf>
  </cellXfs>
  <cellStyles count="11">
    <cellStyle name="Hipervínculo" xfId="6" builtinId="8"/>
    <cellStyle name="Millares" xfId="1" builtinId="3"/>
    <cellStyle name="Millares 2" xfId="4"/>
    <cellStyle name="Millares 2 2" xfId="7"/>
    <cellStyle name="Millares 3" xfId="8"/>
    <cellStyle name="Millares 4" xfId="5"/>
    <cellStyle name="Normal" xfId="0" builtinId="0"/>
    <cellStyle name="Normal 2" xfId="2"/>
    <cellStyle name="Normal 3" xfId="9"/>
    <cellStyle name="Normal 4" xfId="10"/>
    <cellStyle name="Porcentaje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k_ruiz@hotmail.com" TargetMode="External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S54"/>
  <sheetViews>
    <sheetView topLeftCell="E43" workbookViewId="0">
      <selection activeCell="Q44" sqref="Q44"/>
    </sheetView>
  </sheetViews>
  <sheetFormatPr baseColWidth="10" defaultRowHeight="14.4" x14ac:dyDescent="0.3"/>
  <cols>
    <col min="2" max="2" width="36.5546875" customWidth="1"/>
    <col min="3" max="3" width="23.88671875" bestFit="1" customWidth="1"/>
    <col min="4" max="4" width="18.33203125" customWidth="1"/>
    <col min="5" max="5" width="19.5546875" bestFit="1" customWidth="1"/>
    <col min="6" max="6" width="39" customWidth="1"/>
    <col min="7" max="7" width="20.44140625" bestFit="1" customWidth="1"/>
    <col min="8" max="16" width="4.109375" bestFit="1" customWidth="1"/>
    <col min="17" max="19" width="5.109375" bestFit="1" customWidth="1"/>
  </cols>
  <sheetData>
    <row r="1" spans="2:5" ht="15.75" thickBot="1" x14ac:dyDescent="0.3"/>
    <row r="2" spans="2:5" ht="15.75" thickBot="1" x14ac:dyDescent="0.3">
      <c r="B2" s="1450" t="s">
        <v>5</v>
      </c>
      <c r="C2" s="1450" t="s">
        <v>27</v>
      </c>
      <c r="D2" s="1450" t="s">
        <v>198</v>
      </c>
      <c r="E2" s="1451" t="s">
        <v>939</v>
      </c>
    </row>
    <row r="3" spans="2:5" ht="15" x14ac:dyDescent="0.25">
      <c r="B3" s="1436" t="s">
        <v>30</v>
      </c>
      <c r="C3" s="6">
        <v>14240800</v>
      </c>
      <c r="D3" s="6">
        <v>0</v>
      </c>
      <c r="E3" s="5">
        <v>14240800</v>
      </c>
    </row>
    <row r="4" spans="2:5" ht="15" x14ac:dyDescent="0.25">
      <c r="B4" s="1436" t="s">
        <v>731</v>
      </c>
      <c r="C4" s="6">
        <v>385963.2</v>
      </c>
      <c r="D4" s="6">
        <v>0</v>
      </c>
      <c r="E4" s="5">
        <v>385963.2</v>
      </c>
    </row>
    <row r="5" spans="2:5" ht="15" x14ac:dyDescent="0.25">
      <c r="B5" s="1436" t="s">
        <v>732</v>
      </c>
      <c r="C5" s="6">
        <v>1543852.8</v>
      </c>
      <c r="D5" s="6">
        <v>0</v>
      </c>
      <c r="E5" s="5">
        <v>1543852.8</v>
      </c>
    </row>
    <row r="6" spans="2:5" ht="15" x14ac:dyDescent="0.25">
      <c r="B6" s="1436" t="s">
        <v>733</v>
      </c>
      <c r="C6" s="6">
        <v>353799.60000000009</v>
      </c>
      <c r="D6" s="6">
        <v>0</v>
      </c>
      <c r="E6" s="5">
        <v>353799.60000000009</v>
      </c>
    </row>
    <row r="7" spans="2:5" ht="15" x14ac:dyDescent="0.25">
      <c r="B7" s="1437" t="s">
        <v>867</v>
      </c>
      <c r="C7" s="6">
        <v>34411888</v>
      </c>
      <c r="D7" s="6">
        <v>0</v>
      </c>
      <c r="E7" s="5">
        <v>34411888</v>
      </c>
    </row>
    <row r="8" spans="2:5" ht="15" x14ac:dyDescent="0.25">
      <c r="B8" s="1437" t="s">
        <v>199</v>
      </c>
      <c r="C8" s="6">
        <v>21440699.801860694</v>
      </c>
      <c r="D8" s="6">
        <v>0</v>
      </c>
      <c r="E8" s="5">
        <v>21440699.801860694</v>
      </c>
    </row>
    <row r="9" spans="2:5" ht="15" x14ac:dyDescent="0.25">
      <c r="B9" s="1436" t="s">
        <v>630</v>
      </c>
      <c r="C9" s="6">
        <v>986204.8</v>
      </c>
      <c r="D9" s="6">
        <v>0</v>
      </c>
      <c r="E9" s="5">
        <v>986204.8</v>
      </c>
    </row>
    <row r="10" spans="2:5" ht="15" x14ac:dyDescent="0.25">
      <c r="B10" s="1438" t="s">
        <v>523</v>
      </c>
      <c r="C10" s="6">
        <v>44745456</v>
      </c>
      <c r="D10" s="6">
        <v>0</v>
      </c>
      <c r="E10" s="5">
        <v>44745456</v>
      </c>
    </row>
    <row r="11" spans="2:5" ht="15" x14ac:dyDescent="0.25">
      <c r="B11" s="1436" t="s">
        <v>33</v>
      </c>
      <c r="C11" s="6">
        <v>9223200</v>
      </c>
      <c r="D11" s="6">
        <v>0</v>
      </c>
      <c r="E11" s="5">
        <v>9223200</v>
      </c>
    </row>
    <row r="12" spans="2:5" ht="15" x14ac:dyDescent="0.25">
      <c r="B12" s="1436" t="s">
        <v>642</v>
      </c>
      <c r="C12" s="6">
        <v>3984400</v>
      </c>
      <c r="D12" s="6">
        <v>0</v>
      </c>
      <c r="E12" s="5">
        <v>3984400</v>
      </c>
    </row>
    <row r="13" spans="2:5" ht="15" x14ac:dyDescent="0.25">
      <c r="B13" s="1439" t="s">
        <v>76</v>
      </c>
      <c r="C13" s="6">
        <v>2337296.64</v>
      </c>
      <c r="D13" s="6">
        <v>0</v>
      </c>
      <c r="E13" s="5">
        <v>2337296.64</v>
      </c>
    </row>
    <row r="14" spans="2:5" ht="15" x14ac:dyDescent="0.25">
      <c r="B14" s="1439" t="s">
        <v>643</v>
      </c>
      <c r="C14" s="6">
        <v>604800</v>
      </c>
      <c r="D14" s="6">
        <v>0</v>
      </c>
      <c r="E14" s="5">
        <v>604800</v>
      </c>
    </row>
    <row r="15" spans="2:5" ht="15" x14ac:dyDescent="0.25">
      <c r="B15" s="1440" t="s">
        <v>875</v>
      </c>
      <c r="C15" s="6">
        <v>23112357.824639998</v>
      </c>
      <c r="D15" s="6">
        <v>0</v>
      </c>
      <c r="E15" s="5">
        <v>23112357.824639998</v>
      </c>
    </row>
    <row r="16" spans="2:5" ht="15" x14ac:dyDescent="0.25">
      <c r="B16" s="1441" t="s">
        <v>873</v>
      </c>
      <c r="C16" s="6">
        <v>2587200</v>
      </c>
      <c r="D16" s="6">
        <v>0</v>
      </c>
      <c r="E16" s="5">
        <v>2587200</v>
      </c>
    </row>
    <row r="17" spans="2:5" ht="15" x14ac:dyDescent="0.25">
      <c r="B17" s="1441" t="s">
        <v>905</v>
      </c>
      <c r="C17" s="6">
        <v>12416947.199999999</v>
      </c>
      <c r="D17" s="6">
        <v>0</v>
      </c>
      <c r="E17" s="5">
        <v>12416947.199999999</v>
      </c>
    </row>
    <row r="18" spans="2:5" ht="27.6" x14ac:dyDescent="0.3">
      <c r="B18" s="1441" t="s">
        <v>526</v>
      </c>
      <c r="C18" s="6">
        <v>1725024</v>
      </c>
      <c r="D18" s="6">
        <v>0</v>
      </c>
      <c r="E18" s="5">
        <v>1725024</v>
      </c>
    </row>
    <row r="19" spans="2:5" ht="15" x14ac:dyDescent="0.25">
      <c r="B19" s="1441" t="s">
        <v>54</v>
      </c>
      <c r="C19" s="6">
        <v>1757952.0000000002</v>
      </c>
      <c r="D19" s="6">
        <v>0</v>
      </c>
      <c r="E19" s="5">
        <v>1757952.0000000002</v>
      </c>
    </row>
    <row r="20" spans="2:5" ht="15" x14ac:dyDescent="0.25">
      <c r="B20" s="1441" t="s">
        <v>202</v>
      </c>
      <c r="C20" s="6">
        <v>415072</v>
      </c>
      <c r="D20" s="6">
        <v>0</v>
      </c>
      <c r="E20" s="5">
        <v>415072</v>
      </c>
    </row>
    <row r="21" spans="2:5" ht="15" x14ac:dyDescent="0.25">
      <c r="B21" s="1442" t="s">
        <v>529</v>
      </c>
      <c r="C21" s="6">
        <v>1993261.4240000001</v>
      </c>
      <c r="D21" s="6">
        <v>0</v>
      </c>
      <c r="E21" s="5">
        <v>1993261.4240000001</v>
      </c>
    </row>
    <row r="22" spans="2:5" ht="15" x14ac:dyDescent="0.25">
      <c r="B22" s="1442" t="s">
        <v>906</v>
      </c>
      <c r="C22" s="6">
        <v>33053092.800000004</v>
      </c>
      <c r="D22" s="6">
        <v>0</v>
      </c>
      <c r="E22" s="5"/>
    </row>
    <row r="23" spans="2:5" ht="15" x14ac:dyDescent="0.25">
      <c r="B23" s="1442" t="s">
        <v>521</v>
      </c>
      <c r="C23" s="6">
        <v>336000</v>
      </c>
      <c r="D23" s="6">
        <v>0</v>
      </c>
      <c r="E23" s="5">
        <v>336000</v>
      </c>
    </row>
    <row r="24" spans="2:5" ht="15" x14ac:dyDescent="0.25">
      <c r="B24" s="1443" t="s">
        <v>93</v>
      </c>
      <c r="C24" s="6">
        <v>772800</v>
      </c>
      <c r="D24" s="6">
        <v>0</v>
      </c>
      <c r="E24" s="5">
        <v>772800</v>
      </c>
    </row>
    <row r="25" spans="2:5" ht="15" x14ac:dyDescent="0.25">
      <c r="B25" s="1444" t="s">
        <v>910</v>
      </c>
      <c r="C25" s="6">
        <v>30024758.399999999</v>
      </c>
      <c r="D25" s="6">
        <v>0</v>
      </c>
      <c r="E25" s="5">
        <v>30024758.399999999</v>
      </c>
    </row>
    <row r="26" spans="2:5" ht="15" x14ac:dyDescent="0.25">
      <c r="B26" s="1441" t="s">
        <v>101</v>
      </c>
      <c r="C26" s="6">
        <v>480480</v>
      </c>
      <c r="D26" s="6">
        <v>0</v>
      </c>
      <c r="E26" s="5">
        <v>480480</v>
      </c>
    </row>
    <row r="27" spans="2:5" ht="15" x14ac:dyDescent="0.25">
      <c r="B27" s="1445" t="s">
        <v>400</v>
      </c>
      <c r="C27" s="6">
        <v>398271.94400000002</v>
      </c>
      <c r="D27" s="6">
        <v>0</v>
      </c>
      <c r="E27" s="5">
        <v>398271.94400000002</v>
      </c>
    </row>
    <row r="28" spans="2:5" ht="15" x14ac:dyDescent="0.25">
      <c r="B28" s="1445" t="s">
        <v>401</v>
      </c>
      <c r="C28" s="6">
        <v>50400</v>
      </c>
      <c r="D28" s="6">
        <v>0</v>
      </c>
      <c r="E28" s="5">
        <v>50400</v>
      </c>
    </row>
    <row r="29" spans="2:5" ht="15" x14ac:dyDescent="0.25">
      <c r="B29" s="1441" t="s">
        <v>911</v>
      </c>
      <c r="C29" s="6">
        <v>29102810.239999998</v>
      </c>
      <c r="D29" s="6">
        <v>0</v>
      </c>
      <c r="E29" s="5">
        <v>29102810.239999998</v>
      </c>
    </row>
    <row r="30" spans="2:5" ht="15" x14ac:dyDescent="0.25">
      <c r="B30" s="1446" t="s">
        <v>266</v>
      </c>
      <c r="C30" s="6">
        <v>1822588.544</v>
      </c>
      <c r="D30" s="6">
        <v>0</v>
      </c>
      <c r="E30" s="5">
        <v>1822588.544</v>
      </c>
    </row>
    <row r="31" spans="2:5" ht="15" x14ac:dyDescent="0.25">
      <c r="B31" s="1446" t="s">
        <v>267</v>
      </c>
      <c r="C31" s="6">
        <v>7647472</v>
      </c>
      <c r="D31" s="6">
        <v>0</v>
      </c>
      <c r="E31" s="5">
        <v>7647472</v>
      </c>
    </row>
    <row r="32" spans="2:5" ht="15" x14ac:dyDescent="0.25">
      <c r="B32" s="1441" t="s">
        <v>280</v>
      </c>
      <c r="C32" s="6">
        <v>2147712</v>
      </c>
      <c r="D32" s="6">
        <v>0</v>
      </c>
      <c r="E32" s="5">
        <v>2147712</v>
      </c>
    </row>
    <row r="33" spans="2:19" ht="15" x14ac:dyDescent="0.25">
      <c r="B33" s="1441" t="s">
        <v>320</v>
      </c>
      <c r="C33" s="6">
        <v>207200</v>
      </c>
      <c r="D33" s="6">
        <v>0</v>
      </c>
      <c r="E33" s="5">
        <v>207200</v>
      </c>
    </row>
    <row r="34" spans="2:19" ht="15" x14ac:dyDescent="0.25">
      <c r="B34" s="1446" t="s">
        <v>135</v>
      </c>
      <c r="C34" s="6">
        <v>4812338.72</v>
      </c>
      <c r="D34" s="6">
        <v>0</v>
      </c>
      <c r="E34" s="5">
        <v>4812338.72</v>
      </c>
    </row>
    <row r="35" spans="2:19" ht="15" x14ac:dyDescent="0.25">
      <c r="B35" s="1446" t="s">
        <v>393</v>
      </c>
      <c r="C35" s="6">
        <v>8440907.216</v>
      </c>
      <c r="D35" s="6">
        <v>0</v>
      </c>
      <c r="E35" s="5">
        <v>8440907.216</v>
      </c>
    </row>
    <row r="36" spans="2:19" x14ac:dyDescent="0.3">
      <c r="B36" s="1447" t="s">
        <v>314</v>
      </c>
      <c r="C36" s="6">
        <v>0</v>
      </c>
      <c r="D36" s="6">
        <v>0</v>
      </c>
      <c r="E36" s="5">
        <v>0</v>
      </c>
    </row>
    <row r="37" spans="2:19" ht="15" x14ac:dyDescent="0.25">
      <c r="B37" s="1448" t="s">
        <v>315</v>
      </c>
      <c r="C37" s="6">
        <v>8416800</v>
      </c>
      <c r="D37" s="6">
        <v>0</v>
      </c>
      <c r="E37" s="5">
        <v>8416800</v>
      </c>
    </row>
    <row r="38" spans="2:19" ht="15" x14ac:dyDescent="0.25">
      <c r="B38" s="1448" t="s">
        <v>340</v>
      </c>
      <c r="C38" s="6">
        <v>393120</v>
      </c>
      <c r="D38" s="6">
        <v>0</v>
      </c>
      <c r="E38" s="5">
        <v>393120</v>
      </c>
    </row>
    <row r="39" spans="2:19" ht="15" x14ac:dyDescent="0.25">
      <c r="B39" s="1448" t="s">
        <v>341</v>
      </c>
      <c r="C39" s="6">
        <v>817992</v>
      </c>
      <c r="D39" s="6">
        <v>0</v>
      </c>
      <c r="E39" s="5">
        <v>817992</v>
      </c>
    </row>
    <row r="40" spans="2:19" ht="15" x14ac:dyDescent="0.25">
      <c r="B40" s="1448" t="s">
        <v>307</v>
      </c>
      <c r="C40" s="6">
        <v>1075200</v>
      </c>
      <c r="D40" s="6">
        <v>0</v>
      </c>
      <c r="E40" s="5">
        <v>1075200</v>
      </c>
    </row>
    <row r="41" spans="2:19" ht="15.75" thickBot="1" x14ac:dyDescent="0.3">
      <c r="B41" s="1449" t="s">
        <v>530</v>
      </c>
      <c r="C41" s="35">
        <v>0</v>
      </c>
      <c r="D41" s="35">
        <v>0</v>
      </c>
      <c r="E41" s="9">
        <v>0</v>
      </c>
    </row>
    <row r="42" spans="2:19" ht="15" x14ac:dyDescent="0.25">
      <c r="C42" s="4">
        <v>308266119.15450078</v>
      </c>
      <c r="D42" s="4">
        <v>0</v>
      </c>
      <c r="E42" s="4">
        <v>308266119.15450078</v>
      </c>
    </row>
    <row r="47" spans="2:19" x14ac:dyDescent="0.3">
      <c r="F47" s="1775" t="s">
        <v>955</v>
      </c>
      <c r="G47" s="1463" t="s">
        <v>956</v>
      </c>
      <c r="H47" s="1773">
        <v>2017</v>
      </c>
      <c r="I47" s="1774"/>
      <c r="J47" s="1774"/>
      <c r="K47" s="1774"/>
      <c r="L47" s="1774"/>
      <c r="M47" s="1774"/>
      <c r="N47" s="1774"/>
      <c r="O47" s="1774"/>
      <c r="P47" s="1774"/>
      <c r="Q47" s="1774"/>
      <c r="R47" s="1774"/>
      <c r="S47" s="1774"/>
    </row>
    <row r="48" spans="2:19" x14ac:dyDescent="0.3">
      <c r="F48" s="1775"/>
      <c r="G48" s="1464" t="s">
        <v>957</v>
      </c>
      <c r="H48" s="1456" t="s">
        <v>940</v>
      </c>
      <c r="I48" s="1457" t="s">
        <v>941</v>
      </c>
      <c r="J48" s="1457" t="s">
        <v>942</v>
      </c>
      <c r="K48" s="1457" t="s">
        <v>943</v>
      </c>
      <c r="L48" s="1457" t="s">
        <v>944</v>
      </c>
      <c r="M48" s="1457" t="s">
        <v>945</v>
      </c>
      <c r="N48" s="1457" t="s">
        <v>946</v>
      </c>
      <c r="O48" s="1457" t="s">
        <v>947</v>
      </c>
      <c r="P48" s="1457" t="s">
        <v>948</v>
      </c>
      <c r="Q48" s="1457" t="s">
        <v>949</v>
      </c>
      <c r="R48" s="1457" t="s">
        <v>950</v>
      </c>
      <c r="S48" s="1457" t="s">
        <v>951</v>
      </c>
    </row>
    <row r="49" spans="6:19" ht="48.75" x14ac:dyDescent="0.25">
      <c r="F49" s="1459" t="s">
        <v>952</v>
      </c>
      <c r="G49" s="961">
        <v>184269471.8658607</v>
      </c>
      <c r="H49" s="1455"/>
      <c r="I49" s="1452"/>
      <c r="J49" s="1452"/>
      <c r="K49" s="1452"/>
      <c r="L49" s="1452"/>
      <c r="M49" s="42"/>
      <c r="N49" s="42"/>
      <c r="O49" s="42"/>
      <c r="P49" s="42"/>
      <c r="Q49" s="42"/>
      <c r="R49" s="42"/>
      <c r="S49" s="42"/>
    </row>
    <row r="50" spans="6:19" ht="18.75" x14ac:dyDescent="0.3">
      <c r="F50" s="1460" t="s">
        <v>953</v>
      </c>
      <c r="G50" s="1458">
        <v>26054454.464639999</v>
      </c>
      <c r="H50" s="1455"/>
      <c r="I50" s="1453"/>
      <c r="J50" s="1453"/>
      <c r="K50" s="42"/>
      <c r="L50" s="42"/>
      <c r="M50" s="42"/>
      <c r="N50" s="42"/>
      <c r="O50" s="42"/>
      <c r="P50" s="42"/>
      <c r="Q50" s="42"/>
      <c r="R50" s="42"/>
      <c r="S50" s="42"/>
    </row>
    <row r="51" spans="6:19" ht="18" x14ac:dyDescent="0.35">
      <c r="F51" s="1461" t="s">
        <v>936</v>
      </c>
      <c r="G51" s="1458">
        <v>210323926.33050069</v>
      </c>
    </row>
    <row r="52" spans="6:19" ht="35.4" x14ac:dyDescent="0.3">
      <c r="F52" s="1462" t="s">
        <v>954</v>
      </c>
      <c r="G52" s="961">
        <v>97942192.824000016</v>
      </c>
      <c r="H52" s="1455"/>
      <c r="I52" s="1454"/>
      <c r="J52" s="1454"/>
      <c r="K52" s="1454"/>
      <c r="L52" s="42"/>
      <c r="M52" s="42"/>
      <c r="N52" s="42"/>
      <c r="O52" s="42"/>
      <c r="P52" s="42"/>
      <c r="Q52" s="42"/>
      <c r="R52" s="42"/>
      <c r="S52" s="42"/>
    </row>
    <row r="53" spans="6:19" ht="18" x14ac:dyDescent="0.35">
      <c r="F53" s="1461" t="s">
        <v>937</v>
      </c>
      <c r="G53" s="1458">
        <v>97942192.824000016</v>
      </c>
    </row>
    <row r="54" spans="6:19" ht="18" x14ac:dyDescent="0.35">
      <c r="F54" s="1461" t="s">
        <v>938</v>
      </c>
      <c r="G54" s="1458">
        <v>308266119.15450072</v>
      </c>
    </row>
  </sheetData>
  <mergeCells count="2">
    <mergeCell ref="H47:S47"/>
    <mergeCell ref="F47:F4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rgb="FFFF0000"/>
  </sheetPr>
  <dimension ref="B3:AZ166"/>
  <sheetViews>
    <sheetView topLeftCell="D10" zoomScale="85" zoomScaleNormal="85" workbookViewId="0">
      <selection activeCell="K23" sqref="K23"/>
    </sheetView>
  </sheetViews>
  <sheetFormatPr baseColWidth="10" defaultColWidth="11.44140625" defaultRowHeight="14.4" x14ac:dyDescent="0.3"/>
  <cols>
    <col min="1" max="1" width="11.44140625" style="40" customWidth="1"/>
    <col min="2" max="2" width="11.44140625" style="40"/>
    <col min="3" max="3" width="61.88671875" style="40" customWidth="1"/>
    <col min="4" max="4" width="16.88671875" style="40" customWidth="1"/>
    <col min="5" max="5" width="24" style="40" customWidth="1"/>
    <col min="6" max="6" width="13.88671875" style="40" customWidth="1"/>
    <col min="7" max="7" width="22.33203125" style="40" customWidth="1"/>
    <col min="8" max="8" width="21.109375" style="40" customWidth="1"/>
    <col min="9" max="9" width="14.44140625" style="40" customWidth="1"/>
    <col min="10" max="10" width="25.109375" style="40" bestFit="1" customWidth="1"/>
    <col min="11" max="11" width="22.33203125" style="40" customWidth="1"/>
    <col min="12" max="12" width="14.6640625" style="40" customWidth="1"/>
    <col min="13" max="13" width="20.88671875" style="40" bestFit="1" customWidth="1"/>
    <col min="14" max="14" width="17.6640625" style="40" customWidth="1"/>
    <col min="15" max="15" width="26.6640625" style="40" bestFit="1" customWidth="1"/>
    <col min="16" max="16" width="16.88671875" style="40" customWidth="1"/>
    <col min="17" max="17" width="20.88671875" style="40" customWidth="1"/>
    <col min="18" max="18" width="15.33203125" style="40" customWidth="1"/>
    <col min="19" max="20" width="18.109375" style="40" customWidth="1"/>
    <col min="21" max="21" width="18.33203125" style="40" bestFit="1" customWidth="1"/>
    <col min="22" max="22" width="16.109375" style="40" customWidth="1"/>
    <col min="23" max="25" width="20.88671875" style="40" customWidth="1"/>
    <col min="26" max="26" width="17" style="40" customWidth="1"/>
    <col min="27" max="27" width="11.44140625" style="40"/>
    <col min="28" max="29" width="26.44140625" style="40" customWidth="1"/>
    <col min="30" max="31" width="23" style="40" customWidth="1"/>
    <col min="32" max="33" width="11.44140625" style="40"/>
    <col min="34" max="34" width="14.88671875" style="40" customWidth="1"/>
    <col min="35" max="37" width="11.44140625" style="40"/>
    <col min="38" max="38" width="18.6640625" style="40" bestFit="1" customWidth="1"/>
    <col min="39" max="39" width="14.88671875" style="40" customWidth="1"/>
    <col min="40" max="40" width="16.33203125" style="40" bestFit="1" customWidth="1"/>
    <col min="41" max="41" width="11.44140625" style="40"/>
    <col min="42" max="42" width="17.88671875" style="40" customWidth="1"/>
    <col min="43" max="49" width="11.44140625" style="40"/>
    <col min="50" max="50" width="23.44140625" style="40" customWidth="1"/>
    <col min="51" max="51" width="30.109375" style="40" customWidth="1"/>
    <col min="52" max="52" width="27" style="40" customWidth="1"/>
    <col min="53" max="16384" width="11.44140625" style="40"/>
  </cols>
  <sheetData>
    <row r="3" spans="2:51" x14ac:dyDescent="0.3">
      <c r="F3" s="40">
        <f>4*4*8</f>
        <v>128</v>
      </c>
    </row>
    <row r="5" spans="2:51" x14ac:dyDescent="0.3">
      <c r="F5" s="40">
        <f>F7/6</f>
        <v>5.0375000000000005</v>
      </c>
    </row>
    <row r="6" spans="2:51" x14ac:dyDescent="0.3">
      <c r="Y6" s="1262"/>
      <c r="Z6" s="1262"/>
    </row>
    <row r="7" spans="2:51" x14ac:dyDescent="0.3">
      <c r="E7" s="40">
        <f>E16/8</f>
        <v>23.25</v>
      </c>
      <c r="F7" s="40">
        <f>1.3*E7</f>
        <v>30.225000000000001</v>
      </c>
      <c r="X7" s="1262"/>
    </row>
    <row r="8" spans="2:51" ht="15" thickBot="1" x14ac:dyDescent="0.35"/>
    <row r="9" spans="2:51" ht="18.600000000000001" thickBot="1" x14ac:dyDescent="0.4">
      <c r="C9" s="1263" t="s">
        <v>720</v>
      </c>
      <c r="F9" s="1888" t="s">
        <v>0</v>
      </c>
      <c r="G9" s="1889"/>
      <c r="H9" s="1890"/>
      <c r="I9" s="1888" t="s">
        <v>0</v>
      </c>
      <c r="J9" s="1889"/>
      <c r="K9" s="1890"/>
      <c r="L9" s="1888" t="s">
        <v>0</v>
      </c>
      <c r="M9" s="1889"/>
      <c r="N9" s="1890"/>
      <c r="O9" s="1888" t="s">
        <v>0</v>
      </c>
      <c r="P9" s="1889"/>
      <c r="Q9" s="1890"/>
      <c r="R9" s="1888" t="s">
        <v>0</v>
      </c>
      <c r="S9" s="1889"/>
      <c r="T9" s="1890"/>
      <c r="U9" s="1888" t="s">
        <v>0</v>
      </c>
      <c r="V9" s="1889"/>
      <c r="W9" s="1890"/>
      <c r="X9" s="1888" t="s">
        <v>0</v>
      </c>
      <c r="Y9" s="1889"/>
      <c r="Z9" s="1890"/>
      <c r="AA9" s="1223"/>
      <c r="AF9" s="1891" t="s">
        <v>645</v>
      </c>
      <c r="AG9" s="1892"/>
      <c r="AH9" s="1892"/>
      <c r="AI9" s="1892"/>
      <c r="AJ9" s="1892"/>
      <c r="AK9" s="1893"/>
      <c r="AL9" s="1264"/>
      <c r="AM9" s="1264"/>
      <c r="AN9" s="1264"/>
      <c r="AO9" s="1264"/>
      <c r="AP9" s="1264"/>
      <c r="AQ9" s="1264"/>
      <c r="AR9" s="1264"/>
      <c r="AS9" s="1264"/>
      <c r="AT9" s="1264"/>
      <c r="AU9" s="1264"/>
      <c r="AV9" s="1264"/>
      <c r="AW9" s="1265"/>
      <c r="AX9" s="1266"/>
      <c r="AY9" s="1267"/>
    </row>
    <row r="10" spans="2:51" ht="18.600000000000001" thickBot="1" x14ac:dyDescent="0.4">
      <c r="C10" s="155"/>
      <c r="D10" s="155"/>
      <c r="E10" s="155"/>
      <c r="F10" s="1894" t="s">
        <v>71</v>
      </c>
      <c r="G10" s="1895"/>
      <c r="H10" s="1268" t="s">
        <v>2</v>
      </c>
      <c r="I10" s="1269" t="s">
        <v>70</v>
      </c>
      <c r="J10" s="154"/>
      <c r="K10" s="1270" t="s">
        <v>4</v>
      </c>
      <c r="L10" s="1269" t="s">
        <v>70</v>
      </c>
      <c r="M10" s="1271"/>
      <c r="N10" s="1270" t="s">
        <v>4</v>
      </c>
      <c r="O10" s="1269" t="s">
        <v>70</v>
      </c>
      <c r="P10" s="154"/>
      <c r="Q10" s="1270" t="s">
        <v>4</v>
      </c>
      <c r="R10" s="1269" t="s">
        <v>70</v>
      </c>
      <c r="S10" s="154"/>
      <c r="T10" s="1270" t="s">
        <v>4</v>
      </c>
      <c r="U10" s="1269" t="s">
        <v>70</v>
      </c>
      <c r="V10" s="154"/>
      <c r="W10" s="1270" t="s">
        <v>4</v>
      </c>
      <c r="X10" s="1269" t="s">
        <v>70</v>
      </c>
      <c r="Y10" s="154"/>
      <c r="Z10" s="1270" t="s">
        <v>4</v>
      </c>
      <c r="AA10" s="118"/>
      <c r="AF10" s="1896" t="s">
        <v>646</v>
      </c>
      <c r="AG10" s="1864"/>
      <c r="AH10" s="1864"/>
      <c r="AI10" s="1864"/>
      <c r="AJ10" s="1864"/>
      <c r="AK10" s="1865"/>
      <c r="AL10" s="1854"/>
      <c r="AM10" s="1854"/>
      <c r="AN10" s="1854"/>
      <c r="AO10" s="1854"/>
      <c r="AP10" s="1854"/>
      <c r="AQ10" s="1854"/>
      <c r="AR10" s="1854"/>
      <c r="AS10" s="1854"/>
      <c r="AT10" s="1854"/>
      <c r="AU10" s="1854"/>
      <c r="AV10" s="1854"/>
      <c r="AW10" s="1854"/>
      <c r="AX10" s="43"/>
    </row>
    <row r="11" spans="2:51" ht="23.4" customHeight="1" thickBot="1" x14ac:dyDescent="0.4">
      <c r="C11" s="1364"/>
      <c r="D11" s="151"/>
      <c r="E11" s="151"/>
      <c r="F11" s="1897" t="s">
        <v>647</v>
      </c>
      <c r="G11" s="1898"/>
      <c r="H11" s="1899"/>
      <c r="I11" s="1897" t="s">
        <v>648</v>
      </c>
      <c r="J11" s="1898"/>
      <c r="K11" s="1899"/>
      <c r="L11" s="1897" t="s">
        <v>649</v>
      </c>
      <c r="M11" s="1898"/>
      <c r="N11" s="1899"/>
      <c r="O11" s="1897" t="s">
        <v>650</v>
      </c>
      <c r="P11" s="1898"/>
      <c r="Q11" s="1899"/>
      <c r="R11" s="1897" t="s">
        <v>651</v>
      </c>
      <c r="S11" s="1898"/>
      <c r="T11" s="1899"/>
      <c r="U11" s="1897" t="s">
        <v>652</v>
      </c>
      <c r="V11" s="1898"/>
      <c r="W11" s="1899"/>
      <c r="X11" s="1900" t="s">
        <v>653</v>
      </c>
      <c r="Y11" s="1901"/>
      <c r="Z11" s="1902"/>
      <c r="AA11" s="1272"/>
      <c r="AE11" s="40" t="s">
        <v>654</v>
      </c>
      <c r="AF11" s="1202" t="s">
        <v>655</v>
      </c>
      <c r="AG11" s="1210" t="s">
        <v>461</v>
      </c>
      <c r="AH11" s="1210" t="s">
        <v>656</v>
      </c>
      <c r="AI11" s="1210" t="s">
        <v>460</v>
      </c>
      <c r="AJ11" s="1210" t="s">
        <v>657</v>
      </c>
      <c r="AK11" s="1203" t="s">
        <v>658</v>
      </c>
      <c r="AL11" s="1201"/>
      <c r="AM11" s="1201"/>
      <c r="AN11" s="1201"/>
      <c r="AO11" s="1201"/>
      <c r="AP11" s="1201"/>
      <c r="AQ11" s="1201"/>
      <c r="AR11" s="1201"/>
      <c r="AS11" s="1201"/>
      <c r="AT11" s="1201"/>
      <c r="AU11" s="1201"/>
      <c r="AV11" s="1201"/>
      <c r="AW11" s="43"/>
      <c r="AX11" s="657"/>
    </row>
    <row r="12" spans="2:51" ht="26.25" customHeight="1" thickBot="1" x14ac:dyDescent="0.4">
      <c r="B12" s="1221" t="s">
        <v>497</v>
      </c>
      <c r="C12" s="1221" t="s">
        <v>6</v>
      </c>
      <c r="D12" s="1273" t="s">
        <v>7</v>
      </c>
      <c r="E12" s="1222" t="s">
        <v>8</v>
      </c>
      <c r="F12" s="1274" t="s">
        <v>9</v>
      </c>
      <c r="G12" s="1275" t="s">
        <v>28</v>
      </c>
      <c r="H12" s="1276" t="s">
        <v>29</v>
      </c>
      <c r="I12" s="1277" t="s">
        <v>9</v>
      </c>
      <c r="J12" s="1278" t="s">
        <v>28</v>
      </c>
      <c r="K12" s="1279" t="s">
        <v>29</v>
      </c>
      <c r="L12" s="1280" t="s">
        <v>9</v>
      </c>
      <c r="M12" s="1281" t="s">
        <v>28</v>
      </c>
      <c r="N12" s="1282" t="s">
        <v>29</v>
      </c>
      <c r="O12" s="1280" t="s">
        <v>9</v>
      </c>
      <c r="P12" s="1281" t="s">
        <v>28</v>
      </c>
      <c r="Q12" s="1282" t="s">
        <v>29</v>
      </c>
      <c r="R12" s="1280" t="s">
        <v>9</v>
      </c>
      <c r="S12" s="1281" t="s">
        <v>28</v>
      </c>
      <c r="T12" s="1282" t="s">
        <v>29</v>
      </c>
      <c r="U12" s="1280" t="s">
        <v>9</v>
      </c>
      <c r="V12" s="1281" t="s">
        <v>28</v>
      </c>
      <c r="W12" s="1283" t="s">
        <v>29</v>
      </c>
      <c r="X12" s="1284" t="s">
        <v>9</v>
      </c>
      <c r="Y12" s="1284" t="s">
        <v>28</v>
      </c>
      <c r="Z12" s="1284" t="s">
        <v>29</v>
      </c>
      <c r="AB12" s="1285" t="s">
        <v>659</v>
      </c>
      <c r="AC12" s="1203" t="s">
        <v>660</v>
      </c>
      <c r="AD12" s="1203"/>
      <c r="AE12" s="1201"/>
      <c r="AF12" s="1202">
        <v>1</v>
      </c>
      <c r="AG12" s="1210">
        <v>1</v>
      </c>
      <c r="AH12" s="1210"/>
      <c r="AI12" s="1210"/>
      <c r="AJ12" s="1210"/>
      <c r="AK12" s="1122">
        <f>SUM(AF12:AJ12)</f>
        <v>2</v>
      </c>
      <c r="AL12" s="1201"/>
      <c r="AM12" s="1201"/>
      <c r="AN12" s="1201"/>
      <c r="AO12" s="1201"/>
      <c r="AP12" s="1201"/>
      <c r="AQ12" s="151"/>
      <c r="AR12" s="1201"/>
      <c r="AS12" s="1201"/>
      <c r="AT12" s="1201"/>
      <c r="AU12" s="1201"/>
      <c r="AV12" s="1201"/>
      <c r="AW12" s="151"/>
      <c r="AX12" s="151"/>
    </row>
    <row r="13" spans="2:51" ht="45.75" customHeight="1" thickBot="1" x14ac:dyDescent="0.4">
      <c r="B13" s="649">
        <v>1</v>
      </c>
      <c r="C13" s="1224" t="s">
        <v>661</v>
      </c>
      <c r="D13" s="1207" t="s">
        <v>662</v>
      </c>
      <c r="E13" s="1286">
        <v>0.12390599999999999</v>
      </c>
      <c r="F13" s="1287"/>
      <c r="G13" s="1288"/>
      <c r="H13" s="1289"/>
      <c r="I13" s="1290"/>
      <c r="J13" s="1291"/>
      <c r="K13" s="1289"/>
      <c r="L13" s="43"/>
      <c r="M13" s="43"/>
      <c r="N13" s="2"/>
      <c r="O13" s="469"/>
      <c r="P13" s="43"/>
      <c r="Q13" s="2"/>
      <c r="R13" s="1262"/>
      <c r="S13" s="1262"/>
      <c r="T13" s="2"/>
      <c r="U13" s="1262"/>
      <c r="V13" s="1262"/>
      <c r="W13" s="2"/>
      <c r="X13" s="592"/>
      <c r="Y13" s="555"/>
      <c r="Z13" s="556"/>
      <c r="AB13" s="1292" t="s">
        <v>663</v>
      </c>
      <c r="AC13" s="1203" t="s">
        <v>660</v>
      </c>
      <c r="AD13" s="1203"/>
      <c r="AE13" s="1201"/>
      <c r="AF13" s="1200">
        <v>1</v>
      </c>
      <c r="AG13" s="1201">
        <v>1</v>
      </c>
      <c r="AH13" s="1201"/>
      <c r="AI13" s="1201"/>
      <c r="AJ13" s="1201"/>
      <c r="AK13" s="1122">
        <f>SUM(AF13:AJ13)</f>
        <v>2</v>
      </c>
      <c r="AL13" s="1201"/>
      <c r="AM13" s="1201"/>
      <c r="AN13" s="1201"/>
      <c r="AO13" s="1201"/>
      <c r="AP13" s="1201"/>
      <c r="AQ13" s="151"/>
      <c r="AR13" s="1201"/>
      <c r="AS13" s="1201"/>
      <c r="AT13" s="1201"/>
      <c r="AU13" s="1201"/>
      <c r="AV13" s="1201"/>
      <c r="AW13" s="151"/>
      <c r="AX13" s="151"/>
    </row>
    <row r="14" spans="2:51" ht="44.25" customHeight="1" thickBot="1" x14ac:dyDescent="0.4">
      <c r="B14" s="1293"/>
      <c r="C14" s="1294" t="s">
        <v>664</v>
      </c>
      <c r="D14" s="1215" t="s">
        <v>11</v>
      </c>
      <c r="E14" s="1228">
        <v>1239.06</v>
      </c>
      <c r="F14" s="1295"/>
      <c r="G14" s="1296"/>
      <c r="H14" s="2"/>
      <c r="I14" s="1297"/>
      <c r="J14" s="1298"/>
      <c r="K14" s="2"/>
      <c r="L14" s="43"/>
      <c r="M14" s="43"/>
      <c r="N14" s="2"/>
      <c r="O14" s="469"/>
      <c r="P14" s="43"/>
      <c r="Q14" s="2"/>
      <c r="R14" s="1262"/>
      <c r="S14" s="1262"/>
      <c r="T14" s="2"/>
      <c r="U14" s="1262"/>
      <c r="V14" s="1262"/>
      <c r="W14" s="2"/>
      <c r="X14" s="1299"/>
      <c r="Y14" s="1299"/>
      <c r="Z14" s="2"/>
      <c r="AB14" s="1285" t="s">
        <v>659</v>
      </c>
      <c r="AC14" s="1203" t="s">
        <v>665</v>
      </c>
      <c r="AD14" s="1203"/>
      <c r="AE14" s="1201"/>
      <c r="AF14" s="1200"/>
      <c r="AG14" s="1201"/>
      <c r="AH14" s="1201">
        <v>1</v>
      </c>
      <c r="AI14" s="1201">
        <v>1</v>
      </c>
      <c r="AJ14" s="1201"/>
      <c r="AK14" s="1122">
        <f>SUM(AF14:AJ14)</f>
        <v>2</v>
      </c>
      <c r="AL14" s="1201"/>
      <c r="AM14" s="1201"/>
      <c r="AN14" s="1201"/>
      <c r="AO14" s="1201"/>
      <c r="AP14" s="1201"/>
      <c r="AQ14" s="151"/>
      <c r="AR14" s="1201"/>
      <c r="AS14" s="1201"/>
      <c r="AT14" s="1201"/>
      <c r="AU14" s="1201"/>
      <c r="AV14" s="1201"/>
      <c r="AW14" s="151"/>
      <c r="AX14" s="151"/>
    </row>
    <row r="15" spans="2:51" ht="36" customHeight="1" thickBot="1" x14ac:dyDescent="0.35">
      <c r="B15" s="1293">
        <v>3</v>
      </c>
      <c r="C15" s="40" t="s">
        <v>719</v>
      </c>
      <c r="D15" s="1215" t="s">
        <v>23</v>
      </c>
      <c r="E15" s="1228">
        <v>186</v>
      </c>
      <c r="F15" s="1295"/>
      <c r="G15" s="1296"/>
      <c r="H15" s="2"/>
      <c r="I15" s="469"/>
      <c r="J15" s="43"/>
      <c r="K15" s="2"/>
      <c r="L15" s="43"/>
      <c r="M15" s="43"/>
      <c r="N15" s="2"/>
      <c r="O15" s="469"/>
      <c r="P15" s="43"/>
      <c r="Q15" s="2"/>
      <c r="R15" s="1262"/>
      <c r="S15" s="1262"/>
      <c r="T15" s="2"/>
      <c r="U15" s="1262"/>
      <c r="V15" s="1262"/>
      <c r="W15" s="2"/>
      <c r="X15" s="1299">
        <v>565</v>
      </c>
      <c r="Y15" s="1299">
        <f>X15*E15</f>
        <v>105090</v>
      </c>
      <c r="Z15" s="2"/>
      <c r="AB15" s="1292" t="s">
        <v>663</v>
      </c>
      <c r="AC15" s="1300" t="s">
        <v>665</v>
      </c>
      <c r="AD15" s="1300"/>
      <c r="AE15" s="1301"/>
      <c r="AF15" s="471"/>
      <c r="AG15" s="659"/>
      <c r="AH15" s="659">
        <v>1</v>
      </c>
      <c r="AI15" s="659">
        <v>1</v>
      </c>
      <c r="AJ15" s="659"/>
      <c r="AK15" s="1122">
        <f>SUM(AF15:AJ15)</f>
        <v>2</v>
      </c>
    </row>
    <row r="16" spans="2:51" ht="36" customHeight="1" x14ac:dyDescent="0.3">
      <c r="B16" s="1293">
        <v>4</v>
      </c>
      <c r="C16" s="1294" t="s">
        <v>666</v>
      </c>
      <c r="D16" s="1215" t="s">
        <v>23</v>
      </c>
      <c r="E16" s="1228">
        <f>1240*0.15</f>
        <v>186</v>
      </c>
      <c r="F16" s="1295"/>
      <c r="G16" s="1296"/>
      <c r="H16" s="2"/>
      <c r="I16" s="469"/>
      <c r="J16" s="43"/>
      <c r="K16" s="2"/>
      <c r="L16" s="43"/>
      <c r="M16" s="43"/>
      <c r="N16" s="2"/>
      <c r="O16" s="43"/>
      <c r="P16" s="43"/>
      <c r="Q16" s="2"/>
      <c r="R16" s="1262"/>
      <c r="S16" s="1262"/>
      <c r="T16" s="2"/>
      <c r="U16" s="1262"/>
      <c r="V16" s="1262"/>
      <c r="W16" s="2"/>
      <c r="X16" s="1299"/>
      <c r="Y16" s="1299"/>
      <c r="Z16" s="2"/>
      <c r="AF16" s="1854"/>
      <c r="AG16" s="1854"/>
      <c r="AH16" s="1854"/>
      <c r="AI16" s="1854"/>
      <c r="AJ16" s="1854"/>
      <c r="AK16" s="1854"/>
      <c r="AL16" s="1854"/>
      <c r="AM16" s="1854"/>
      <c r="AN16" s="1854"/>
      <c r="AO16" s="1854"/>
      <c r="AP16" s="1854"/>
      <c r="AQ16" s="1854"/>
      <c r="AR16" s="1854"/>
      <c r="AS16" s="1854"/>
      <c r="AT16" s="1854"/>
      <c r="AU16" s="1854"/>
      <c r="AV16" s="1854"/>
      <c r="AW16" s="1854"/>
      <c r="AX16" s="43"/>
    </row>
    <row r="17" spans="2:52" ht="50.25" customHeight="1" x14ac:dyDescent="0.3">
      <c r="B17" s="1293">
        <v>5</v>
      </c>
      <c r="C17" s="1294" t="s">
        <v>667</v>
      </c>
      <c r="D17" s="1215" t="s">
        <v>306</v>
      </c>
      <c r="E17" s="1228">
        <v>1</v>
      </c>
      <c r="F17" s="1302"/>
      <c r="G17" s="1227"/>
      <c r="H17" s="2"/>
      <c r="I17" s="1295"/>
      <c r="J17" s="1296"/>
      <c r="K17" s="2"/>
      <c r="L17" s="1299"/>
      <c r="M17" s="1299"/>
      <c r="N17" s="1228"/>
      <c r="O17" s="1299"/>
      <c r="P17" s="1299"/>
      <c r="Q17" s="1214"/>
      <c r="R17" s="1299"/>
      <c r="S17" s="1299"/>
      <c r="T17" s="2"/>
      <c r="U17" s="1299"/>
      <c r="V17" s="1299"/>
      <c r="W17" s="1228"/>
      <c r="X17" s="1302"/>
      <c r="Y17" s="1299"/>
      <c r="Z17" s="2"/>
      <c r="AB17" s="1303"/>
      <c r="AC17" s="1303"/>
      <c r="AD17" s="6">
        <f>27.09*16.68*0.5</f>
        <v>225.9306</v>
      </c>
      <c r="AE17" s="43"/>
      <c r="AF17" s="1903"/>
      <c r="AG17" s="1903"/>
      <c r="AH17" s="1903"/>
      <c r="AI17" s="1903"/>
      <c r="AJ17" s="1903"/>
      <c r="AK17" s="1903"/>
      <c r="AL17" s="1903"/>
      <c r="AM17" s="1903"/>
      <c r="AN17" s="1903"/>
      <c r="AO17" s="1903"/>
      <c r="AP17" s="1903"/>
      <c r="AQ17" s="1903"/>
      <c r="AR17" s="1903"/>
      <c r="AS17" s="1903"/>
      <c r="AT17" s="1903"/>
      <c r="AU17" s="1903"/>
      <c r="AV17" s="1903"/>
      <c r="AW17" s="1903"/>
      <c r="AX17" s="657"/>
    </row>
    <row r="18" spans="2:52" ht="64.5" customHeight="1" thickBot="1" x14ac:dyDescent="0.35">
      <c r="B18" s="1293">
        <v>6</v>
      </c>
      <c r="C18" s="1294" t="s">
        <v>668</v>
      </c>
      <c r="D18" s="1215" t="s">
        <v>306</v>
      </c>
      <c r="E18" s="1228">
        <v>1</v>
      </c>
      <c r="F18" s="1302"/>
      <c r="G18" s="1227"/>
      <c r="H18" s="2"/>
      <c r="I18" s="1295"/>
      <c r="J18" s="1296"/>
      <c r="K18" s="2"/>
      <c r="L18" s="1299"/>
      <c r="M18" s="1299"/>
      <c r="N18" s="2"/>
      <c r="O18" s="1299"/>
      <c r="P18" s="1299"/>
      <c r="Q18" s="2"/>
      <c r="R18" s="1299"/>
      <c r="S18" s="1299"/>
      <c r="T18" s="1214"/>
      <c r="U18" s="1299"/>
      <c r="V18" s="1299"/>
      <c r="W18" s="1228"/>
      <c r="X18" s="1302"/>
      <c r="Y18" s="1227"/>
      <c r="Z18" s="2"/>
      <c r="AB18" s="43"/>
      <c r="AC18" s="43"/>
      <c r="AD18" s="6">
        <f>25.68*16.68*0.5</f>
        <v>214.1712</v>
      </c>
      <c r="AE18" s="43"/>
      <c r="AF18" s="1854"/>
      <c r="AG18" s="1854"/>
      <c r="AH18" s="1854"/>
      <c r="AI18" s="1854"/>
      <c r="AJ18" s="1854"/>
      <c r="AK18" s="1854"/>
      <c r="AL18" s="1854"/>
      <c r="AM18" s="1854"/>
      <c r="AN18" s="1854"/>
      <c r="AO18" s="1854"/>
      <c r="AP18" s="1854"/>
      <c r="AQ18" s="1854"/>
      <c r="AR18" s="1854"/>
      <c r="AS18" s="1854"/>
      <c r="AT18" s="1854"/>
      <c r="AU18" s="1854"/>
      <c r="AV18" s="1854"/>
      <c r="AW18" s="1854"/>
      <c r="AX18" s="43"/>
      <c r="AY18" s="1304" t="s">
        <v>652</v>
      </c>
      <c r="AZ18" s="1226" t="s">
        <v>653</v>
      </c>
    </row>
    <row r="19" spans="2:52" ht="48.75" customHeight="1" thickBot="1" x14ac:dyDescent="0.35">
      <c r="B19" s="569">
        <v>7</v>
      </c>
      <c r="C19" s="1305" t="s">
        <v>669</v>
      </c>
      <c r="D19" s="1209" t="s">
        <v>670</v>
      </c>
      <c r="E19" s="1229">
        <v>10</v>
      </c>
      <c r="F19" s="1306"/>
      <c r="G19" s="1307"/>
      <c r="H19" s="470"/>
      <c r="I19" s="1308"/>
      <c r="J19" s="1309"/>
      <c r="K19" s="470"/>
      <c r="L19" s="43"/>
      <c r="M19" s="43"/>
      <c r="N19" s="2"/>
      <c r="O19" s="469"/>
      <c r="P19" s="43"/>
      <c r="Q19" s="2"/>
      <c r="R19" s="469"/>
      <c r="S19" s="43"/>
      <c r="T19" s="2"/>
      <c r="U19" s="1262"/>
      <c r="V19" s="1262"/>
      <c r="W19" s="2"/>
      <c r="X19" s="1299">
        <f>565*8</f>
        <v>4520</v>
      </c>
      <c r="Y19" s="1299">
        <f>X19*E19</f>
        <v>45200</v>
      </c>
      <c r="Z19" s="2"/>
      <c r="AB19" s="1303"/>
      <c r="AC19" s="1303"/>
      <c r="AD19" s="1216">
        <f>13.31*16.68</f>
        <v>222.01080000000002</v>
      </c>
      <c r="AE19" s="1215"/>
      <c r="AF19" s="1215"/>
      <c r="AG19" s="1215"/>
      <c r="AH19" s="1215"/>
      <c r="AI19" s="1215"/>
      <c r="AJ19" s="1215"/>
      <c r="AK19" s="1215"/>
      <c r="AL19" s="1215"/>
      <c r="AM19" s="1215"/>
      <c r="AN19" s="1215"/>
      <c r="AO19" s="1215"/>
      <c r="AP19" s="1215"/>
      <c r="AQ19" s="1215"/>
      <c r="AR19" s="1215"/>
      <c r="AS19" s="1215"/>
      <c r="AT19" s="1215"/>
      <c r="AU19" s="1215"/>
      <c r="AV19" s="1215"/>
      <c r="AW19" s="1215"/>
      <c r="AX19" s="1215"/>
      <c r="AY19" s="1277" t="s">
        <v>28</v>
      </c>
      <c r="AZ19" s="1310" t="s">
        <v>28</v>
      </c>
    </row>
    <row r="20" spans="2:52" ht="32.25" customHeight="1" thickBot="1" x14ac:dyDescent="0.5">
      <c r="C20" s="136"/>
      <c r="G20" s="1311">
        <f>SUM(G13:G19)</f>
        <v>0</v>
      </c>
      <c r="J20" s="1311">
        <f>SUM(J17:J19)</f>
        <v>0</v>
      </c>
      <c r="K20" s="1218"/>
      <c r="P20" s="1312">
        <f>SUM(P13:P19)</f>
        <v>0</v>
      </c>
      <c r="S20" s="1312">
        <f>SUM(S13:S19)</f>
        <v>0</v>
      </c>
      <c r="V20" s="1312">
        <f>SUM(V13:V19)</f>
        <v>0</v>
      </c>
      <c r="Y20" s="1312">
        <f>SUM(Y13:Y19)</f>
        <v>150290</v>
      </c>
      <c r="AB20" s="1303"/>
      <c r="AC20" s="1303"/>
      <c r="AD20" s="1313">
        <f>SUM(AD17:AD19)</f>
        <v>662.11260000000004</v>
      </c>
      <c r="AE20" s="216"/>
      <c r="AF20" s="1215"/>
      <c r="AG20" s="1215"/>
      <c r="AH20" s="1215"/>
      <c r="AI20" s="1215"/>
      <c r="AJ20" s="1215"/>
      <c r="AK20" s="1272"/>
      <c r="AL20" s="1215"/>
      <c r="AM20" s="1215"/>
      <c r="AN20" s="1215"/>
      <c r="AO20" s="1215"/>
      <c r="AP20" s="1215"/>
      <c r="AQ20" s="1272"/>
      <c r="AR20" s="1215"/>
      <c r="AS20" s="1215"/>
      <c r="AT20" s="1215"/>
      <c r="AU20" s="1215"/>
      <c r="AV20" s="1215"/>
      <c r="AW20" s="1272"/>
      <c r="AX20" s="1272"/>
      <c r="AY20" s="1314">
        <f>AX20*109000</f>
        <v>0</v>
      </c>
      <c r="AZ20" s="783"/>
    </row>
    <row r="21" spans="2:52" ht="32.25" customHeight="1" x14ac:dyDescent="0.45">
      <c r="C21" s="136"/>
      <c r="D21" s="1315"/>
      <c r="G21" s="1316"/>
      <c r="J21" s="1316"/>
      <c r="K21" s="1218"/>
      <c r="P21" s="980"/>
      <c r="S21" s="980"/>
      <c r="V21" s="980"/>
      <c r="Y21" s="980"/>
      <c r="AB21" s="1303"/>
      <c r="AC21" s="1303"/>
      <c r="AD21" s="1313"/>
      <c r="AE21" s="216"/>
      <c r="AF21" s="1215"/>
      <c r="AG21" s="1215"/>
      <c r="AH21" s="1215"/>
      <c r="AI21" s="1215"/>
      <c r="AJ21" s="1215"/>
      <c r="AK21" s="1272"/>
      <c r="AL21" s="1215"/>
      <c r="AM21" s="1215"/>
      <c r="AN21" s="1215"/>
      <c r="AO21" s="1215"/>
      <c r="AP21" s="1215"/>
      <c r="AQ21" s="1272"/>
      <c r="AR21" s="1215"/>
      <c r="AS21" s="1215"/>
      <c r="AT21" s="1215"/>
      <c r="AU21" s="1215"/>
      <c r="AV21" s="1215"/>
      <c r="AW21" s="1272"/>
      <c r="AX21" s="1272"/>
      <c r="AY21" s="1314"/>
      <c r="AZ21" s="783"/>
    </row>
    <row r="22" spans="2:52" ht="32.25" customHeight="1" x14ac:dyDescent="0.45">
      <c r="C22" s="136" t="s">
        <v>671</v>
      </c>
      <c r="D22" s="343" t="s">
        <v>672</v>
      </c>
      <c r="E22" s="1317" t="s">
        <v>305</v>
      </c>
      <c r="F22" s="1317" t="s">
        <v>673</v>
      </c>
      <c r="G22" s="1318" t="s">
        <v>674</v>
      </c>
      <c r="H22" s="1317" t="s">
        <v>675</v>
      </c>
      <c r="J22" s="1316" t="s">
        <v>676</v>
      </c>
      <c r="K22" s="1218" t="s">
        <v>677</v>
      </c>
      <c r="L22" s="40" t="s">
        <v>658</v>
      </c>
      <c r="P22" s="980"/>
      <c r="S22" s="980"/>
      <c r="V22" s="980"/>
      <c r="Y22" s="980"/>
      <c r="AB22" s="1303"/>
      <c r="AC22" s="1303"/>
      <c r="AD22" s="1313"/>
      <c r="AE22" s="216"/>
      <c r="AF22" s="1215"/>
      <c r="AG22" s="1215"/>
      <c r="AH22" s="1215"/>
      <c r="AI22" s="1215"/>
      <c r="AJ22" s="1215"/>
      <c r="AK22" s="1272"/>
      <c r="AL22" s="1215"/>
      <c r="AM22" s="1215"/>
      <c r="AN22" s="1215"/>
      <c r="AO22" s="1215"/>
      <c r="AP22" s="1215"/>
      <c r="AQ22" s="1272"/>
      <c r="AR22" s="1215"/>
      <c r="AS22" s="1215"/>
      <c r="AT22" s="1215"/>
      <c r="AU22" s="1215"/>
      <c r="AV22" s="1215"/>
      <c r="AW22" s="1272"/>
      <c r="AX22" s="1272"/>
      <c r="AY22" s="1314"/>
      <c r="AZ22" s="783"/>
    </row>
    <row r="23" spans="2:52" ht="32.25" customHeight="1" x14ac:dyDescent="0.45">
      <c r="C23" s="583" t="s">
        <v>678</v>
      </c>
      <c r="D23" s="175">
        <v>1</v>
      </c>
      <c r="E23" s="175">
        <v>1</v>
      </c>
      <c r="F23" s="175"/>
      <c r="G23" s="1318"/>
      <c r="H23" s="175"/>
      <c r="J23" s="1316" t="s">
        <v>679</v>
      </c>
      <c r="K23" s="1319">
        <v>790000</v>
      </c>
      <c r="L23" s="4">
        <v>2</v>
      </c>
      <c r="M23" s="4">
        <f>L23*K23</f>
        <v>1580000</v>
      </c>
      <c r="N23" s="40">
        <v>3</v>
      </c>
      <c r="O23" s="1320">
        <f>K23*N23</f>
        <v>2370000</v>
      </c>
      <c r="P23" s="980"/>
      <c r="S23" s="980"/>
      <c r="V23" s="980"/>
      <c r="Y23" s="980"/>
      <c r="AB23" s="1303"/>
      <c r="AC23" s="1303"/>
      <c r="AD23" s="1313"/>
      <c r="AE23" s="216"/>
      <c r="AF23" s="1215"/>
      <c r="AG23" s="1215"/>
      <c r="AH23" s="1215"/>
      <c r="AI23" s="1215"/>
      <c r="AJ23" s="1215"/>
      <c r="AK23" s="1272"/>
      <c r="AL23" s="1215"/>
      <c r="AM23" s="1215"/>
      <c r="AN23" s="1215"/>
      <c r="AO23" s="1215"/>
      <c r="AP23" s="1215"/>
      <c r="AQ23" s="1272"/>
      <c r="AR23" s="1215"/>
      <c r="AS23" s="1215"/>
      <c r="AT23" s="1215"/>
      <c r="AU23" s="1215"/>
      <c r="AV23" s="1215"/>
      <c r="AW23" s="1272"/>
      <c r="AX23" s="1272"/>
      <c r="AY23" s="1314"/>
      <c r="AZ23" s="783"/>
    </row>
    <row r="24" spans="2:52" ht="32.25" customHeight="1" x14ac:dyDescent="0.45">
      <c r="C24" s="136" t="s">
        <v>680</v>
      </c>
      <c r="D24" s="175"/>
      <c r="E24" s="175"/>
      <c r="F24" s="175"/>
      <c r="G24" s="1318"/>
      <c r="H24" s="175"/>
      <c r="J24" s="1316" t="s">
        <v>659</v>
      </c>
      <c r="K24" s="1319">
        <v>240000</v>
      </c>
      <c r="L24" s="4">
        <v>2</v>
      </c>
      <c r="M24" s="4">
        <f>L24*K24</f>
        <v>480000</v>
      </c>
      <c r="N24" s="40">
        <v>3</v>
      </c>
      <c r="O24" s="1320">
        <f t="shared" ref="O24:O31" si="0">K24*N24</f>
        <v>720000</v>
      </c>
      <c r="P24" s="980"/>
      <c r="S24" s="980"/>
      <c r="V24" s="980"/>
      <c r="Y24" s="980"/>
      <c r="AB24" s="1303"/>
      <c r="AC24" s="1303"/>
      <c r="AD24" s="1313"/>
      <c r="AE24" s="216"/>
      <c r="AF24" s="1215"/>
      <c r="AG24" s="1215"/>
      <c r="AH24" s="1215"/>
      <c r="AI24" s="1215"/>
      <c r="AJ24" s="1215"/>
      <c r="AK24" s="1272"/>
      <c r="AL24" s="1215"/>
      <c r="AM24" s="1215"/>
      <c r="AN24" s="1215"/>
      <c r="AO24" s="1215"/>
      <c r="AP24" s="1215"/>
      <c r="AQ24" s="1272"/>
      <c r="AR24" s="1215"/>
      <c r="AS24" s="1215"/>
      <c r="AT24" s="1215"/>
      <c r="AU24" s="1215"/>
      <c r="AV24" s="1215"/>
      <c r="AW24" s="1272"/>
      <c r="AX24" s="1272"/>
      <c r="AY24" s="1314"/>
      <c r="AZ24" s="783"/>
    </row>
    <row r="25" spans="2:52" ht="32.25" customHeight="1" x14ac:dyDescent="0.45">
      <c r="C25" s="1212" t="s">
        <v>681</v>
      </c>
      <c r="D25" s="175"/>
      <c r="E25" s="175">
        <v>1</v>
      </c>
      <c r="F25" s="175"/>
      <c r="G25" s="1318"/>
      <c r="H25" s="175"/>
      <c r="J25" s="1316" t="s">
        <v>682</v>
      </c>
      <c r="K25" s="1319">
        <v>240000</v>
      </c>
      <c r="L25" s="4">
        <f>E30+F30+G30+H30</f>
        <v>1</v>
      </c>
      <c r="M25" s="4">
        <f>L25*K25</f>
        <v>240000</v>
      </c>
      <c r="N25" s="40">
        <v>1</v>
      </c>
      <c r="O25" s="1320">
        <f t="shared" si="0"/>
        <v>240000</v>
      </c>
      <c r="P25" s="980"/>
      <c r="Q25" s="1321" t="s">
        <v>683</v>
      </c>
      <c r="R25" s="1322" t="s">
        <v>19</v>
      </c>
      <c r="S25" s="1323" t="s">
        <v>684</v>
      </c>
      <c r="T25" s="1323" t="s">
        <v>676</v>
      </c>
      <c r="U25" s="1322" t="s">
        <v>10</v>
      </c>
      <c r="V25" s="980"/>
      <c r="Y25" s="980"/>
      <c r="AB25" s="1303"/>
      <c r="AC25" s="1303"/>
      <c r="AD25" s="1313"/>
      <c r="AE25" s="216"/>
      <c r="AF25" s="1215"/>
      <c r="AG25" s="1215"/>
      <c r="AH25" s="1215"/>
      <c r="AI25" s="1215"/>
      <c r="AJ25" s="1215"/>
      <c r="AK25" s="1272"/>
      <c r="AL25" s="1215"/>
      <c r="AM25" s="1215"/>
      <c r="AN25" s="1215"/>
      <c r="AO25" s="1215"/>
      <c r="AP25" s="1215"/>
      <c r="AQ25" s="1272"/>
      <c r="AR25" s="1215"/>
      <c r="AS25" s="1215"/>
      <c r="AT25" s="1215"/>
      <c r="AU25" s="1215"/>
      <c r="AV25" s="1215"/>
      <c r="AW25" s="1272"/>
      <c r="AX25" s="1272"/>
      <c r="AY25" s="1314"/>
      <c r="AZ25" s="783"/>
    </row>
    <row r="26" spans="2:52" ht="32.25" customHeight="1" x14ac:dyDescent="0.45">
      <c r="C26" s="1212" t="s">
        <v>685</v>
      </c>
      <c r="D26" s="175"/>
      <c r="E26" s="175">
        <v>9</v>
      </c>
      <c r="F26" s="175"/>
      <c r="G26" s="1318"/>
      <c r="H26" s="175"/>
      <c r="J26" s="1316" t="s">
        <v>686</v>
      </c>
      <c r="K26" s="1319">
        <v>400000</v>
      </c>
      <c r="L26" s="4">
        <v>1</v>
      </c>
      <c r="M26" s="4">
        <f>L26*K26</f>
        <v>400000</v>
      </c>
      <c r="O26" s="1320">
        <f t="shared" si="0"/>
        <v>0</v>
      </c>
      <c r="P26" s="980"/>
      <c r="Q26" s="1324" t="s">
        <v>670</v>
      </c>
      <c r="R26" s="1324" t="s">
        <v>23</v>
      </c>
      <c r="S26" s="1325">
        <f>40</f>
        <v>40</v>
      </c>
      <c r="T26" s="1325">
        <v>824</v>
      </c>
      <c r="U26" s="1325">
        <f>S26*T26</f>
        <v>32960</v>
      </c>
      <c r="V26" s="980"/>
      <c r="Y26" s="980"/>
      <c r="AB26" s="1303"/>
      <c r="AC26" s="1303"/>
      <c r="AD26" s="1313"/>
      <c r="AE26" s="216"/>
      <c r="AF26" s="1215"/>
      <c r="AG26" s="1215"/>
      <c r="AH26" s="1215"/>
      <c r="AI26" s="1215"/>
      <c r="AJ26" s="1215"/>
      <c r="AK26" s="1272"/>
      <c r="AL26" s="1215"/>
      <c r="AM26" s="1215"/>
      <c r="AN26" s="1215"/>
      <c r="AO26" s="1215"/>
      <c r="AP26" s="1215"/>
      <c r="AQ26" s="1272"/>
      <c r="AR26" s="1215"/>
      <c r="AS26" s="1215"/>
      <c r="AT26" s="1215"/>
      <c r="AU26" s="1215"/>
      <c r="AV26" s="1215"/>
      <c r="AW26" s="1272"/>
      <c r="AX26" s="1272"/>
      <c r="AY26" s="1314"/>
      <c r="AZ26" s="783"/>
    </row>
    <row r="27" spans="2:52" ht="32.25" customHeight="1" x14ac:dyDescent="0.45">
      <c r="C27" s="136" t="s">
        <v>721</v>
      </c>
      <c r="D27" s="175"/>
      <c r="E27" s="175"/>
      <c r="F27" s="175"/>
      <c r="G27" s="1318"/>
      <c r="H27" s="175"/>
      <c r="J27" s="1316" t="s">
        <v>687</v>
      </c>
      <c r="K27" s="1319">
        <v>90000</v>
      </c>
      <c r="L27" s="4">
        <f>E31+F31+G31+H31</f>
        <v>1</v>
      </c>
      <c r="M27" s="4">
        <f>L27*K27</f>
        <v>90000</v>
      </c>
      <c r="N27" s="40">
        <v>1</v>
      </c>
      <c r="O27" s="1320">
        <f t="shared" si="0"/>
        <v>90000</v>
      </c>
      <c r="P27" s="980"/>
      <c r="Q27" s="1324" t="s">
        <v>688</v>
      </c>
      <c r="R27" s="1324" t="s">
        <v>689</v>
      </c>
      <c r="S27" s="1326">
        <v>1</v>
      </c>
      <c r="T27" s="1325">
        <v>80000</v>
      </c>
      <c r="U27" s="1325">
        <f>S27*T27</f>
        <v>80000</v>
      </c>
      <c r="V27" s="980"/>
      <c r="Y27" s="980"/>
      <c r="AB27" s="1303"/>
      <c r="AC27" s="1303"/>
      <c r="AD27" s="1313"/>
      <c r="AE27" s="216"/>
      <c r="AF27" s="1215"/>
      <c r="AG27" s="1215"/>
      <c r="AH27" s="1215"/>
      <c r="AI27" s="1215"/>
      <c r="AJ27" s="1215"/>
      <c r="AK27" s="1272"/>
      <c r="AL27" s="1215"/>
      <c r="AM27" s="1215"/>
      <c r="AN27" s="1215"/>
      <c r="AO27" s="1215"/>
      <c r="AP27" s="1215"/>
      <c r="AQ27" s="1272"/>
      <c r="AR27" s="1215"/>
      <c r="AS27" s="1215"/>
      <c r="AT27" s="1215"/>
      <c r="AU27" s="1215"/>
      <c r="AV27" s="1215"/>
      <c r="AW27" s="1272"/>
      <c r="AX27" s="1272"/>
      <c r="AY27" s="1314"/>
      <c r="AZ27" s="783"/>
    </row>
    <row r="28" spans="2:52" ht="32.25" customHeight="1" x14ac:dyDescent="0.45">
      <c r="C28" s="583" t="s">
        <v>678</v>
      </c>
      <c r="D28" s="175"/>
      <c r="E28" s="175">
        <v>0.5</v>
      </c>
      <c r="F28" s="175"/>
      <c r="G28" s="175"/>
      <c r="H28" s="175"/>
      <c r="J28" s="53"/>
      <c r="K28" s="1319"/>
      <c r="L28" s="4"/>
      <c r="M28" s="1319">
        <f>SUM(M23:M27)</f>
        <v>2790000</v>
      </c>
      <c r="O28" s="1319">
        <f>SUM(O23:O27)</f>
        <v>3420000</v>
      </c>
      <c r="P28" s="980"/>
      <c r="Q28" s="1324" t="s">
        <v>690</v>
      </c>
      <c r="R28" s="1324" t="s">
        <v>689</v>
      </c>
      <c r="S28" s="1326">
        <v>1</v>
      </c>
      <c r="T28" s="1325">
        <v>40000</v>
      </c>
      <c r="U28" s="1325">
        <f>S28*T28*0</f>
        <v>0</v>
      </c>
      <c r="V28" s="980"/>
      <c r="Y28" s="980"/>
      <c r="AB28" s="1303"/>
      <c r="AC28" s="1303"/>
      <c r="AD28" s="1313"/>
      <c r="AE28" s="216"/>
      <c r="AF28" s="1215"/>
      <c r="AG28" s="1215"/>
      <c r="AH28" s="1215"/>
      <c r="AI28" s="1215"/>
      <c r="AJ28" s="1215"/>
      <c r="AK28" s="1272"/>
      <c r="AL28" s="1215"/>
      <c r="AM28" s="1215"/>
      <c r="AN28" s="1215"/>
      <c r="AO28" s="1215"/>
      <c r="AP28" s="1215"/>
      <c r="AQ28" s="1272"/>
      <c r="AR28" s="1215"/>
      <c r="AS28" s="1215"/>
      <c r="AT28" s="1215"/>
      <c r="AU28" s="1215"/>
      <c r="AV28" s="1215"/>
      <c r="AW28" s="1272"/>
      <c r="AX28" s="1272"/>
      <c r="AY28" s="1314"/>
      <c r="AZ28" s="783"/>
    </row>
    <row r="29" spans="2:52" ht="32.25" customHeight="1" x14ac:dyDescent="0.45">
      <c r="C29" s="583" t="s">
        <v>691</v>
      </c>
      <c r="D29" s="175"/>
      <c r="E29" s="175">
        <v>1</v>
      </c>
      <c r="F29" s="175"/>
      <c r="G29" s="175"/>
      <c r="H29" s="175"/>
      <c r="J29" s="53" t="s">
        <v>692</v>
      </c>
      <c r="K29" s="1319">
        <v>120000</v>
      </c>
      <c r="L29" s="4">
        <v>5</v>
      </c>
      <c r="M29" s="4">
        <f>L29*K29</f>
        <v>600000</v>
      </c>
      <c r="N29" s="40">
        <v>5</v>
      </c>
      <c r="O29" s="1320">
        <f t="shared" si="0"/>
        <v>600000</v>
      </c>
      <c r="P29" s="980"/>
      <c r="Q29" s="1327" t="s">
        <v>686</v>
      </c>
      <c r="R29" s="1324" t="s">
        <v>689</v>
      </c>
      <c r="S29" s="1326">
        <v>1</v>
      </c>
      <c r="T29" s="1325">
        <v>160000</v>
      </c>
      <c r="U29" s="1325">
        <f>S29*0</f>
        <v>0</v>
      </c>
      <c r="V29" s="980"/>
      <c r="Y29" s="980"/>
      <c r="AB29" s="1303"/>
      <c r="AC29" s="1303"/>
      <c r="AD29" s="1313"/>
      <c r="AE29" s="216"/>
      <c r="AF29" s="1215"/>
      <c r="AG29" s="1215"/>
      <c r="AH29" s="1215"/>
      <c r="AI29" s="1215"/>
      <c r="AJ29" s="1215"/>
      <c r="AK29" s="1272"/>
      <c r="AL29" s="1215"/>
      <c r="AM29" s="1215"/>
      <c r="AN29" s="1215"/>
      <c r="AO29" s="1215"/>
      <c r="AP29" s="1215"/>
      <c r="AQ29" s="1272"/>
      <c r="AR29" s="1215"/>
      <c r="AS29" s="1215"/>
      <c r="AT29" s="1215"/>
      <c r="AU29" s="1215"/>
      <c r="AV29" s="1215"/>
      <c r="AW29" s="1272"/>
      <c r="AX29" s="1272"/>
      <c r="AY29" s="1314"/>
      <c r="AZ29" s="783"/>
    </row>
    <row r="30" spans="2:52" ht="32.25" customHeight="1" x14ac:dyDescent="0.45">
      <c r="C30" s="583" t="s">
        <v>693</v>
      </c>
      <c r="D30" s="175"/>
      <c r="E30" s="175">
        <v>1</v>
      </c>
      <c r="F30" s="175"/>
      <c r="G30" s="175"/>
      <c r="H30" s="175"/>
      <c r="J30" s="1316" t="s">
        <v>694</v>
      </c>
      <c r="K30" s="1319">
        <v>400000</v>
      </c>
      <c r="L30" s="4">
        <v>2</v>
      </c>
      <c r="M30" s="4">
        <f>L30*K30</f>
        <v>800000</v>
      </c>
      <c r="N30" s="40">
        <v>1</v>
      </c>
      <c r="O30" s="1320">
        <f t="shared" si="0"/>
        <v>400000</v>
      </c>
      <c r="P30" s="980"/>
      <c r="Q30" s="1324"/>
      <c r="R30" s="1324"/>
      <c r="S30" s="1328"/>
      <c r="T30" s="1329"/>
      <c r="U30" s="1330">
        <f>SUM(U26:U29)</f>
        <v>112960</v>
      </c>
      <c r="V30" s="980"/>
      <c r="Y30" s="980"/>
      <c r="AB30" s="1303"/>
      <c r="AC30" s="1303"/>
      <c r="AD30" s="1313"/>
      <c r="AE30" s="216"/>
      <c r="AF30" s="1215"/>
      <c r="AG30" s="1215"/>
      <c r="AH30" s="1215"/>
      <c r="AI30" s="1215"/>
      <c r="AJ30" s="1215"/>
      <c r="AK30" s="1272"/>
      <c r="AL30" s="1215"/>
      <c r="AM30" s="1215"/>
      <c r="AN30" s="1215"/>
      <c r="AO30" s="1215"/>
      <c r="AP30" s="1215"/>
      <c r="AQ30" s="1272"/>
      <c r="AR30" s="1215"/>
      <c r="AS30" s="1215"/>
      <c r="AT30" s="1215"/>
      <c r="AU30" s="1215"/>
      <c r="AV30" s="1215"/>
      <c r="AW30" s="1272"/>
      <c r="AX30" s="1272"/>
      <c r="AY30" s="1314"/>
      <c r="AZ30" s="783"/>
    </row>
    <row r="31" spans="2:52" ht="32.25" customHeight="1" x14ac:dyDescent="0.45">
      <c r="C31" s="583" t="s">
        <v>695</v>
      </c>
      <c r="D31" s="175"/>
      <c r="E31" s="175">
        <v>1</v>
      </c>
      <c r="F31" s="175"/>
      <c r="G31" s="175"/>
      <c r="H31" s="175"/>
      <c r="J31" s="1316" t="s">
        <v>696</v>
      </c>
      <c r="K31" s="1319">
        <v>3000</v>
      </c>
      <c r="L31" s="4">
        <v>65</v>
      </c>
      <c r="M31" s="4">
        <f>L31*K31</f>
        <v>195000</v>
      </c>
      <c r="N31" s="37">
        <f>L31</f>
        <v>65</v>
      </c>
      <c r="O31" s="1331">
        <f t="shared" si="0"/>
        <v>195000</v>
      </c>
      <c r="P31" s="980"/>
      <c r="Q31" s="1332"/>
      <c r="R31" s="1332"/>
      <c r="S31" s="1328"/>
      <c r="T31" s="1329"/>
      <c r="U31" s="1329"/>
      <c r="V31" s="980"/>
      <c r="Y31" s="980"/>
      <c r="AB31" s="1303"/>
      <c r="AC31" s="1303"/>
      <c r="AD31" s="1313"/>
      <c r="AE31" s="216"/>
      <c r="AF31" s="1215"/>
      <c r="AG31" s="1215"/>
      <c r="AH31" s="1215"/>
      <c r="AI31" s="1215"/>
      <c r="AJ31" s="1215"/>
      <c r="AK31" s="1272"/>
      <c r="AL31" s="1215"/>
      <c r="AM31" s="1215"/>
      <c r="AN31" s="1215"/>
      <c r="AO31" s="1215"/>
      <c r="AP31" s="1215"/>
      <c r="AQ31" s="1272"/>
      <c r="AR31" s="1215"/>
      <c r="AS31" s="1215"/>
      <c r="AT31" s="1215"/>
      <c r="AU31" s="1215"/>
      <c r="AV31" s="1215"/>
      <c r="AW31" s="1272"/>
      <c r="AX31" s="1272"/>
      <c r="AY31" s="1314"/>
      <c r="AZ31" s="783"/>
    </row>
    <row r="32" spans="2:52" ht="32.25" customHeight="1" x14ac:dyDescent="0.45">
      <c r="C32" s="136"/>
      <c r="G32" s="1316"/>
      <c r="J32" s="1316"/>
      <c r="K32" s="1218"/>
      <c r="M32" s="1319">
        <f>SUM(M29:M31)</f>
        <v>1595000</v>
      </c>
      <c r="O32" s="1319">
        <f>SUM(O29:O31)</f>
        <v>1195000</v>
      </c>
      <c r="P32" s="980"/>
      <c r="Q32" s="1332"/>
      <c r="R32" s="1332"/>
      <c r="S32" s="1328"/>
      <c r="T32" s="1329"/>
      <c r="U32" s="1329"/>
      <c r="V32" s="980"/>
      <c r="Y32" s="980"/>
      <c r="AB32" s="1303"/>
      <c r="AC32" s="1303"/>
      <c r="AD32" s="1313"/>
      <c r="AE32" s="216"/>
      <c r="AF32" s="1215"/>
      <c r="AG32" s="1215"/>
      <c r="AH32" s="1215"/>
      <c r="AI32" s="1215"/>
      <c r="AJ32" s="1215"/>
      <c r="AK32" s="1272"/>
      <c r="AL32" s="1215"/>
      <c r="AM32" s="1215"/>
      <c r="AN32" s="1215"/>
      <c r="AO32" s="1215"/>
      <c r="AP32" s="1215"/>
      <c r="AQ32" s="1272"/>
      <c r="AR32" s="1215"/>
      <c r="AS32" s="1215"/>
      <c r="AT32" s="1215"/>
      <c r="AU32" s="1215"/>
      <c r="AV32" s="1215"/>
      <c r="AW32" s="1272"/>
      <c r="AX32" s="1272"/>
      <c r="AY32" s="1314"/>
      <c r="AZ32" s="783"/>
    </row>
    <row r="33" spans="2:52" ht="32.25" customHeight="1" x14ac:dyDescent="0.45">
      <c r="C33" s="1333"/>
      <c r="G33" s="1316"/>
      <c r="J33" s="1316"/>
      <c r="K33" s="1218"/>
      <c r="P33" s="980"/>
      <c r="Q33" s="1334"/>
      <c r="R33" s="1332"/>
      <c r="S33" s="1328"/>
      <c r="T33" s="1329"/>
      <c r="U33" s="1329"/>
      <c r="V33" s="980"/>
      <c r="Y33" s="980"/>
      <c r="AB33" s="1303"/>
      <c r="AC33" s="1303"/>
      <c r="AD33" s="1313"/>
      <c r="AE33" s="216"/>
      <c r="AF33" s="1215"/>
      <c r="AG33" s="1215"/>
      <c r="AH33" s="1215"/>
      <c r="AI33" s="1215"/>
      <c r="AJ33" s="1215"/>
      <c r="AK33" s="1272"/>
      <c r="AL33" s="1215"/>
      <c r="AM33" s="1215"/>
      <c r="AN33" s="1215"/>
      <c r="AO33" s="1215"/>
      <c r="AP33" s="1215"/>
      <c r="AQ33" s="1272"/>
      <c r="AR33" s="1215"/>
      <c r="AS33" s="1215"/>
      <c r="AT33" s="1215"/>
      <c r="AU33" s="1215"/>
      <c r="AV33" s="1215"/>
      <c r="AW33" s="1272"/>
      <c r="AX33" s="1272"/>
      <c r="AY33" s="1314"/>
      <c r="AZ33" s="783"/>
    </row>
    <row r="34" spans="2:52" ht="32.25" customHeight="1" x14ac:dyDescent="0.45">
      <c r="C34" s="1333"/>
      <c r="G34" s="1316"/>
      <c r="J34" s="1316"/>
      <c r="K34" s="1218"/>
      <c r="M34" s="1335">
        <f>M32+M28</f>
        <v>4385000</v>
      </c>
      <c r="O34" s="1335">
        <f>O32+O28</f>
        <v>4615000</v>
      </c>
      <c r="P34" s="980"/>
      <c r="Q34" s="1332"/>
      <c r="R34" s="1332"/>
      <c r="S34" s="1328"/>
      <c r="T34" s="1329"/>
      <c r="U34" s="1329"/>
      <c r="V34" s="980"/>
      <c r="Y34" s="980"/>
      <c r="AB34" s="1303"/>
      <c r="AC34" s="1303"/>
      <c r="AD34" s="1313"/>
      <c r="AE34" s="216"/>
      <c r="AF34" s="1215"/>
      <c r="AG34" s="1215"/>
      <c r="AH34" s="1215"/>
      <c r="AI34" s="1215"/>
      <c r="AJ34" s="1215"/>
      <c r="AK34" s="1272"/>
      <c r="AL34" s="1215"/>
      <c r="AM34" s="1215"/>
      <c r="AN34" s="1215"/>
      <c r="AO34" s="1215"/>
      <c r="AP34" s="1215"/>
      <c r="AQ34" s="1272"/>
      <c r="AR34" s="1215"/>
      <c r="AS34" s="1215"/>
      <c r="AT34" s="1215"/>
      <c r="AU34" s="1215"/>
      <c r="AV34" s="1215"/>
      <c r="AW34" s="1272"/>
      <c r="AX34" s="1272"/>
      <c r="AY34" s="1314"/>
      <c r="AZ34" s="783"/>
    </row>
    <row r="35" spans="2:52" ht="32.25" customHeight="1" x14ac:dyDescent="0.45">
      <c r="C35" s="136"/>
      <c r="G35" s="1316"/>
      <c r="J35" s="1316"/>
      <c r="K35" s="1218"/>
      <c r="O35" s="1336">
        <f>M34-O34</f>
        <v>-230000</v>
      </c>
      <c r="P35" s="980"/>
      <c r="Q35" s="1332"/>
      <c r="R35" s="1332"/>
      <c r="S35" s="1328"/>
      <c r="T35" s="1329"/>
      <c r="U35" s="1329"/>
      <c r="V35" s="980"/>
      <c r="Y35" s="980"/>
      <c r="AB35" s="1303"/>
      <c r="AC35" s="1303"/>
      <c r="AD35" s="1313"/>
      <c r="AE35" s="216"/>
      <c r="AF35" s="1215"/>
      <c r="AG35" s="1215"/>
      <c r="AH35" s="1215"/>
      <c r="AI35" s="1215"/>
      <c r="AJ35" s="1215"/>
      <c r="AK35" s="1272"/>
      <c r="AL35" s="1215"/>
      <c r="AM35" s="1215"/>
      <c r="AN35" s="1215"/>
      <c r="AO35" s="1215"/>
      <c r="AP35" s="1215"/>
      <c r="AQ35" s="1272"/>
      <c r="AR35" s="1215"/>
      <c r="AS35" s="1215"/>
      <c r="AT35" s="1215"/>
      <c r="AU35" s="1215"/>
      <c r="AV35" s="1215"/>
      <c r="AW35" s="1272"/>
      <c r="AX35" s="1272"/>
      <c r="AY35" s="1314"/>
      <c r="AZ35" s="783"/>
    </row>
    <row r="36" spans="2:52" ht="34.5" customHeight="1" x14ac:dyDescent="0.3">
      <c r="J36" s="43"/>
      <c r="K36" s="1201"/>
      <c r="AA36" s="43"/>
      <c r="AB36" s="1303"/>
      <c r="AC36" s="1303"/>
      <c r="AD36" s="216"/>
      <c r="AE36" s="216"/>
      <c r="AF36" s="1215"/>
      <c r="AG36" s="1215"/>
      <c r="AH36" s="1215"/>
      <c r="AI36" s="1215"/>
      <c r="AJ36" s="1215"/>
      <c r="AK36" s="1272"/>
      <c r="AL36" s="1215"/>
      <c r="AM36" s="1215"/>
      <c r="AN36" s="1215"/>
      <c r="AO36" s="1215"/>
      <c r="AP36" s="1215"/>
      <c r="AQ36" s="1272"/>
      <c r="AR36" s="1215"/>
      <c r="AS36" s="1215"/>
      <c r="AT36" s="1215"/>
      <c r="AU36" s="1215"/>
      <c r="AV36" s="1215"/>
      <c r="AW36" s="1272"/>
      <c r="AX36" s="1272"/>
      <c r="AY36" s="1314">
        <f>AX36*139000</f>
        <v>0</v>
      </c>
      <c r="AZ36" s="783"/>
    </row>
    <row r="37" spans="2:52" ht="50.25" customHeight="1" thickBot="1" x14ac:dyDescent="0.5">
      <c r="K37" s="1217"/>
      <c r="W37" s="41"/>
      <c r="AA37" s="43"/>
      <c r="AB37" s="1303"/>
      <c r="AC37" s="1303"/>
      <c r="AD37" s="216"/>
      <c r="AE37" s="216"/>
      <c r="AF37" s="1215"/>
      <c r="AG37" s="1215"/>
      <c r="AH37" s="1215"/>
      <c r="AI37" s="1215"/>
      <c r="AJ37" s="1215"/>
      <c r="AK37" s="1272"/>
      <c r="AL37" s="1215"/>
      <c r="AM37" s="1215"/>
      <c r="AN37" s="1215"/>
      <c r="AO37" s="1215"/>
      <c r="AP37" s="1215"/>
      <c r="AQ37" s="1272"/>
      <c r="AR37" s="1215"/>
      <c r="AS37" s="1215"/>
      <c r="AT37" s="1215"/>
      <c r="AU37" s="1215"/>
      <c r="AV37" s="1215"/>
      <c r="AW37" s="1272"/>
      <c r="AX37" s="1272"/>
      <c r="AY37" s="1337"/>
      <c r="AZ37" s="1338" t="e">
        <f>#REF!*565</f>
        <v>#REF!</v>
      </c>
    </row>
    <row r="38" spans="2:52" ht="17.25" customHeight="1" thickBot="1" x14ac:dyDescent="0.4">
      <c r="C38" s="1263" t="s">
        <v>720</v>
      </c>
      <c r="F38" s="1888" t="s">
        <v>0</v>
      </c>
      <c r="G38" s="1889"/>
      <c r="H38" s="1890"/>
      <c r="I38" s="1888" t="s">
        <v>0</v>
      </c>
      <c r="J38" s="1889"/>
      <c r="K38" s="1890"/>
      <c r="L38" s="1888" t="s">
        <v>0</v>
      </c>
      <c r="M38" s="1889"/>
      <c r="N38" s="1890"/>
      <c r="O38" s="1888" t="s">
        <v>0</v>
      </c>
      <c r="P38" s="1889"/>
      <c r="Q38" s="1890"/>
      <c r="R38" s="1888" t="s">
        <v>0</v>
      </c>
      <c r="S38" s="1889"/>
      <c r="T38" s="1890"/>
      <c r="U38" s="1888" t="s">
        <v>0</v>
      </c>
      <c r="V38" s="1889"/>
      <c r="W38" s="1890"/>
      <c r="X38" s="1888" t="s">
        <v>0</v>
      </c>
      <c r="Y38" s="1889"/>
      <c r="Z38" s="1904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Y38" s="1339">
        <f>SUM(AY20:AY37)</f>
        <v>0</v>
      </c>
      <c r="AZ38" s="1340" t="e">
        <f>SUM(AZ37)</f>
        <v>#REF!</v>
      </c>
    </row>
    <row r="39" spans="2:52" ht="18" customHeight="1" x14ac:dyDescent="0.35">
      <c r="C39" s="155"/>
      <c r="D39" s="155"/>
      <c r="E39" s="155"/>
      <c r="F39" s="1894" t="s">
        <v>71</v>
      </c>
      <c r="G39" s="1895"/>
      <c r="H39" s="1268" t="s">
        <v>2</v>
      </c>
      <c r="I39" s="1269" t="s">
        <v>70</v>
      </c>
      <c r="J39" s="154"/>
      <c r="K39" s="1270" t="s">
        <v>4</v>
      </c>
      <c r="L39" s="1269" t="s">
        <v>70</v>
      </c>
      <c r="M39" s="1271"/>
      <c r="N39" s="1270" t="s">
        <v>4</v>
      </c>
      <c r="O39" s="1269" t="s">
        <v>70</v>
      </c>
      <c r="P39" s="154"/>
      <c r="Q39" s="1270" t="s">
        <v>4</v>
      </c>
      <c r="R39" s="1269" t="s">
        <v>70</v>
      </c>
      <c r="S39" s="154"/>
      <c r="T39" s="1270" t="s">
        <v>4</v>
      </c>
      <c r="U39" s="1269" t="s">
        <v>70</v>
      </c>
      <c r="V39" s="154"/>
      <c r="W39" s="1270" t="s">
        <v>4</v>
      </c>
      <c r="X39" s="1269" t="s">
        <v>70</v>
      </c>
      <c r="Y39" s="154"/>
      <c r="Z39" s="1341" t="s">
        <v>4</v>
      </c>
      <c r="AA39" s="43"/>
      <c r="AB39" s="43"/>
      <c r="AC39" s="43"/>
      <c r="AD39" s="43"/>
      <c r="AE39" s="43"/>
      <c r="AF39" s="1315"/>
      <c r="AG39" s="1315"/>
      <c r="AH39" s="1315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</row>
    <row r="40" spans="2:52" ht="18.600000000000001" thickBot="1" x14ac:dyDescent="0.4">
      <c r="C40" s="1239"/>
      <c r="D40" s="151"/>
      <c r="E40" s="151"/>
      <c r="F40" s="1897" t="s">
        <v>647</v>
      </c>
      <c r="G40" s="1898"/>
      <c r="H40" s="1899"/>
      <c r="I40" s="1897" t="s">
        <v>648</v>
      </c>
      <c r="J40" s="1898"/>
      <c r="K40" s="1899"/>
      <c r="L40" s="1897" t="s">
        <v>649</v>
      </c>
      <c r="M40" s="1898"/>
      <c r="N40" s="1899"/>
      <c r="O40" s="1897" t="s">
        <v>650</v>
      </c>
      <c r="P40" s="1898"/>
      <c r="Q40" s="1899"/>
      <c r="R40" s="1897" t="s">
        <v>651</v>
      </c>
      <c r="S40" s="1898"/>
      <c r="T40" s="1899"/>
      <c r="U40" s="1897" t="s">
        <v>652</v>
      </c>
      <c r="V40" s="1898"/>
      <c r="W40" s="1899"/>
      <c r="X40" s="1900" t="s">
        <v>653</v>
      </c>
      <c r="Y40" s="1901"/>
      <c r="Z40" s="1905"/>
      <c r="AA40" s="43"/>
      <c r="AB40" s="43"/>
      <c r="AC40" s="43"/>
      <c r="AD40" s="43"/>
      <c r="AE40" s="43"/>
      <c r="AF40" s="43"/>
      <c r="AG40" s="1315"/>
      <c r="AH40" s="1315"/>
      <c r="AI40" s="43"/>
      <c r="AJ40" s="43"/>
      <c r="AK40" s="43"/>
      <c r="AL40" s="43"/>
      <c r="AM40" s="43"/>
      <c r="AN40" s="43"/>
      <c r="AO40" s="43"/>
      <c r="AP40" s="43"/>
      <c r="AQ40" s="1906"/>
      <c r="AR40" s="1906"/>
      <c r="AS40" s="1906"/>
      <c r="AT40" s="43"/>
      <c r="AU40" s="43"/>
    </row>
    <row r="41" spans="2:52" ht="16.2" thickBot="1" x14ac:dyDescent="0.35">
      <c r="B41" s="1221" t="s">
        <v>497</v>
      </c>
      <c r="C41" s="1221" t="s">
        <v>6</v>
      </c>
      <c r="D41" s="1273" t="s">
        <v>697</v>
      </c>
      <c r="E41" s="1222" t="s">
        <v>8</v>
      </c>
      <c r="F41" s="1274" t="s">
        <v>9</v>
      </c>
      <c r="G41" s="1275" t="s">
        <v>28</v>
      </c>
      <c r="H41" s="1276" t="s">
        <v>29</v>
      </c>
      <c r="I41" s="1277" t="s">
        <v>9</v>
      </c>
      <c r="J41" s="1278" t="s">
        <v>28</v>
      </c>
      <c r="K41" s="1279" t="s">
        <v>29</v>
      </c>
      <c r="L41" s="1280" t="s">
        <v>9</v>
      </c>
      <c r="M41" s="1281" t="s">
        <v>28</v>
      </c>
      <c r="N41" s="1282" t="s">
        <v>29</v>
      </c>
      <c r="O41" s="1280" t="s">
        <v>9</v>
      </c>
      <c r="P41" s="1281" t="s">
        <v>28</v>
      </c>
      <c r="Q41" s="1282" t="s">
        <v>29</v>
      </c>
      <c r="R41" s="1280" t="s">
        <v>9</v>
      </c>
      <c r="S41" s="1281" t="s">
        <v>28</v>
      </c>
      <c r="T41" s="1282" t="s">
        <v>29</v>
      </c>
      <c r="U41" s="1280" t="s">
        <v>9</v>
      </c>
      <c r="V41" s="1281" t="s">
        <v>28</v>
      </c>
      <c r="W41" s="1283" t="s">
        <v>29</v>
      </c>
      <c r="X41" s="1284" t="s">
        <v>9</v>
      </c>
      <c r="Y41" s="1284" t="s">
        <v>28</v>
      </c>
      <c r="Z41" s="1342" t="s">
        <v>29</v>
      </c>
      <c r="AA41" s="43"/>
      <c r="AB41" s="43"/>
      <c r="AC41" s="43"/>
      <c r="AD41" s="1907"/>
      <c r="AE41" s="1907"/>
      <c r="AF41" s="1907"/>
      <c r="AG41" s="1907"/>
      <c r="AH41" s="1907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</row>
    <row r="42" spans="2:52" ht="33" customHeight="1" x14ac:dyDescent="0.3">
      <c r="B42" s="649">
        <v>1</v>
      </c>
      <c r="C42" s="1225" t="s">
        <v>698</v>
      </c>
      <c r="D42" s="1215" t="s">
        <v>699</v>
      </c>
      <c r="E42" s="1228">
        <v>2</v>
      </c>
      <c r="F42" s="1295"/>
      <c r="G42" s="1296"/>
      <c r="H42" s="2"/>
      <c r="I42" s="1297"/>
      <c r="J42" s="1298"/>
      <c r="K42" s="2"/>
      <c r="L42" s="43"/>
      <c r="M42" s="43"/>
      <c r="N42" s="2"/>
      <c r="O42" s="469"/>
      <c r="P42" s="43"/>
      <c r="Q42" s="2"/>
      <c r="R42" s="1262"/>
      <c r="S42" s="1262"/>
      <c r="T42" s="2"/>
      <c r="U42" s="1262"/>
      <c r="V42" s="1262"/>
      <c r="W42" s="2"/>
      <c r="X42" s="1299">
        <v>565</v>
      </c>
      <c r="Y42" s="1299">
        <f>X42*E42</f>
        <v>1130</v>
      </c>
      <c r="Z42" s="43"/>
      <c r="AA42" s="43"/>
      <c r="AB42" s="43"/>
      <c r="AC42" s="43"/>
      <c r="AD42" s="1215"/>
      <c r="AE42" s="1215"/>
      <c r="AF42" s="1215"/>
      <c r="AG42" s="1215"/>
      <c r="AH42" s="1215"/>
      <c r="AI42" s="1201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</row>
    <row r="43" spans="2:52" ht="33" customHeight="1" x14ac:dyDescent="0.3">
      <c r="B43" s="1293">
        <v>2</v>
      </c>
      <c r="C43" s="1294" t="s">
        <v>700</v>
      </c>
      <c r="D43" s="1215" t="s">
        <v>23</v>
      </c>
      <c r="E43" s="1228">
        <v>35</v>
      </c>
      <c r="F43" s="1295"/>
      <c r="G43" s="1296"/>
      <c r="H43" s="2"/>
      <c r="I43" s="469"/>
      <c r="J43" s="43"/>
      <c r="K43" s="2"/>
      <c r="L43" s="43"/>
      <c r="M43" s="43"/>
      <c r="N43" s="2"/>
      <c r="O43" s="469"/>
      <c r="P43" s="43"/>
      <c r="Q43" s="2"/>
      <c r="R43" s="1262"/>
      <c r="S43" s="1262"/>
      <c r="T43" s="2"/>
      <c r="U43" s="1262"/>
      <c r="V43" s="1262"/>
      <c r="W43" s="2"/>
      <c r="X43" s="469"/>
      <c r="Y43" s="43"/>
      <c r="Z43" s="43"/>
      <c r="AA43" s="43"/>
      <c r="AB43" s="43"/>
      <c r="AC43" s="43"/>
      <c r="AD43" s="1215"/>
      <c r="AE43" s="1215"/>
      <c r="AF43" s="1215"/>
      <c r="AG43" s="1215"/>
      <c r="AH43" s="1215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</row>
    <row r="44" spans="2:52" ht="33" customHeight="1" x14ac:dyDescent="0.35">
      <c r="B44" s="1293">
        <v>3</v>
      </c>
      <c r="C44" s="1294" t="s">
        <v>701</v>
      </c>
      <c r="D44" s="1215" t="s">
        <v>11</v>
      </c>
      <c r="E44" s="1228">
        <v>1359</v>
      </c>
      <c r="F44" s="1295"/>
      <c r="G44" s="1296"/>
      <c r="H44" s="2"/>
      <c r="I44" s="469"/>
      <c r="J44" s="43"/>
      <c r="K44" s="2"/>
      <c r="L44" s="43"/>
      <c r="M44" s="43"/>
      <c r="N44" s="2"/>
      <c r="O44" s="43"/>
      <c r="P44" s="43"/>
      <c r="Q44" s="2"/>
      <c r="R44" s="1262"/>
      <c r="S44" s="1262"/>
      <c r="T44" s="2"/>
      <c r="U44" s="1262"/>
      <c r="V44" s="1262"/>
      <c r="W44" s="2"/>
      <c r="X44" s="1299">
        <v>15000</v>
      </c>
      <c r="Y44" s="1299">
        <f>X44*E44</f>
        <v>20385000</v>
      </c>
      <c r="Z44" s="43"/>
      <c r="AA44" s="43"/>
      <c r="AB44" s="43"/>
      <c r="AC44" s="43"/>
      <c r="AD44" s="43"/>
      <c r="AE44" s="43"/>
      <c r="AF44" s="43"/>
      <c r="AG44" s="43"/>
      <c r="AH44" s="151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</row>
    <row r="45" spans="2:52" ht="33" customHeight="1" x14ac:dyDescent="0.3">
      <c r="B45" s="1293">
        <v>4</v>
      </c>
      <c r="C45" s="1294" t="s">
        <v>667</v>
      </c>
      <c r="D45" s="1215" t="s">
        <v>306</v>
      </c>
      <c r="E45" s="1228">
        <v>1</v>
      </c>
      <c r="F45" s="1302"/>
      <c r="G45" s="1227"/>
      <c r="H45" s="2"/>
      <c r="I45" s="1295"/>
      <c r="J45" s="1296"/>
      <c r="K45" s="2"/>
      <c r="L45" s="1299"/>
      <c r="M45" s="1299"/>
      <c r="N45" s="1228"/>
      <c r="O45" s="1299"/>
      <c r="P45" s="1299"/>
      <c r="Q45" s="1214"/>
      <c r="R45" s="1299"/>
      <c r="S45" s="1299"/>
      <c r="T45" s="2"/>
      <c r="U45" s="1299"/>
      <c r="V45" s="1299"/>
      <c r="W45" s="1228"/>
      <c r="X45" s="1302"/>
      <c r="Y45" s="1299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</row>
    <row r="46" spans="2:52" ht="33" customHeight="1" x14ac:dyDescent="0.3">
      <c r="B46" s="1293">
        <v>5</v>
      </c>
      <c r="C46" s="1294" t="s">
        <v>668</v>
      </c>
      <c r="D46" s="1215" t="s">
        <v>306</v>
      </c>
      <c r="E46" s="1228">
        <v>1</v>
      </c>
      <c r="F46" s="1302"/>
      <c r="G46" s="1227"/>
      <c r="H46" s="2"/>
      <c r="I46" s="1295"/>
      <c r="J46" s="1296"/>
      <c r="K46" s="2"/>
      <c r="L46" s="1299"/>
      <c r="M46" s="1299"/>
      <c r="N46" s="2"/>
      <c r="O46" s="1299"/>
      <c r="P46" s="1299"/>
      <c r="Q46" s="2"/>
      <c r="R46" s="1299"/>
      <c r="S46" s="1299"/>
      <c r="T46" s="1214"/>
      <c r="U46" s="1299"/>
      <c r="V46" s="1299"/>
      <c r="W46" s="1228"/>
      <c r="X46" s="1302"/>
      <c r="Y46" s="1227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</row>
    <row r="47" spans="2:52" ht="33" customHeight="1" thickBot="1" x14ac:dyDescent="0.35">
      <c r="B47" s="569">
        <v>6</v>
      </c>
      <c r="C47" s="1305" t="s">
        <v>669</v>
      </c>
      <c r="D47" s="1209" t="s">
        <v>670</v>
      </c>
      <c r="E47" s="1229">
        <v>520</v>
      </c>
      <c r="F47" s="1306"/>
      <c r="G47" s="1307"/>
      <c r="H47" s="470"/>
      <c r="I47" s="1308"/>
      <c r="J47" s="1309"/>
      <c r="K47" s="470"/>
      <c r="L47" s="43"/>
      <c r="M47" s="43"/>
      <c r="N47" s="2"/>
      <c r="O47" s="469"/>
      <c r="P47" s="43"/>
      <c r="Q47" s="2"/>
      <c r="R47" s="469"/>
      <c r="S47" s="43"/>
      <c r="T47" s="2"/>
      <c r="U47" s="1262"/>
      <c r="V47" s="1262"/>
      <c r="W47" s="2"/>
      <c r="X47" s="469"/>
      <c r="Y47" s="43"/>
      <c r="Z47" s="43"/>
      <c r="AA47" s="43"/>
      <c r="AB47" s="43"/>
      <c r="AC47" s="43"/>
      <c r="AD47" s="43"/>
      <c r="AE47" s="43"/>
      <c r="AF47" s="1907"/>
      <c r="AG47" s="1907"/>
      <c r="AH47" s="1907"/>
      <c r="AI47" s="1907"/>
      <c r="AJ47" s="1907"/>
      <c r="AK47" s="1907"/>
      <c r="AL47" s="43"/>
      <c r="AM47" s="43"/>
      <c r="AN47" s="43"/>
      <c r="AO47" s="43"/>
      <c r="AP47" s="43"/>
      <c r="AQ47" s="43"/>
      <c r="AR47" s="43"/>
      <c r="AS47" s="43"/>
      <c r="AT47" s="43"/>
      <c r="AU47" s="43"/>
    </row>
    <row r="48" spans="2:52" ht="24" thickBot="1" x14ac:dyDescent="0.5">
      <c r="C48" s="136"/>
      <c r="G48" s="1311">
        <f>SUM(G42:G47)</f>
        <v>0</v>
      </c>
      <c r="J48" s="1311">
        <f>SUM(J45:J47)</f>
        <v>0</v>
      </c>
      <c r="K48" s="1218"/>
      <c r="P48" s="1312">
        <f>SUM(P42:P47)</f>
        <v>0</v>
      </c>
      <c r="S48" s="1312">
        <f>SUM(S42:S47)</f>
        <v>0</v>
      </c>
      <c r="V48" s="1312">
        <f>SUM(V42:V47)</f>
        <v>0</v>
      </c>
      <c r="Y48" s="1312">
        <f>SUM(Y42:Y47)</f>
        <v>20386130</v>
      </c>
      <c r="AA48" s="43"/>
      <c r="AB48" s="43"/>
      <c r="AC48" s="43"/>
      <c r="AD48" s="43"/>
      <c r="AE48" s="43"/>
      <c r="AF48" s="1854"/>
      <c r="AG48" s="1854"/>
      <c r="AH48" s="1854"/>
      <c r="AI48" s="1854"/>
      <c r="AJ48" s="1854"/>
      <c r="AK48" s="1854"/>
      <c r="AL48" s="43"/>
      <c r="AM48" s="43"/>
      <c r="AN48" s="43"/>
      <c r="AO48" s="43"/>
      <c r="AP48" s="43"/>
      <c r="AQ48" s="43"/>
      <c r="AR48" s="43"/>
      <c r="AS48" s="43"/>
      <c r="AT48" s="43"/>
      <c r="AU48" s="43"/>
    </row>
    <row r="49" spans="2:47" ht="16.2" thickBot="1" x14ac:dyDescent="0.35">
      <c r="AA49" s="43"/>
      <c r="AB49" s="1303"/>
      <c r="AC49" s="1303"/>
      <c r="AD49" s="1215"/>
      <c r="AE49" s="1215"/>
      <c r="AF49" s="1215"/>
      <c r="AG49" s="1215"/>
      <c r="AH49" s="1215"/>
      <c r="AI49" s="1215"/>
      <c r="AJ49" s="1215"/>
      <c r="AK49" s="1215"/>
      <c r="AL49" s="1315"/>
      <c r="AM49" s="43"/>
      <c r="AN49" s="43"/>
      <c r="AO49" s="43"/>
      <c r="AP49" s="43"/>
      <c r="AQ49" s="43"/>
      <c r="AR49" s="43"/>
      <c r="AS49" s="43"/>
      <c r="AT49" s="43"/>
      <c r="AU49" s="43"/>
    </row>
    <row r="50" spans="2:47" ht="16.2" thickBot="1" x14ac:dyDescent="0.35">
      <c r="F50" s="1908" t="s">
        <v>543</v>
      </c>
      <c r="G50" s="1909"/>
      <c r="H50" s="1908" t="s">
        <v>702</v>
      </c>
      <c r="I50" s="1910"/>
      <c r="J50" s="1910"/>
      <c r="K50" s="1910"/>
      <c r="L50" s="1909"/>
      <c r="AA50" s="43"/>
      <c r="AB50" s="1303"/>
      <c r="AC50" s="1303"/>
      <c r="AD50" s="1215"/>
      <c r="AE50" s="1215"/>
      <c r="AF50" s="1215"/>
      <c r="AG50" s="1215"/>
      <c r="AH50" s="1215"/>
      <c r="AI50" s="1215"/>
      <c r="AJ50" s="1215"/>
      <c r="AK50" s="1215"/>
      <c r="AL50" s="1315"/>
      <c r="AM50" s="43"/>
      <c r="AN50" s="43"/>
      <c r="AO50" s="43"/>
      <c r="AP50" s="43"/>
      <c r="AQ50" s="43"/>
      <c r="AR50" s="43"/>
      <c r="AS50" s="43"/>
      <c r="AT50" s="43"/>
      <c r="AU50" s="43"/>
    </row>
    <row r="51" spans="2:47" ht="18.600000000000001" thickBot="1" x14ac:dyDescent="0.35">
      <c r="B51" s="1204" t="s">
        <v>497</v>
      </c>
      <c r="C51" s="1204" t="s">
        <v>6</v>
      </c>
      <c r="D51" s="1343" t="s">
        <v>703</v>
      </c>
      <c r="E51" s="1205" t="s">
        <v>697</v>
      </c>
      <c r="F51" s="343" t="s">
        <v>704</v>
      </c>
      <c r="G51" s="343" t="s">
        <v>461</v>
      </c>
      <c r="H51" s="343" t="s">
        <v>704</v>
      </c>
      <c r="I51" s="343" t="s">
        <v>461</v>
      </c>
      <c r="J51" s="343" t="s">
        <v>656</v>
      </c>
      <c r="K51" s="343" t="s">
        <v>460</v>
      </c>
      <c r="L51" s="343" t="s">
        <v>657</v>
      </c>
      <c r="M51" s="343" t="s">
        <v>658</v>
      </c>
      <c r="AA51" s="43"/>
      <c r="AB51" s="1303"/>
      <c r="AC51" s="1303"/>
      <c r="AD51" s="216"/>
      <c r="AE51" s="216"/>
      <c r="AF51" s="1215"/>
      <c r="AG51" s="1215"/>
      <c r="AH51" s="1215"/>
      <c r="AI51" s="1215"/>
      <c r="AJ51" s="1215"/>
      <c r="AK51" s="1272"/>
      <c r="AL51" s="43"/>
      <c r="AM51" s="43"/>
      <c r="AN51" s="43"/>
      <c r="AO51" s="43"/>
      <c r="AP51" s="43"/>
      <c r="AQ51" s="43"/>
      <c r="AR51" s="43"/>
      <c r="AS51" s="43"/>
      <c r="AT51" s="43"/>
      <c r="AU51" s="43"/>
    </row>
    <row r="52" spans="2:47" ht="39" customHeight="1" thickBot="1" x14ac:dyDescent="0.35">
      <c r="B52" s="1274">
        <v>1</v>
      </c>
      <c r="C52" s="1281" t="s">
        <v>668</v>
      </c>
      <c r="D52" s="1281" t="s">
        <v>382</v>
      </c>
      <c r="E52" s="1344" t="s">
        <v>240</v>
      </c>
      <c r="F52" s="343"/>
      <c r="G52" s="343"/>
      <c r="H52" s="343"/>
      <c r="I52" s="343"/>
      <c r="J52" s="343"/>
      <c r="K52" s="343"/>
      <c r="L52" s="343"/>
      <c r="M52" s="343"/>
      <c r="AA52" s="43"/>
      <c r="AB52" s="1303"/>
      <c r="AC52" s="1303"/>
      <c r="AD52" s="216"/>
      <c r="AE52" s="216"/>
      <c r="AF52" s="1215"/>
      <c r="AG52" s="1215"/>
      <c r="AH52" s="1215"/>
      <c r="AI52" s="1215"/>
      <c r="AJ52" s="1215"/>
      <c r="AK52" s="1272"/>
      <c r="AL52" s="43"/>
      <c r="AM52" s="43"/>
      <c r="AN52" s="43"/>
      <c r="AO52" s="43"/>
      <c r="AP52" s="43"/>
      <c r="AQ52" s="43"/>
      <c r="AR52" s="43"/>
      <c r="AS52" s="43"/>
      <c r="AT52" s="43"/>
      <c r="AU52" s="43"/>
    </row>
    <row r="53" spans="2:47" ht="48" customHeight="1" thickBot="1" x14ac:dyDescent="0.35">
      <c r="B53" s="1274">
        <v>2</v>
      </c>
      <c r="C53" s="1281" t="s">
        <v>667</v>
      </c>
      <c r="D53" s="1281" t="s">
        <v>382</v>
      </c>
      <c r="E53" s="1344"/>
      <c r="F53" s="343"/>
      <c r="G53" s="343"/>
      <c r="H53" s="343"/>
      <c r="I53" s="343"/>
      <c r="J53" s="343"/>
      <c r="K53" s="343"/>
      <c r="L53" s="343"/>
      <c r="M53" s="343"/>
      <c r="AA53" s="43"/>
      <c r="AB53" s="1303"/>
      <c r="AC53" s="1303"/>
      <c r="AD53" s="216"/>
      <c r="AE53" s="216"/>
      <c r="AF53" s="1215"/>
      <c r="AG53" s="1215"/>
      <c r="AH53" s="1215"/>
      <c r="AI53" s="1215"/>
      <c r="AJ53" s="1215"/>
      <c r="AK53" s="1272"/>
      <c r="AL53" s="43"/>
      <c r="AM53" s="43"/>
      <c r="AN53" s="43"/>
      <c r="AO53" s="43"/>
      <c r="AP53" s="43"/>
      <c r="AQ53" s="43"/>
      <c r="AR53" s="43"/>
      <c r="AS53" s="43"/>
      <c r="AT53" s="43"/>
      <c r="AU53" s="43"/>
    </row>
    <row r="54" spans="2:47" ht="30" customHeight="1" x14ac:dyDescent="0.3">
      <c r="B54" s="1911">
        <v>3</v>
      </c>
      <c r="C54" s="1913" t="s">
        <v>698</v>
      </c>
      <c r="D54" s="1345" t="s">
        <v>689</v>
      </c>
      <c r="E54" s="1346" t="s">
        <v>659</v>
      </c>
      <c r="F54" s="33">
        <v>1</v>
      </c>
      <c r="G54" s="33">
        <v>1</v>
      </c>
      <c r="H54" s="33">
        <v>1</v>
      </c>
      <c r="I54" s="33">
        <v>1</v>
      </c>
      <c r="J54" s="33"/>
      <c r="K54" s="33"/>
      <c r="L54" s="33"/>
      <c r="M54" s="643">
        <f>SUM(H54:L54)</f>
        <v>2</v>
      </c>
      <c r="AA54" s="43"/>
      <c r="AB54" s="1303"/>
      <c r="AC54" s="1303"/>
      <c r="AD54" s="216"/>
      <c r="AE54" s="216"/>
      <c r="AF54" s="1215"/>
      <c r="AG54" s="1215"/>
      <c r="AH54" s="1215"/>
      <c r="AI54" s="1215"/>
      <c r="AJ54" s="1215"/>
      <c r="AK54" s="1272"/>
      <c r="AL54" s="1314"/>
      <c r="AM54" s="43"/>
      <c r="AN54" s="43"/>
      <c r="AO54" s="43"/>
      <c r="AP54" s="43"/>
      <c r="AQ54" s="43"/>
      <c r="AR54" s="43"/>
      <c r="AS54" s="43"/>
      <c r="AT54" s="43"/>
      <c r="AU54" s="43"/>
    </row>
    <row r="55" spans="2:47" ht="31.5" customHeight="1" thickBot="1" x14ac:dyDescent="0.35">
      <c r="B55" s="1912"/>
      <c r="C55" s="1914"/>
      <c r="D55" s="137" t="s">
        <v>689</v>
      </c>
      <c r="E55" s="158" t="s">
        <v>663</v>
      </c>
      <c r="F55" s="33">
        <v>1</v>
      </c>
      <c r="G55" s="33">
        <v>1</v>
      </c>
      <c r="H55" s="33">
        <v>1</v>
      </c>
      <c r="I55" s="33">
        <v>1</v>
      </c>
      <c r="J55" s="33"/>
      <c r="K55" s="33"/>
      <c r="L55" s="33"/>
      <c r="M55" s="33">
        <f>SUM(H55:L55)</f>
        <v>2</v>
      </c>
      <c r="AA55" s="43"/>
      <c r="AB55" s="1303"/>
      <c r="AC55" s="1303"/>
      <c r="AD55" s="216"/>
      <c r="AE55" s="216"/>
      <c r="AF55" s="1215"/>
      <c r="AG55" s="1215"/>
      <c r="AH55" s="1215"/>
      <c r="AI55" s="1215"/>
      <c r="AJ55" s="1215"/>
      <c r="AK55" s="1272"/>
      <c r="AL55" s="1314"/>
      <c r="AM55" s="43"/>
      <c r="AN55" s="43"/>
      <c r="AO55" s="43"/>
      <c r="AP55" s="43"/>
      <c r="AQ55" s="43"/>
      <c r="AR55" s="43"/>
      <c r="AS55" s="43"/>
      <c r="AT55" s="43"/>
      <c r="AU55" s="43"/>
    </row>
    <row r="56" spans="2:47" ht="39" customHeight="1" x14ac:dyDescent="0.3">
      <c r="B56" s="1911">
        <v>4</v>
      </c>
      <c r="C56" s="1915" t="s">
        <v>700</v>
      </c>
      <c r="D56" s="1345" t="s">
        <v>689</v>
      </c>
      <c r="E56" s="1346" t="s">
        <v>659</v>
      </c>
      <c r="G56" s="33">
        <v>1</v>
      </c>
      <c r="I56" s="33">
        <v>1</v>
      </c>
      <c r="J56" s="33">
        <v>1</v>
      </c>
      <c r="M56" s="33">
        <v>1</v>
      </c>
      <c r="AA56" s="43"/>
      <c r="AB56" s="1303"/>
      <c r="AC56" s="1303"/>
      <c r="AD56" s="216"/>
      <c r="AE56" s="216"/>
      <c r="AF56" s="1215"/>
      <c r="AG56" s="1215"/>
      <c r="AH56" s="1215"/>
      <c r="AI56" s="1215"/>
      <c r="AJ56" s="1215"/>
      <c r="AK56" s="1272"/>
      <c r="AL56" s="1314"/>
      <c r="AM56" s="43"/>
      <c r="AN56" s="43"/>
      <c r="AO56" s="43"/>
      <c r="AP56" s="43"/>
      <c r="AQ56" s="43"/>
      <c r="AR56" s="43"/>
      <c r="AS56" s="43"/>
      <c r="AT56" s="43"/>
      <c r="AU56" s="43"/>
    </row>
    <row r="57" spans="2:47" ht="36.75" customHeight="1" thickBot="1" x14ac:dyDescent="0.35">
      <c r="B57" s="1912"/>
      <c r="C57" s="1916"/>
      <c r="D57" s="137" t="s">
        <v>689</v>
      </c>
      <c r="E57" s="158" t="s">
        <v>663</v>
      </c>
      <c r="J57" s="33">
        <v>1</v>
      </c>
      <c r="M57" s="33">
        <v>1</v>
      </c>
      <c r="AA57" s="43"/>
      <c r="AB57" s="1303"/>
      <c r="AC57" s="1303"/>
      <c r="AD57" s="216"/>
      <c r="AE57" s="216"/>
      <c r="AF57" s="1215"/>
      <c r="AG57" s="1215"/>
      <c r="AH57" s="1215"/>
      <c r="AI57" s="1215"/>
      <c r="AJ57" s="1215"/>
      <c r="AK57" s="1272"/>
      <c r="AL57" s="1314"/>
      <c r="AM57" s="43"/>
      <c r="AN57" s="43"/>
      <c r="AO57" s="43"/>
      <c r="AP57" s="43"/>
      <c r="AQ57" s="43"/>
      <c r="AR57" s="43"/>
      <c r="AS57" s="43"/>
      <c r="AT57" s="43"/>
      <c r="AU57" s="43"/>
    </row>
    <row r="58" spans="2:47" ht="38.25" customHeight="1" x14ac:dyDescent="0.3">
      <c r="B58" s="1911">
        <v>6</v>
      </c>
      <c r="C58" s="1915" t="s">
        <v>701</v>
      </c>
      <c r="D58" s="1347" t="s">
        <v>689</v>
      </c>
      <c r="E58" s="1346" t="s">
        <v>659</v>
      </c>
      <c r="J58" s="33">
        <v>1</v>
      </c>
      <c r="K58" s="33">
        <v>1</v>
      </c>
      <c r="AA58" s="43"/>
      <c r="AB58" s="1303"/>
      <c r="AC58" s="1303"/>
      <c r="AD58" s="216"/>
      <c r="AE58" s="216"/>
      <c r="AF58" s="1215"/>
      <c r="AG58" s="1215"/>
      <c r="AH58" s="1215"/>
      <c r="AI58" s="1215"/>
      <c r="AJ58" s="1215"/>
      <c r="AK58" s="1272"/>
      <c r="AL58" s="1314"/>
      <c r="AM58" s="43"/>
      <c r="AN58" s="43"/>
      <c r="AO58" s="43"/>
      <c r="AP58" s="43"/>
      <c r="AQ58" s="43"/>
      <c r="AR58" s="43"/>
      <c r="AS58" s="43"/>
      <c r="AT58" s="43"/>
      <c r="AU58" s="43"/>
    </row>
    <row r="59" spans="2:47" ht="34.5" customHeight="1" thickBot="1" x14ac:dyDescent="0.35">
      <c r="B59" s="1912"/>
      <c r="C59" s="1916"/>
      <c r="D59" s="897" t="s">
        <v>689</v>
      </c>
      <c r="E59" s="158" t="s">
        <v>663</v>
      </c>
      <c r="AA59" s="43"/>
      <c r="AB59" s="1303"/>
      <c r="AC59" s="1303"/>
      <c r="AD59" s="216"/>
      <c r="AE59" s="216"/>
      <c r="AF59" s="1215"/>
      <c r="AG59" s="1215"/>
      <c r="AH59" s="1215"/>
      <c r="AI59" s="1215"/>
      <c r="AJ59" s="1215"/>
      <c r="AK59" s="1272"/>
      <c r="AL59" s="1314"/>
      <c r="AM59" s="43"/>
      <c r="AN59" s="43"/>
      <c r="AO59" s="43"/>
      <c r="AP59" s="43"/>
      <c r="AQ59" s="43"/>
      <c r="AR59" s="43"/>
      <c r="AS59" s="43"/>
      <c r="AT59" s="43"/>
      <c r="AU59" s="43"/>
    </row>
    <row r="60" spans="2:47" ht="56.25" customHeight="1" thickBot="1" x14ac:dyDescent="0.35">
      <c r="B60" s="1274">
        <v>9</v>
      </c>
      <c r="C60" s="1348" t="s">
        <v>669</v>
      </c>
      <c r="D60" s="774" t="s">
        <v>670</v>
      </c>
      <c r="E60" s="1349" t="s">
        <v>705</v>
      </c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</row>
    <row r="64" spans="2:47" x14ac:dyDescent="0.3">
      <c r="C64" s="1350" t="s">
        <v>664</v>
      </c>
      <c r="D64" s="1220" t="s">
        <v>11</v>
      </c>
      <c r="E64" s="139">
        <v>1359</v>
      </c>
    </row>
    <row r="65" spans="2:8" x14ac:dyDescent="0.3">
      <c r="C65" s="1350" t="s">
        <v>666</v>
      </c>
      <c r="D65" s="1220" t="s">
        <v>23</v>
      </c>
      <c r="E65" s="139">
        <f>662.11*0.25</f>
        <v>165.5275</v>
      </c>
    </row>
    <row r="69" spans="2:8" ht="15" thickBot="1" x14ac:dyDescent="0.35"/>
    <row r="70" spans="2:8" ht="18.600000000000001" thickBot="1" x14ac:dyDescent="0.4">
      <c r="C70" s="1263" t="s">
        <v>644</v>
      </c>
      <c r="F70" s="1888" t="s">
        <v>0</v>
      </c>
      <c r="G70" s="1889"/>
      <c r="H70" s="1890"/>
    </row>
    <row r="71" spans="2:8" ht="18" x14ac:dyDescent="0.35">
      <c r="C71" s="155"/>
      <c r="D71" s="155"/>
      <c r="E71" s="155"/>
      <c r="F71" s="1894" t="s">
        <v>71</v>
      </c>
      <c r="G71" s="1895"/>
      <c r="H71" s="1268" t="s">
        <v>2</v>
      </c>
    </row>
    <row r="72" spans="2:8" ht="18.600000000000001" thickBot="1" x14ac:dyDescent="0.4">
      <c r="C72" s="1239"/>
      <c r="D72" s="151"/>
      <c r="E72" s="151"/>
      <c r="F72" s="1897" t="s">
        <v>650</v>
      </c>
      <c r="G72" s="1898"/>
      <c r="H72" s="1899"/>
    </row>
    <row r="73" spans="2:8" ht="15" thickBot="1" x14ac:dyDescent="0.35">
      <c r="B73" s="1221" t="s">
        <v>497</v>
      </c>
      <c r="C73" s="1204" t="s">
        <v>6</v>
      </c>
      <c r="D73" s="1219" t="s">
        <v>7</v>
      </c>
      <c r="E73" s="1205" t="s">
        <v>8</v>
      </c>
      <c r="F73" s="1230" t="s">
        <v>9</v>
      </c>
      <c r="G73" s="1351" t="s">
        <v>28</v>
      </c>
      <c r="H73" s="1352" t="s">
        <v>29</v>
      </c>
    </row>
    <row r="74" spans="2:8" ht="18" x14ac:dyDescent="0.35">
      <c r="B74" s="1206">
        <v>1</v>
      </c>
      <c r="C74" s="1353" t="s">
        <v>679</v>
      </c>
      <c r="D74" s="1207" t="s">
        <v>706</v>
      </c>
      <c r="E74" s="3">
        <v>3</v>
      </c>
      <c r="F74" s="1287">
        <v>150000</v>
      </c>
      <c r="G74" s="1288">
        <f>E74*F74</f>
        <v>450000</v>
      </c>
      <c r="H74" s="1289"/>
    </row>
    <row r="75" spans="2:8" ht="18" x14ac:dyDescent="0.35">
      <c r="B75" s="1213"/>
      <c r="C75" s="1354" t="s">
        <v>659</v>
      </c>
      <c r="D75" s="1215" t="s">
        <v>706</v>
      </c>
      <c r="E75" s="3">
        <v>3</v>
      </c>
      <c r="F75" s="1295">
        <v>65000</v>
      </c>
      <c r="G75" s="1296">
        <f>E75*F75</f>
        <v>195000</v>
      </c>
      <c r="H75" s="2"/>
    </row>
    <row r="76" spans="2:8" ht="18" x14ac:dyDescent="0.35">
      <c r="B76" s="1213">
        <v>3</v>
      </c>
      <c r="C76" s="1354" t="s">
        <v>682</v>
      </c>
      <c r="D76" s="1215" t="s">
        <v>706</v>
      </c>
      <c r="E76" s="3">
        <v>1</v>
      </c>
      <c r="F76" s="1295">
        <v>130000</v>
      </c>
      <c r="G76" s="1296">
        <f>E76*F76</f>
        <v>130000</v>
      </c>
      <c r="H76" s="2"/>
    </row>
    <row r="77" spans="2:8" ht="18" x14ac:dyDescent="0.35">
      <c r="B77" s="1213">
        <v>4</v>
      </c>
      <c r="C77" s="1354" t="s">
        <v>686</v>
      </c>
      <c r="D77" s="1215" t="s">
        <v>706</v>
      </c>
      <c r="E77" s="3">
        <v>1</v>
      </c>
      <c r="F77" s="1295">
        <v>140000</v>
      </c>
      <c r="G77" s="1296">
        <f>E77*F77</f>
        <v>140000</v>
      </c>
      <c r="H77" s="2"/>
    </row>
    <row r="78" spans="2:8" x14ac:dyDescent="0.3">
      <c r="B78" s="1213">
        <v>5</v>
      </c>
      <c r="C78" s="1294"/>
      <c r="D78" s="1215"/>
      <c r="E78" s="1227"/>
      <c r="F78" s="1302"/>
      <c r="G78" s="1227"/>
      <c r="H78" s="2"/>
    </row>
    <row r="79" spans="2:8" x14ac:dyDescent="0.3">
      <c r="B79" s="1213">
        <v>6</v>
      </c>
      <c r="C79" s="1294"/>
      <c r="D79" s="1215"/>
      <c r="E79" s="1227"/>
      <c r="F79" s="1302"/>
      <c r="G79" s="1227"/>
      <c r="H79" s="2"/>
    </row>
    <row r="80" spans="2:8" ht="15" thickBot="1" x14ac:dyDescent="0.35">
      <c r="B80" s="1208">
        <v>7</v>
      </c>
      <c r="C80" s="1305"/>
      <c r="D80" s="1209"/>
      <c r="E80" s="1307"/>
      <c r="F80" s="1306"/>
      <c r="G80" s="1307"/>
      <c r="H80" s="470"/>
    </row>
    <row r="81" spans="2:9" ht="18.600000000000001" thickBot="1" x14ac:dyDescent="0.4">
      <c r="C81" s="136"/>
      <c r="G81" s="1311">
        <f>SUM(G74:G80)</f>
        <v>915000</v>
      </c>
    </row>
    <row r="82" spans="2:9" ht="15" thickBot="1" x14ac:dyDescent="0.35"/>
    <row r="83" spans="2:9" ht="18.600000000000001" thickBot="1" x14ac:dyDescent="0.4">
      <c r="B83" s="592"/>
      <c r="C83" s="1263" t="s">
        <v>644</v>
      </c>
      <c r="D83" s="555"/>
      <c r="E83" s="555"/>
      <c r="F83" s="1888" t="s">
        <v>0</v>
      </c>
      <c r="G83" s="1889"/>
      <c r="H83" s="1890"/>
    </row>
    <row r="84" spans="2:9" ht="18" x14ac:dyDescent="0.35">
      <c r="B84" s="469"/>
      <c r="C84" s="155"/>
      <c r="D84" s="155"/>
      <c r="E84" s="155"/>
      <c r="F84" s="1919" t="s">
        <v>70</v>
      </c>
      <c r="G84" s="1920"/>
      <c r="H84" s="1355" t="s">
        <v>4</v>
      </c>
      <c r="I84" s="118"/>
    </row>
    <row r="85" spans="2:9" ht="18.600000000000001" thickBot="1" x14ac:dyDescent="0.4">
      <c r="B85" s="469"/>
      <c r="C85" s="1239"/>
      <c r="D85" s="151"/>
      <c r="E85" s="151"/>
      <c r="F85" s="1897" t="s">
        <v>650</v>
      </c>
      <c r="G85" s="1898"/>
      <c r="H85" s="1899"/>
    </row>
    <row r="86" spans="2:9" ht="15" thickBot="1" x14ac:dyDescent="0.35">
      <c r="B86" s="1221" t="s">
        <v>497</v>
      </c>
      <c r="C86" s="1221" t="s">
        <v>6</v>
      </c>
      <c r="D86" s="1273" t="s">
        <v>7</v>
      </c>
      <c r="E86" s="1222" t="s">
        <v>8</v>
      </c>
      <c r="F86" s="1274" t="s">
        <v>9</v>
      </c>
      <c r="G86" s="1275" t="s">
        <v>28</v>
      </c>
      <c r="H86" s="1276" t="s">
        <v>29</v>
      </c>
    </row>
    <row r="87" spans="2:9" ht="18" x14ac:dyDescent="0.35">
      <c r="B87" s="1213">
        <v>1</v>
      </c>
      <c r="C87" s="1356" t="s">
        <v>707</v>
      </c>
      <c r="D87" s="1215" t="s">
        <v>706</v>
      </c>
      <c r="E87" s="1215">
        <v>2</v>
      </c>
      <c r="F87" s="1287">
        <v>30000</v>
      </c>
      <c r="G87" s="1288">
        <f>E87*F87</f>
        <v>60000</v>
      </c>
      <c r="H87" s="1289"/>
    </row>
    <row r="88" spans="2:9" x14ac:dyDescent="0.3">
      <c r="B88" s="1213"/>
      <c r="C88" s="1294"/>
      <c r="D88" s="1215"/>
      <c r="E88" s="1227"/>
      <c r="F88" s="1302"/>
      <c r="G88" s="1227"/>
      <c r="H88" s="2"/>
    </row>
    <row r="89" spans="2:9" x14ac:dyDescent="0.3">
      <c r="B89" s="1213"/>
      <c r="C89" s="1294"/>
      <c r="D89" s="1215"/>
      <c r="E89" s="1227"/>
      <c r="F89" s="1302"/>
      <c r="G89" s="1227"/>
      <c r="H89" s="2"/>
    </row>
    <row r="90" spans="2:9" ht="15" thickBot="1" x14ac:dyDescent="0.35">
      <c r="B90" s="1208"/>
      <c r="C90" s="1305"/>
      <c r="D90" s="1209"/>
      <c r="E90" s="1307"/>
      <c r="F90" s="1306"/>
      <c r="G90" s="1307"/>
      <c r="H90" s="470"/>
    </row>
    <row r="91" spans="2:9" ht="18.600000000000001" thickBot="1" x14ac:dyDescent="0.4">
      <c r="B91" s="471"/>
      <c r="C91" s="1357"/>
      <c r="D91" s="659"/>
      <c r="E91" s="659"/>
      <c r="F91" s="659"/>
      <c r="G91" s="1311">
        <f>SUM(G87:G90)</f>
        <v>60000</v>
      </c>
      <c r="H91" s="470"/>
    </row>
    <row r="92" spans="2:9" ht="15" thickBot="1" x14ac:dyDescent="0.35"/>
    <row r="93" spans="2:9" ht="15.6" x14ac:dyDescent="0.3">
      <c r="B93" s="592"/>
      <c r="C93" s="555"/>
      <c r="D93" s="997" t="s">
        <v>708</v>
      </c>
      <c r="E93" s="555"/>
      <c r="F93" s="555"/>
      <c r="G93" s="555"/>
      <c r="H93" s="556"/>
    </row>
    <row r="94" spans="2:9" x14ac:dyDescent="0.3">
      <c r="B94" s="469"/>
      <c r="C94" s="43"/>
      <c r="D94" s="43"/>
      <c r="E94" s="43"/>
      <c r="F94" s="43"/>
      <c r="G94" s="43"/>
      <c r="H94" s="2"/>
    </row>
    <row r="95" spans="2:9" ht="18" x14ac:dyDescent="0.35">
      <c r="B95" s="469"/>
      <c r="C95" s="151" t="s">
        <v>644</v>
      </c>
      <c r="D95" s="43"/>
      <c r="E95" s="43"/>
      <c r="F95" s="1874" t="s">
        <v>0</v>
      </c>
      <c r="G95" s="1874"/>
      <c r="H95" s="1797"/>
    </row>
    <row r="96" spans="2:9" ht="18" x14ac:dyDescent="0.35">
      <c r="B96" s="469"/>
      <c r="C96" s="155"/>
      <c r="D96" s="155"/>
      <c r="E96" s="155"/>
      <c r="F96" s="1874" t="s">
        <v>70</v>
      </c>
      <c r="G96" s="1874"/>
      <c r="H96" s="1358" t="s">
        <v>4</v>
      </c>
      <c r="I96" s="118"/>
    </row>
    <row r="97" spans="2:8" ht="18" x14ac:dyDescent="0.35">
      <c r="B97" s="469"/>
      <c r="C97" s="1239"/>
      <c r="D97" s="151"/>
      <c r="E97" s="151"/>
      <c r="F97" s="1917" t="s">
        <v>650</v>
      </c>
      <c r="G97" s="1917"/>
      <c r="H97" s="1918"/>
    </row>
    <row r="98" spans="2:8" x14ac:dyDescent="0.3">
      <c r="B98" s="1211" t="s">
        <v>497</v>
      </c>
      <c r="C98" s="1212" t="s">
        <v>6</v>
      </c>
      <c r="D98" s="1212" t="s">
        <v>7</v>
      </c>
      <c r="E98" s="1212" t="s">
        <v>8</v>
      </c>
      <c r="F98" s="1212" t="s">
        <v>9</v>
      </c>
      <c r="G98" s="1212" t="s">
        <v>28</v>
      </c>
      <c r="H98" s="1359" t="s">
        <v>29</v>
      </c>
    </row>
    <row r="99" spans="2:8" ht="18" x14ac:dyDescent="0.35">
      <c r="B99" s="1213">
        <v>1</v>
      </c>
      <c r="C99" s="1360" t="s">
        <v>679</v>
      </c>
      <c r="D99" s="1215" t="s">
        <v>706</v>
      </c>
      <c r="E99" s="1215">
        <v>2</v>
      </c>
      <c r="F99" s="1227">
        <v>150000</v>
      </c>
      <c r="G99" s="1227">
        <f>E99*F99</f>
        <v>300000</v>
      </c>
      <c r="H99" s="1361"/>
    </row>
    <row r="100" spans="2:8" ht="18" x14ac:dyDescent="0.35">
      <c r="B100" s="1213">
        <v>2</v>
      </c>
      <c r="C100" s="1360" t="s">
        <v>659</v>
      </c>
      <c r="D100" s="1215" t="s">
        <v>706</v>
      </c>
      <c r="E100" s="1215">
        <v>2</v>
      </c>
      <c r="F100" s="1227">
        <v>70000</v>
      </c>
      <c r="G100" s="1227">
        <f>E100*F100</f>
        <v>140000</v>
      </c>
      <c r="H100" s="1097"/>
    </row>
    <row r="101" spans="2:8" ht="18" x14ac:dyDescent="0.35">
      <c r="B101" s="1213">
        <v>3</v>
      </c>
      <c r="C101" s="1360" t="s">
        <v>682</v>
      </c>
      <c r="D101" s="1215" t="s">
        <v>706</v>
      </c>
      <c r="E101" s="1215">
        <v>2</v>
      </c>
      <c r="F101" s="1227">
        <v>130000</v>
      </c>
      <c r="G101" s="1227">
        <f>E101*F101</f>
        <v>260000</v>
      </c>
      <c r="H101" s="1362"/>
    </row>
    <row r="102" spans="2:8" ht="18" x14ac:dyDescent="0.35">
      <c r="B102" s="1213">
        <v>4</v>
      </c>
      <c r="C102" s="1360" t="s">
        <v>709</v>
      </c>
      <c r="D102" s="1215" t="s">
        <v>706</v>
      </c>
      <c r="E102" s="1215">
        <v>2</v>
      </c>
      <c r="F102" s="1227">
        <v>60000</v>
      </c>
      <c r="G102" s="1227">
        <f>E102*F102</f>
        <v>120000</v>
      </c>
      <c r="H102" s="1097"/>
    </row>
    <row r="103" spans="2:8" x14ac:dyDescent="0.3">
      <c r="B103" s="1213"/>
      <c r="C103" s="584"/>
      <c r="D103" s="1215"/>
      <c r="E103" s="1227"/>
      <c r="F103" s="1227"/>
      <c r="G103" s="1227"/>
      <c r="H103" s="1097"/>
    </row>
    <row r="104" spans="2:8" ht="15" thickBot="1" x14ac:dyDescent="0.35">
      <c r="B104" s="1208"/>
      <c r="C104" s="1001"/>
      <c r="D104" s="1209"/>
      <c r="E104" s="1307"/>
      <c r="F104" s="1307"/>
      <c r="G104" s="1307"/>
      <c r="H104" s="1104"/>
    </row>
    <row r="105" spans="2:8" ht="18.600000000000001" thickBot="1" x14ac:dyDescent="0.4">
      <c r="C105" s="136"/>
      <c r="G105" s="1311">
        <f>SUM(G99:G104)</f>
        <v>820000</v>
      </c>
    </row>
    <row r="108" spans="2:8" ht="15" thickBot="1" x14ac:dyDescent="0.35"/>
    <row r="109" spans="2:8" ht="15.6" x14ac:dyDescent="0.3">
      <c r="B109" s="592"/>
      <c r="C109" s="555"/>
      <c r="D109" s="997" t="s">
        <v>710</v>
      </c>
      <c r="E109" s="555"/>
      <c r="F109" s="555"/>
      <c r="G109" s="555"/>
      <c r="H109" s="556"/>
    </row>
    <row r="110" spans="2:8" x14ac:dyDescent="0.3">
      <c r="B110" s="469"/>
      <c r="C110" s="43"/>
      <c r="D110" s="43"/>
      <c r="E110" s="43"/>
      <c r="F110" s="43"/>
      <c r="G110" s="43"/>
      <c r="H110" s="2"/>
    </row>
    <row r="111" spans="2:8" ht="18" x14ac:dyDescent="0.35">
      <c r="B111" s="469"/>
      <c r="C111" s="151" t="s">
        <v>644</v>
      </c>
      <c r="D111" s="43"/>
      <c r="E111" s="43"/>
      <c r="F111" s="1874" t="s">
        <v>0</v>
      </c>
      <c r="G111" s="1874"/>
      <c r="H111" s="1797"/>
    </row>
    <row r="112" spans="2:8" ht="18" x14ac:dyDescent="0.35">
      <c r="B112" s="469"/>
      <c r="C112" s="155"/>
      <c r="D112" s="155"/>
      <c r="E112" s="155"/>
      <c r="F112" s="1874" t="s">
        <v>70</v>
      </c>
      <c r="G112" s="1874"/>
      <c r="H112" s="1358" t="s">
        <v>4</v>
      </c>
    </row>
    <row r="113" spans="2:8" ht="18" x14ac:dyDescent="0.35">
      <c r="B113" s="469"/>
      <c r="C113" s="1239"/>
      <c r="D113" s="151"/>
      <c r="E113" s="151"/>
      <c r="F113" s="1917" t="s">
        <v>650</v>
      </c>
      <c r="G113" s="1917"/>
      <c r="H113" s="1918"/>
    </row>
    <row r="114" spans="2:8" x14ac:dyDescent="0.3">
      <c r="B114" s="1211" t="s">
        <v>497</v>
      </c>
      <c r="C114" s="1212" t="s">
        <v>6</v>
      </c>
      <c r="D114" s="1212" t="s">
        <v>7</v>
      </c>
      <c r="E114" s="1212" t="s">
        <v>8</v>
      </c>
      <c r="F114" s="1212" t="s">
        <v>9</v>
      </c>
      <c r="G114" s="1212" t="s">
        <v>28</v>
      </c>
      <c r="H114" s="1359" t="s">
        <v>29</v>
      </c>
    </row>
    <row r="115" spans="2:8" ht="18" x14ac:dyDescent="0.35">
      <c r="B115" s="1213">
        <v>1</v>
      </c>
      <c r="C115" s="1360" t="s">
        <v>686</v>
      </c>
      <c r="D115" s="1215" t="s">
        <v>706</v>
      </c>
      <c r="E115" s="1215">
        <v>1</v>
      </c>
      <c r="F115" s="1227">
        <v>160000</v>
      </c>
      <c r="G115" s="1227">
        <f>E115*F115</f>
        <v>160000</v>
      </c>
      <c r="H115" s="1361"/>
    </row>
    <row r="116" spans="2:8" ht="18" x14ac:dyDescent="0.35">
      <c r="B116" s="1213"/>
      <c r="C116" s="1360"/>
      <c r="D116" s="1215"/>
      <c r="E116" s="1215"/>
      <c r="F116" s="1227"/>
      <c r="G116" s="1227"/>
      <c r="H116" s="1097"/>
    </row>
    <row r="117" spans="2:8" ht="15" thickBot="1" x14ac:dyDescent="0.35">
      <c r="B117" s="1208"/>
      <c r="C117" s="1001"/>
      <c r="D117" s="1209"/>
      <c r="E117" s="1307"/>
      <c r="F117" s="1307"/>
      <c r="G117" s="1307"/>
      <c r="H117" s="1104"/>
    </row>
    <row r="118" spans="2:8" ht="18.600000000000001" thickBot="1" x14ac:dyDescent="0.4">
      <c r="C118" s="136"/>
      <c r="G118" s="1311">
        <f>SUM(G115:G117)</f>
        <v>160000</v>
      </c>
    </row>
    <row r="120" spans="2:8" ht="15" thickBot="1" x14ac:dyDescent="0.35"/>
    <row r="121" spans="2:8" ht="21" x14ac:dyDescent="0.4">
      <c r="B121" s="592"/>
      <c r="C121" s="1363" t="s">
        <v>711</v>
      </c>
      <c r="D121" s="997"/>
      <c r="E121" s="555"/>
      <c r="F121" s="555"/>
      <c r="G121" s="555"/>
      <c r="H121" s="556"/>
    </row>
    <row r="122" spans="2:8" x14ac:dyDescent="0.3">
      <c r="B122" s="469"/>
      <c r="C122" s="43"/>
      <c r="D122" s="43"/>
      <c r="E122" s="43"/>
      <c r="F122" s="43"/>
      <c r="G122" s="43"/>
      <c r="H122" s="2"/>
    </row>
    <row r="123" spans="2:8" ht="18" x14ac:dyDescent="0.35">
      <c r="B123" s="469"/>
      <c r="C123" s="151" t="s">
        <v>644</v>
      </c>
      <c r="D123" s="43"/>
      <c r="E123" s="43"/>
      <c r="F123" s="1874" t="s">
        <v>0</v>
      </c>
      <c r="G123" s="1874"/>
      <c r="H123" s="1797"/>
    </row>
    <row r="124" spans="2:8" ht="18" x14ac:dyDescent="0.35">
      <c r="B124" s="469"/>
      <c r="C124" s="155"/>
      <c r="D124" s="155"/>
      <c r="E124" s="155"/>
      <c r="F124" s="1874" t="s">
        <v>70</v>
      </c>
      <c r="G124" s="1874"/>
      <c r="H124" s="1358" t="s">
        <v>4</v>
      </c>
    </row>
    <row r="125" spans="2:8" ht="18" x14ac:dyDescent="0.35">
      <c r="B125" s="469"/>
      <c r="C125" s="1239"/>
      <c r="D125" s="151"/>
      <c r="E125" s="151"/>
      <c r="F125" s="1917" t="s">
        <v>712</v>
      </c>
      <c r="G125" s="1917"/>
      <c r="H125" s="1918"/>
    </row>
    <row r="126" spans="2:8" x14ac:dyDescent="0.3">
      <c r="B126" s="1211" t="s">
        <v>497</v>
      </c>
      <c r="C126" s="1212" t="s">
        <v>6</v>
      </c>
      <c r="D126" s="1212" t="s">
        <v>7</v>
      </c>
      <c r="E126" s="1212" t="s">
        <v>8</v>
      </c>
      <c r="F126" s="1212" t="s">
        <v>9</v>
      </c>
      <c r="G126" s="1212" t="s">
        <v>28</v>
      </c>
      <c r="H126" s="1359" t="s">
        <v>29</v>
      </c>
    </row>
    <row r="127" spans="2:8" ht="18" x14ac:dyDescent="0.35">
      <c r="B127" s="1213">
        <v>1</v>
      </c>
      <c r="C127" s="1360" t="s">
        <v>713</v>
      </c>
      <c r="D127" s="1215" t="s">
        <v>706</v>
      </c>
      <c r="E127" s="1215">
        <v>2</v>
      </c>
      <c r="F127" s="1227">
        <v>80000</v>
      </c>
      <c r="G127" s="1227">
        <f>E127*F127</f>
        <v>160000</v>
      </c>
      <c r="H127" s="1361"/>
    </row>
    <row r="128" spans="2:8" ht="18" x14ac:dyDescent="0.35">
      <c r="B128" s="1213"/>
      <c r="C128" s="1360"/>
      <c r="D128" s="1215"/>
      <c r="E128" s="1215"/>
      <c r="F128" s="1227"/>
      <c r="G128" s="1227"/>
      <c r="H128" s="1097"/>
    </row>
    <row r="129" spans="2:8" ht="15" thickBot="1" x14ac:dyDescent="0.35">
      <c r="B129" s="1208"/>
      <c r="C129" s="1001"/>
      <c r="D129" s="1209"/>
      <c r="E129" s="1307"/>
      <c r="F129" s="1307"/>
      <c r="G129" s="1307"/>
      <c r="H129" s="1104"/>
    </row>
    <row r="130" spans="2:8" ht="29.4" thickBot="1" x14ac:dyDescent="0.4">
      <c r="B130" s="1212" t="s">
        <v>714</v>
      </c>
      <c r="C130" s="136" t="s">
        <v>715</v>
      </c>
      <c r="G130" s="1311">
        <f>SUM(G127:G129)</f>
        <v>160000</v>
      </c>
    </row>
    <row r="132" spans="2:8" ht="15" thickBot="1" x14ac:dyDescent="0.35"/>
    <row r="133" spans="2:8" ht="21" x14ac:dyDescent="0.4">
      <c r="B133" s="592"/>
      <c r="C133" s="1363" t="s">
        <v>716</v>
      </c>
      <c r="D133" s="997"/>
      <c r="E133" s="555"/>
      <c r="F133" s="555"/>
      <c r="G133" s="555"/>
      <c r="H133" s="556"/>
    </row>
    <row r="134" spans="2:8" x14ac:dyDescent="0.3">
      <c r="B134" s="469"/>
      <c r="C134" s="43"/>
      <c r="D134" s="43"/>
      <c r="E134" s="43"/>
      <c r="F134" s="43"/>
      <c r="G134" s="43"/>
      <c r="H134" s="2"/>
    </row>
    <row r="135" spans="2:8" ht="18" x14ac:dyDescent="0.35">
      <c r="B135" s="469"/>
      <c r="C135" s="151" t="s">
        <v>644</v>
      </c>
      <c r="D135" s="43"/>
      <c r="E135" s="43"/>
      <c r="F135" s="1874" t="s">
        <v>0</v>
      </c>
      <c r="G135" s="1874"/>
      <c r="H135" s="1797"/>
    </row>
    <row r="136" spans="2:8" ht="18" x14ac:dyDescent="0.35">
      <c r="B136" s="469"/>
      <c r="C136" s="155"/>
      <c r="D136" s="155"/>
      <c r="E136" s="155"/>
      <c r="F136" s="1874" t="s">
        <v>70</v>
      </c>
      <c r="G136" s="1874"/>
      <c r="H136" s="1358" t="s">
        <v>4</v>
      </c>
    </row>
    <row r="137" spans="2:8" ht="18" x14ac:dyDescent="0.35">
      <c r="B137" s="469"/>
      <c r="C137" s="1239"/>
      <c r="D137" s="151"/>
      <c r="E137" s="151"/>
      <c r="F137" s="1917" t="s">
        <v>712</v>
      </c>
      <c r="G137" s="1917"/>
      <c r="H137" s="1918"/>
    </row>
    <row r="138" spans="2:8" x14ac:dyDescent="0.3">
      <c r="B138" s="1211" t="s">
        <v>497</v>
      </c>
      <c r="C138" s="1212" t="s">
        <v>6</v>
      </c>
      <c r="D138" s="1212" t="s">
        <v>7</v>
      </c>
      <c r="E138" s="1212" t="s">
        <v>8</v>
      </c>
      <c r="F138" s="1212" t="s">
        <v>9</v>
      </c>
      <c r="G138" s="1212" t="s">
        <v>28</v>
      </c>
      <c r="H138" s="1359" t="s">
        <v>29</v>
      </c>
    </row>
    <row r="139" spans="2:8" ht="18" x14ac:dyDescent="0.35">
      <c r="B139" s="1213">
        <v>1</v>
      </c>
      <c r="C139" s="1360" t="s">
        <v>713</v>
      </c>
      <c r="D139" s="1215" t="s">
        <v>706</v>
      </c>
      <c r="E139" s="1215">
        <v>2</v>
      </c>
      <c r="F139" s="1227">
        <v>80000</v>
      </c>
      <c r="G139" s="1227">
        <f>E139*F139</f>
        <v>160000</v>
      </c>
      <c r="H139" s="1361"/>
    </row>
    <row r="140" spans="2:8" ht="18" x14ac:dyDescent="0.35">
      <c r="B140" s="1213"/>
      <c r="C140" s="1360"/>
      <c r="D140" s="1215"/>
      <c r="E140" s="1215"/>
      <c r="F140" s="1227"/>
      <c r="G140" s="1227"/>
      <c r="H140" s="1097"/>
    </row>
    <row r="141" spans="2:8" ht="15" thickBot="1" x14ac:dyDescent="0.35">
      <c r="B141" s="1208"/>
      <c r="C141" s="1001"/>
      <c r="D141" s="1209"/>
      <c r="E141" s="1307"/>
      <c r="F141" s="1307"/>
      <c r="G141" s="1307"/>
      <c r="H141" s="1104"/>
    </row>
    <row r="142" spans="2:8" ht="29.4" thickBot="1" x14ac:dyDescent="0.4">
      <c r="B142" s="1212" t="s">
        <v>714</v>
      </c>
      <c r="C142" s="136" t="s">
        <v>715</v>
      </c>
      <c r="G142" s="1311">
        <f>SUM(G139:G141)</f>
        <v>160000</v>
      </c>
    </row>
    <row r="144" spans="2:8" ht="15" thickBot="1" x14ac:dyDescent="0.35"/>
    <row r="145" spans="2:8" ht="21" x14ac:dyDescent="0.4">
      <c r="B145" s="592"/>
      <c r="C145" s="1363" t="s">
        <v>717</v>
      </c>
      <c r="D145" s="997"/>
      <c r="E145" s="555"/>
      <c r="F145" s="555"/>
      <c r="G145" s="555"/>
      <c r="H145" s="556"/>
    </row>
    <row r="146" spans="2:8" x14ac:dyDescent="0.3">
      <c r="B146" s="469"/>
      <c r="C146" s="43"/>
      <c r="D146" s="43"/>
      <c r="E146" s="43"/>
      <c r="F146" s="43"/>
      <c r="G146" s="43"/>
      <c r="H146" s="2"/>
    </row>
    <row r="147" spans="2:8" ht="18" x14ac:dyDescent="0.35">
      <c r="B147" s="469"/>
      <c r="C147" s="151" t="s">
        <v>644</v>
      </c>
      <c r="D147" s="43"/>
      <c r="E147" s="43"/>
      <c r="F147" s="1874" t="s">
        <v>0</v>
      </c>
      <c r="G147" s="1874"/>
      <c r="H147" s="1797"/>
    </row>
    <row r="148" spans="2:8" ht="18" x14ac:dyDescent="0.35">
      <c r="B148" s="469"/>
      <c r="C148" s="155"/>
      <c r="D148" s="155"/>
      <c r="E148" s="155"/>
      <c r="F148" s="1874" t="s">
        <v>70</v>
      </c>
      <c r="G148" s="1874"/>
      <c r="H148" s="1358" t="s">
        <v>4</v>
      </c>
    </row>
    <row r="149" spans="2:8" ht="18" x14ac:dyDescent="0.35">
      <c r="B149" s="469"/>
      <c r="C149" s="1239"/>
      <c r="D149" s="151"/>
      <c r="E149" s="151"/>
      <c r="F149" s="1917" t="s">
        <v>712</v>
      </c>
      <c r="G149" s="1917"/>
      <c r="H149" s="1918"/>
    </row>
    <row r="150" spans="2:8" x14ac:dyDescent="0.3">
      <c r="B150" s="1211" t="s">
        <v>497</v>
      </c>
      <c r="C150" s="1212" t="s">
        <v>6</v>
      </c>
      <c r="D150" s="1212" t="s">
        <v>7</v>
      </c>
      <c r="E150" s="1212" t="s">
        <v>8</v>
      </c>
      <c r="F150" s="1212" t="s">
        <v>9</v>
      </c>
      <c r="G150" s="1212" t="s">
        <v>28</v>
      </c>
      <c r="H150" s="1359" t="s">
        <v>29</v>
      </c>
    </row>
    <row r="151" spans="2:8" ht="18" x14ac:dyDescent="0.35">
      <c r="B151" s="1213">
        <v>1</v>
      </c>
      <c r="C151" s="1360" t="s">
        <v>713</v>
      </c>
      <c r="D151" s="1215" t="s">
        <v>706</v>
      </c>
      <c r="E151" s="1215">
        <v>2</v>
      </c>
      <c r="F151" s="1227">
        <v>80000</v>
      </c>
      <c r="G151" s="1227">
        <f>E151*F151</f>
        <v>160000</v>
      </c>
      <c r="H151" s="1361"/>
    </row>
    <row r="152" spans="2:8" ht="18" x14ac:dyDescent="0.35">
      <c r="B152" s="1213"/>
      <c r="C152" s="1360"/>
      <c r="D152" s="1215"/>
      <c r="E152" s="1215"/>
      <c r="F152" s="1227"/>
      <c r="G152" s="1227"/>
      <c r="H152" s="1097"/>
    </row>
    <row r="153" spans="2:8" ht="15" thickBot="1" x14ac:dyDescent="0.35">
      <c r="B153" s="1208"/>
      <c r="C153" s="1001"/>
      <c r="D153" s="1209"/>
      <c r="E153" s="1307"/>
      <c r="F153" s="1307"/>
      <c r="G153" s="1307"/>
      <c r="H153" s="1104"/>
    </row>
    <row r="154" spans="2:8" ht="29.4" thickBot="1" x14ac:dyDescent="0.4">
      <c r="B154" s="1212" t="s">
        <v>714</v>
      </c>
      <c r="C154" s="136" t="s">
        <v>715</v>
      </c>
      <c r="G154" s="1311">
        <f>SUM(G151:G153)</f>
        <v>160000</v>
      </c>
    </row>
    <row r="156" spans="2:8" ht="15" thickBot="1" x14ac:dyDescent="0.35"/>
    <row r="157" spans="2:8" ht="21" x14ac:dyDescent="0.4">
      <c r="B157" s="592"/>
      <c r="C157" s="1363" t="s">
        <v>718</v>
      </c>
      <c r="D157" s="997"/>
      <c r="E157" s="555"/>
      <c r="F157" s="555"/>
      <c r="G157" s="555"/>
      <c r="H157" s="556"/>
    </row>
    <row r="158" spans="2:8" x14ac:dyDescent="0.3">
      <c r="B158" s="469"/>
      <c r="C158" s="43"/>
      <c r="D158" s="43"/>
      <c r="E158" s="43"/>
      <c r="F158" s="43"/>
      <c r="G158" s="43"/>
      <c r="H158" s="2"/>
    </row>
    <row r="159" spans="2:8" ht="18" x14ac:dyDescent="0.35">
      <c r="B159" s="469"/>
      <c r="C159" s="151" t="s">
        <v>644</v>
      </c>
      <c r="D159" s="43"/>
      <c r="E159" s="43"/>
      <c r="F159" s="1874" t="s">
        <v>0</v>
      </c>
      <c r="G159" s="1874"/>
      <c r="H159" s="1797"/>
    </row>
    <row r="160" spans="2:8" ht="18" x14ac:dyDescent="0.35">
      <c r="B160" s="469"/>
      <c r="C160" s="155"/>
      <c r="D160" s="155"/>
      <c r="E160" s="155"/>
      <c r="F160" s="1874" t="s">
        <v>70</v>
      </c>
      <c r="G160" s="1874"/>
      <c r="H160" s="1358" t="s">
        <v>4</v>
      </c>
    </row>
    <row r="161" spans="2:8" ht="18" x14ac:dyDescent="0.35">
      <c r="B161" s="469"/>
      <c r="C161" s="1239"/>
      <c r="D161" s="151"/>
      <c r="E161" s="151"/>
      <c r="F161" s="1917" t="s">
        <v>712</v>
      </c>
      <c r="G161" s="1917"/>
      <c r="H161" s="1918"/>
    </row>
    <row r="162" spans="2:8" x14ac:dyDescent="0.3">
      <c r="B162" s="1211" t="s">
        <v>497</v>
      </c>
      <c r="C162" s="1212" t="s">
        <v>6</v>
      </c>
      <c r="D162" s="1212" t="s">
        <v>7</v>
      </c>
      <c r="E162" s="1212" t="s">
        <v>8</v>
      </c>
      <c r="F162" s="1212" t="s">
        <v>9</v>
      </c>
      <c r="G162" s="1212" t="s">
        <v>28</v>
      </c>
      <c r="H162" s="1359" t="s">
        <v>29</v>
      </c>
    </row>
    <row r="163" spans="2:8" ht="18" x14ac:dyDescent="0.35">
      <c r="B163" s="1213">
        <v>1</v>
      </c>
      <c r="C163" s="1360" t="s">
        <v>713</v>
      </c>
      <c r="D163" s="1215" t="s">
        <v>706</v>
      </c>
      <c r="E163" s="1215">
        <v>1</v>
      </c>
      <c r="F163" s="1227">
        <v>80000</v>
      </c>
      <c r="G163" s="1227">
        <f>E163*F163</f>
        <v>80000</v>
      </c>
      <c r="H163" s="1361"/>
    </row>
    <row r="164" spans="2:8" ht="18" x14ac:dyDescent="0.35">
      <c r="B164" s="1213"/>
      <c r="C164" s="1360"/>
      <c r="D164" s="1215"/>
      <c r="E164" s="1215"/>
      <c r="F164" s="1227"/>
      <c r="G164" s="1227"/>
      <c r="H164" s="1097"/>
    </row>
    <row r="165" spans="2:8" ht="15" thickBot="1" x14ac:dyDescent="0.35">
      <c r="B165" s="1208"/>
      <c r="C165" s="1001"/>
      <c r="D165" s="1209"/>
      <c r="E165" s="1307"/>
      <c r="F165" s="1307"/>
      <c r="G165" s="1307"/>
      <c r="H165" s="1104"/>
    </row>
    <row r="166" spans="2:8" ht="29.4" thickBot="1" x14ac:dyDescent="0.4">
      <c r="B166" s="1212" t="s">
        <v>714</v>
      </c>
      <c r="C166" s="136" t="s">
        <v>715</v>
      </c>
      <c r="G166" s="1311">
        <f>SUM(G163:G165)</f>
        <v>80000</v>
      </c>
    </row>
  </sheetData>
  <mergeCells count="77">
    <mergeCell ref="F161:H161"/>
    <mergeCell ref="F123:H123"/>
    <mergeCell ref="F124:G124"/>
    <mergeCell ref="F125:H125"/>
    <mergeCell ref="F135:H135"/>
    <mergeCell ref="F136:G136"/>
    <mergeCell ref="F137:H137"/>
    <mergeCell ref="F147:H147"/>
    <mergeCell ref="F148:G148"/>
    <mergeCell ref="F149:H149"/>
    <mergeCell ref="F159:H159"/>
    <mergeCell ref="F160:G160"/>
    <mergeCell ref="F113:H113"/>
    <mergeCell ref="F70:H70"/>
    <mergeCell ref="F71:G71"/>
    <mergeCell ref="F72:H72"/>
    <mergeCell ref="F83:H83"/>
    <mergeCell ref="F84:G84"/>
    <mergeCell ref="F85:H85"/>
    <mergeCell ref="F95:H95"/>
    <mergeCell ref="F96:G96"/>
    <mergeCell ref="F97:H97"/>
    <mergeCell ref="F111:H111"/>
    <mergeCell ref="F112:G112"/>
    <mergeCell ref="B54:B55"/>
    <mergeCell ref="C54:C55"/>
    <mergeCell ref="B56:B57"/>
    <mergeCell ref="C56:C57"/>
    <mergeCell ref="B58:B59"/>
    <mergeCell ref="C58:C59"/>
    <mergeCell ref="AQ40:AS40"/>
    <mergeCell ref="AD41:AH41"/>
    <mergeCell ref="AF47:AK47"/>
    <mergeCell ref="AF48:AK48"/>
    <mergeCell ref="F50:G50"/>
    <mergeCell ref="H50:L50"/>
    <mergeCell ref="X38:Z38"/>
    <mergeCell ref="F39:G39"/>
    <mergeCell ref="F40:H40"/>
    <mergeCell ref="I40:K40"/>
    <mergeCell ref="L40:N40"/>
    <mergeCell ref="O40:Q40"/>
    <mergeCell ref="R40:T40"/>
    <mergeCell ref="U40:W40"/>
    <mergeCell ref="X40:Z40"/>
    <mergeCell ref="F38:H38"/>
    <mergeCell ref="I38:K38"/>
    <mergeCell ref="L38:N38"/>
    <mergeCell ref="O38:Q38"/>
    <mergeCell ref="R38:T38"/>
    <mergeCell ref="U38:W38"/>
    <mergeCell ref="AF18:AK18"/>
    <mergeCell ref="AL18:AQ18"/>
    <mergeCell ref="AR18:AW18"/>
    <mergeCell ref="F11:H11"/>
    <mergeCell ref="I11:K11"/>
    <mergeCell ref="L11:N11"/>
    <mergeCell ref="O11:Q11"/>
    <mergeCell ref="R11:T11"/>
    <mergeCell ref="U11:W11"/>
    <mergeCell ref="X11:Z11"/>
    <mergeCell ref="AF16:AK16"/>
    <mergeCell ref="AL16:AQ16"/>
    <mergeCell ref="AR16:AW16"/>
    <mergeCell ref="AF17:AW17"/>
    <mergeCell ref="AR10:AW10"/>
    <mergeCell ref="F9:H9"/>
    <mergeCell ref="I9:K9"/>
    <mergeCell ref="L9:N9"/>
    <mergeCell ref="O9:Q9"/>
    <mergeCell ref="R9:T9"/>
    <mergeCell ref="U9:W9"/>
    <mergeCell ref="X9:Z9"/>
    <mergeCell ref="AF9:AK9"/>
    <mergeCell ref="F10:G10"/>
    <mergeCell ref="AF10:AK10"/>
    <mergeCell ref="AL10:AQ10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FF0000"/>
  </sheetPr>
  <dimension ref="C8:AB177"/>
  <sheetViews>
    <sheetView topLeftCell="A103" workbookViewId="0">
      <selection activeCell="G65" sqref="G65"/>
    </sheetView>
  </sheetViews>
  <sheetFormatPr baseColWidth="10" defaultColWidth="11.44140625" defaultRowHeight="14.4" x14ac:dyDescent="0.3"/>
  <cols>
    <col min="1" max="3" width="11.44140625" style="40"/>
    <col min="4" max="4" width="15.5546875" style="40" customWidth="1"/>
    <col min="5" max="5" width="59.88671875" style="40" customWidth="1"/>
    <col min="6" max="6" width="15.109375" style="40" customWidth="1"/>
    <col min="7" max="7" width="17.44140625" style="40" customWidth="1"/>
    <col min="8" max="8" width="11.5546875" style="40" bestFit="1" customWidth="1"/>
    <col min="9" max="9" width="12.5546875" style="40" bestFit="1" customWidth="1"/>
    <col min="10" max="10" width="14.33203125" style="40" customWidth="1"/>
    <col min="11" max="11" width="24.44140625" style="40" customWidth="1"/>
    <col min="12" max="12" width="18" style="40" customWidth="1"/>
    <col min="13" max="13" width="23.44140625" style="40" customWidth="1"/>
    <col min="14" max="14" width="17" style="40" customWidth="1"/>
    <col min="15" max="15" width="19.109375" style="40" customWidth="1"/>
    <col min="16" max="16" width="20" style="40" customWidth="1"/>
    <col min="17" max="17" width="21.33203125" style="40" customWidth="1"/>
    <col min="18" max="18" width="17.44140625" style="40" customWidth="1"/>
    <col min="19" max="19" width="17.6640625" style="40" customWidth="1"/>
    <col min="20" max="20" width="11.44140625" style="40"/>
    <col min="21" max="21" width="16.33203125" style="40" customWidth="1"/>
    <col min="22" max="22" width="17.88671875" style="40" customWidth="1"/>
    <col min="23" max="23" width="11.44140625" style="40"/>
    <col min="24" max="24" width="12.109375" style="40" bestFit="1" customWidth="1"/>
    <col min="25" max="25" width="12.5546875" style="40" bestFit="1" customWidth="1"/>
    <col min="26" max="26" width="17.33203125" style="40" customWidth="1"/>
    <col min="27" max="16384" width="11.44140625" style="40"/>
  </cols>
  <sheetData>
    <row r="8" spans="4:26" ht="15" x14ac:dyDescent="0.25">
      <c r="H8" s="43"/>
      <c r="I8" s="43"/>
    </row>
    <row r="9" spans="4:26" ht="24" thickBot="1" x14ac:dyDescent="0.4">
      <c r="E9" s="1947" t="s">
        <v>871</v>
      </c>
      <c r="F9" s="1947"/>
      <c r="G9" s="1947"/>
      <c r="H9" s="1947"/>
      <c r="I9" s="1947"/>
      <c r="J9" s="1947"/>
      <c r="K9" s="1947"/>
      <c r="L9" s="1947"/>
      <c r="M9" s="1947"/>
      <c r="N9" s="1947"/>
      <c r="O9" s="1947"/>
    </row>
    <row r="10" spans="4:26" ht="15.75" thickBot="1" x14ac:dyDescent="0.3">
      <c r="I10" s="2"/>
      <c r="J10" s="1864" t="s">
        <v>21</v>
      </c>
      <c r="K10" s="1864"/>
      <c r="L10" s="1864"/>
      <c r="M10" s="1864"/>
      <c r="N10" s="1864"/>
      <c r="O10" s="1865"/>
    </row>
    <row r="11" spans="4:26" ht="15" x14ac:dyDescent="0.25">
      <c r="I11" s="2"/>
      <c r="J11" s="1838" t="s">
        <v>0</v>
      </c>
      <c r="K11" s="1839"/>
      <c r="L11" s="1941" t="s">
        <v>0</v>
      </c>
      <c r="M11" s="1838"/>
      <c r="N11" s="1836" t="s">
        <v>0</v>
      </c>
      <c r="O11" s="1837"/>
      <c r="P11" s="1838"/>
      <c r="Q11" s="1838"/>
    </row>
    <row r="12" spans="4:26" ht="19.5" thickBot="1" x14ac:dyDescent="0.35">
      <c r="I12" s="2"/>
      <c r="J12" s="63" t="s">
        <v>1</v>
      </c>
      <c r="K12" s="195" t="s">
        <v>2</v>
      </c>
      <c r="L12" s="44" t="s">
        <v>1</v>
      </c>
      <c r="M12" s="281" t="s">
        <v>2</v>
      </c>
      <c r="N12" s="278" t="s">
        <v>3</v>
      </c>
      <c r="O12" s="46" t="s">
        <v>4</v>
      </c>
      <c r="P12" s="38"/>
      <c r="Q12" s="45"/>
    </row>
    <row r="13" spans="4:26" x14ac:dyDescent="0.3">
      <c r="I13" s="2"/>
      <c r="J13" s="1845" t="s">
        <v>870</v>
      </c>
      <c r="K13" s="1846"/>
      <c r="L13" s="1849" t="s">
        <v>78</v>
      </c>
      <c r="M13" s="1845"/>
      <c r="N13" s="1841" t="s">
        <v>130</v>
      </c>
      <c r="O13" s="1842"/>
      <c r="P13" s="1838"/>
      <c r="Q13" s="1838"/>
      <c r="R13" s="1928" t="s">
        <v>129</v>
      </c>
      <c r="S13" s="1929"/>
      <c r="T13" s="1929"/>
      <c r="U13" s="1929"/>
      <c r="V13" s="1929"/>
      <c r="W13" s="1929"/>
      <c r="X13" s="1929"/>
      <c r="Y13" s="1929"/>
      <c r="Z13" s="269"/>
    </row>
    <row r="14" spans="4:26" ht="15.75" customHeight="1" thickBot="1" x14ac:dyDescent="0.35">
      <c r="I14" s="2"/>
      <c r="J14" s="1847"/>
      <c r="K14" s="1848"/>
      <c r="L14" s="1850"/>
      <c r="M14" s="1847"/>
      <c r="N14" s="1843"/>
      <c r="O14" s="1844"/>
      <c r="P14" s="1838"/>
      <c r="Q14" s="1838"/>
      <c r="R14" s="270" t="s">
        <v>123</v>
      </c>
      <c r="S14" s="271" t="s">
        <v>124</v>
      </c>
      <c r="T14" s="271" t="s">
        <v>125</v>
      </c>
      <c r="U14" s="271" t="s">
        <v>126</v>
      </c>
      <c r="V14" s="271" t="s">
        <v>127</v>
      </c>
      <c r="W14" s="271" t="s">
        <v>128</v>
      </c>
      <c r="X14" s="271"/>
      <c r="Y14" s="271"/>
      <c r="Z14" s="272" t="s">
        <v>10</v>
      </c>
    </row>
    <row r="15" spans="4:26" x14ac:dyDescent="0.3">
      <c r="D15" s="40" t="s">
        <v>5</v>
      </c>
      <c r="E15" s="1" t="s">
        <v>6</v>
      </c>
      <c r="F15" s="40" t="s">
        <v>7</v>
      </c>
      <c r="G15" s="40" t="s">
        <v>8</v>
      </c>
      <c r="H15" s="43"/>
      <c r="I15" s="2"/>
      <c r="J15" s="165" t="s">
        <v>9</v>
      </c>
      <c r="K15" s="39" t="s">
        <v>10</v>
      </c>
      <c r="L15" s="184" t="s">
        <v>9</v>
      </c>
      <c r="M15" s="262" t="s">
        <v>10</v>
      </c>
      <c r="N15" s="261" t="s">
        <v>9</v>
      </c>
      <c r="O15" s="255" t="s">
        <v>10</v>
      </c>
      <c r="P15" s="43"/>
      <c r="Q15" s="43"/>
      <c r="R15" s="214">
        <f>(7*2000+1*2500)+(7*2000+1*2500)+(8*2000+1*2500)+(8*2000+1*2500)+(8*2000+1*2500)</f>
        <v>88500</v>
      </c>
      <c r="S15" s="226">
        <f>(8*2000+1*2500)*5</f>
        <v>92500</v>
      </c>
      <c r="T15" s="226">
        <f>(8*2000+1*2500)*5</f>
        <v>92500</v>
      </c>
      <c r="U15" s="226">
        <f t="shared" ref="U15:W15" si="0">(8*2000+1*2500)*5</f>
        <v>92500</v>
      </c>
      <c r="V15" s="226">
        <f t="shared" si="0"/>
        <v>92500</v>
      </c>
      <c r="W15" s="226">
        <f t="shared" si="0"/>
        <v>92500</v>
      </c>
      <c r="X15" s="226"/>
      <c r="Y15" s="226"/>
      <c r="Z15" s="213">
        <f>SUM(R15:Y15)</f>
        <v>551000</v>
      </c>
    </row>
    <row r="16" spans="4:26" ht="43.8" thickBot="1" x14ac:dyDescent="0.35">
      <c r="D16" s="3">
        <v>1</v>
      </c>
      <c r="E16" s="1" t="s">
        <v>77</v>
      </c>
      <c r="F16" s="175" t="s">
        <v>11</v>
      </c>
      <c r="G16" s="176">
        <v>1239.06</v>
      </c>
      <c r="H16" s="177"/>
      <c r="I16" s="178">
        <f>G16*H16</f>
        <v>0</v>
      </c>
      <c r="J16" s="177">
        <v>3200</v>
      </c>
      <c r="K16" s="177">
        <f>J16*G16</f>
        <v>3964992</v>
      </c>
      <c r="L16" s="179"/>
      <c r="M16" s="177"/>
      <c r="N16" s="179"/>
      <c r="O16" s="178"/>
      <c r="P16" s="6"/>
      <c r="Q16" s="6"/>
      <c r="R16" s="273">
        <f>R15*1.12</f>
        <v>99120.000000000015</v>
      </c>
      <c r="S16" s="274">
        <f>S15*1.12</f>
        <v>103600.00000000001</v>
      </c>
      <c r="T16" s="274">
        <f t="shared" ref="T16:W16" si="1">T15*1.12</f>
        <v>103600.00000000001</v>
      </c>
      <c r="U16" s="274">
        <f t="shared" si="1"/>
        <v>103600.00000000001</v>
      </c>
      <c r="V16" s="274">
        <f t="shared" si="1"/>
        <v>103600.00000000001</v>
      </c>
      <c r="W16" s="274">
        <f t="shared" si="1"/>
        <v>103600.00000000001</v>
      </c>
      <c r="X16" s="274"/>
      <c r="Y16" s="251"/>
      <c r="Z16" s="213">
        <f>SUM(R16:Y16)</f>
        <v>617120.00000000012</v>
      </c>
    </row>
    <row r="17" spans="4:26" ht="15" thickBot="1" x14ac:dyDescent="0.35">
      <c r="G17" s="4"/>
      <c r="H17" s="4"/>
      <c r="I17" s="4">
        <f>SUM(I16:I16)</f>
        <v>0</v>
      </c>
      <c r="J17" s="48" t="s">
        <v>10</v>
      </c>
      <c r="K17" s="185">
        <f>SUM(K16:K16)</f>
        <v>3964992</v>
      </c>
      <c r="L17" s="186"/>
      <c r="M17" s="11">
        <f>SUM(M16:M16)</f>
        <v>0</v>
      </c>
      <c r="N17" s="183"/>
      <c r="O17" s="182">
        <f>SUM(O16:O16)</f>
        <v>0</v>
      </c>
      <c r="P17" s="16"/>
      <c r="Q17" s="16"/>
      <c r="R17" s="275"/>
      <c r="S17" s="275"/>
      <c r="T17" s="275"/>
      <c r="U17" s="275"/>
      <c r="V17" s="275"/>
      <c r="W17" s="275"/>
      <c r="X17" s="275"/>
      <c r="Y17" s="275"/>
      <c r="Z17" s="275"/>
    </row>
    <row r="18" spans="4:26" ht="15" customHeight="1" x14ac:dyDescent="0.3">
      <c r="G18" s="4"/>
      <c r="H18" s="4"/>
      <c r="I18" s="4"/>
      <c r="J18" s="1826" t="s">
        <v>79</v>
      </c>
      <c r="K18" s="1827"/>
      <c r="L18" s="1828"/>
      <c r="M18" s="1830"/>
      <c r="N18" s="1826"/>
      <c r="O18" s="1827"/>
      <c r="P18" s="6"/>
      <c r="Q18" s="6"/>
      <c r="R18" s="275"/>
      <c r="S18" s="275"/>
      <c r="T18" s="275"/>
      <c r="U18" s="275"/>
      <c r="V18" s="275"/>
      <c r="W18" s="275"/>
      <c r="X18" s="275" t="s">
        <v>131</v>
      </c>
      <c r="Y18" s="275" t="e">
        <f>#REF!/#REF!</f>
        <v>#REF!</v>
      </c>
      <c r="Z18" s="275"/>
    </row>
    <row r="19" spans="4:26" ht="52.5" customHeight="1" thickBot="1" x14ac:dyDescent="0.35">
      <c r="G19" s="4"/>
      <c r="H19" s="4"/>
      <c r="I19" s="4"/>
      <c r="J19" s="1828"/>
      <c r="K19" s="1829"/>
      <c r="L19" s="1833"/>
      <c r="M19" s="1831"/>
      <c r="N19" s="1833"/>
      <c r="O19" s="1832"/>
      <c r="P19" s="6"/>
      <c r="Q19" s="6"/>
    </row>
    <row r="20" spans="4:26" ht="30" customHeight="1" thickBot="1" x14ac:dyDescent="0.35">
      <c r="G20" s="4"/>
      <c r="H20" s="4"/>
      <c r="I20" s="4"/>
      <c r="J20" s="1833" t="s">
        <v>80</v>
      </c>
      <c r="K20" s="1832"/>
      <c r="L20" s="4"/>
      <c r="M20" s="4"/>
      <c r="N20" s="6"/>
      <c r="O20" s="6"/>
      <c r="P20" s="6"/>
      <c r="Q20" s="6"/>
    </row>
    <row r="21" spans="4:26" x14ac:dyDescent="0.3">
      <c r="G21" s="4"/>
      <c r="H21" s="4"/>
      <c r="I21" s="4"/>
      <c r="J21" s="4"/>
      <c r="K21" s="4"/>
      <c r="L21" s="4"/>
      <c r="M21" s="4"/>
      <c r="N21" s="6"/>
      <c r="O21" s="6"/>
      <c r="P21" s="6"/>
      <c r="Q21" s="6"/>
    </row>
    <row r="22" spans="4:26" x14ac:dyDescent="0.3">
      <c r="G22" s="4"/>
      <c r="H22" s="4"/>
      <c r="I22" s="4"/>
      <c r="J22" s="4"/>
      <c r="K22" s="4"/>
      <c r="L22" s="4"/>
      <c r="M22" s="4"/>
      <c r="N22" s="4"/>
      <c r="O22" s="4"/>
      <c r="P22" s="6"/>
      <c r="Q22" s="6"/>
    </row>
    <row r="23" spans="4:26" ht="15" thickBot="1" x14ac:dyDescent="0.3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4:26" ht="16.2" thickBot="1" x14ac:dyDescent="0.35">
      <c r="G24" s="4"/>
      <c r="H24" s="4"/>
      <c r="I24" s="4"/>
      <c r="J24" s="1937" t="s">
        <v>17</v>
      </c>
      <c r="K24" s="1938"/>
      <c r="L24" s="1938"/>
      <c r="M24" s="1938"/>
      <c r="N24" s="1938"/>
      <c r="O24" s="1939"/>
      <c r="P24" s="4"/>
      <c r="Q24" s="4"/>
    </row>
    <row r="25" spans="4:26" x14ac:dyDescent="0.3">
      <c r="G25" s="4"/>
      <c r="H25" s="4"/>
      <c r="I25" s="4"/>
      <c r="J25" s="1940" t="s">
        <v>0</v>
      </c>
      <c r="K25" s="1839"/>
      <c r="L25" s="1941" t="s">
        <v>0</v>
      </c>
      <c r="M25" s="1839"/>
      <c r="N25" s="1941" t="s">
        <v>0</v>
      </c>
      <c r="O25" s="1942"/>
      <c r="P25" s="4"/>
      <c r="Q25" s="4"/>
    </row>
    <row r="26" spans="4:26" ht="18.600000000000001" thickBot="1" x14ac:dyDescent="0.4">
      <c r="G26" s="4"/>
      <c r="H26" s="4"/>
      <c r="I26" s="4"/>
      <c r="J26" s="197" t="s">
        <v>3</v>
      </c>
      <c r="K26" s="198" t="s">
        <v>4</v>
      </c>
      <c r="L26" s="198" t="s">
        <v>1</v>
      </c>
      <c r="M26" s="199" t="s">
        <v>2</v>
      </c>
      <c r="N26" s="200" t="s">
        <v>22</v>
      </c>
      <c r="O26" s="201" t="s">
        <v>4</v>
      </c>
      <c r="P26" s="4"/>
      <c r="Q26" s="4"/>
    </row>
    <row r="27" spans="4:26" ht="33" customHeight="1" thickBot="1" x14ac:dyDescent="0.35">
      <c r="G27" s="4"/>
      <c r="H27" s="4"/>
      <c r="I27" s="4"/>
      <c r="J27" s="1933" t="s">
        <v>83</v>
      </c>
      <c r="K27" s="1934"/>
      <c r="L27" s="1933" t="s">
        <v>81</v>
      </c>
      <c r="M27" s="1934"/>
      <c r="N27" s="1935"/>
      <c r="O27" s="1936"/>
      <c r="P27" s="18"/>
      <c r="Q27" s="4"/>
    </row>
    <row r="28" spans="4:26" ht="15" thickBot="1" x14ac:dyDescent="0.35">
      <c r="D28" s="592"/>
      <c r="E28" s="555"/>
      <c r="F28" s="929" t="s">
        <v>7</v>
      </c>
      <c r="G28" s="21" t="s">
        <v>8</v>
      </c>
      <c r="H28" s="4"/>
      <c r="I28" s="4"/>
      <c r="J28" s="19" t="s">
        <v>9</v>
      </c>
      <c r="K28" s="20" t="s">
        <v>10</v>
      </c>
      <c r="L28" s="22" t="s">
        <v>9</v>
      </c>
      <c r="M28" s="21" t="s">
        <v>10</v>
      </c>
      <c r="N28" s="19" t="s">
        <v>9</v>
      </c>
      <c r="O28" s="20" t="s">
        <v>10</v>
      </c>
      <c r="Q28" s="4"/>
    </row>
    <row r="29" spans="4:26" ht="15" thickBot="1" x14ac:dyDescent="0.35">
      <c r="D29" s="927">
        <v>1</v>
      </c>
      <c r="E29" s="963" t="s">
        <v>25</v>
      </c>
      <c r="F29" s="928" t="s">
        <v>23</v>
      </c>
      <c r="G29" s="964">
        <f>G16*0.1</f>
        <v>123.90600000000001</v>
      </c>
      <c r="H29" s="4"/>
      <c r="I29" s="4"/>
      <c r="J29" s="188">
        <f>270949+28700</f>
        <v>299649</v>
      </c>
      <c r="K29" s="194">
        <f>J29*G29</f>
        <v>37128308.994000003</v>
      </c>
      <c r="L29" s="188"/>
      <c r="M29" s="189">
        <f>L29*G29</f>
        <v>0</v>
      </c>
      <c r="N29" s="22"/>
      <c r="O29" s="21">
        <f>N29*G29</f>
        <v>0</v>
      </c>
      <c r="Q29" s="4"/>
    </row>
    <row r="30" spans="4:26" x14ac:dyDescent="0.3">
      <c r="D30" s="3"/>
      <c r="F30" s="3"/>
      <c r="G30" s="4"/>
      <c r="H30" s="4"/>
      <c r="I30" s="4"/>
      <c r="J30" s="23"/>
      <c r="K30" s="25"/>
      <c r="L30" s="23"/>
      <c r="M30" s="24">
        <f>+L30*G30</f>
        <v>0</v>
      </c>
      <c r="N30" s="25"/>
      <c r="O30" s="24"/>
      <c r="Q30" s="4"/>
    </row>
    <row r="31" spans="4:26" x14ac:dyDescent="0.3">
      <c r="D31" s="3"/>
      <c r="G31" s="4"/>
      <c r="H31" s="4"/>
      <c r="I31" s="4"/>
      <c r="J31" s="23"/>
      <c r="K31" s="25"/>
      <c r="L31" s="23"/>
      <c r="M31" s="24"/>
      <c r="N31" s="25"/>
      <c r="O31" s="24"/>
      <c r="Q31" s="4"/>
    </row>
    <row r="32" spans="4:26" ht="15" thickBot="1" x14ac:dyDescent="0.35">
      <c r="G32" s="4"/>
      <c r="H32" s="4"/>
      <c r="I32" s="4"/>
      <c r="J32" s="26"/>
      <c r="K32" s="28"/>
      <c r="L32" s="26"/>
      <c r="M32" s="27"/>
      <c r="N32" s="28"/>
      <c r="O32" s="27"/>
      <c r="Q32" s="4"/>
    </row>
    <row r="33" spans="4:17" ht="21.6" thickBot="1" x14ac:dyDescent="0.45">
      <c r="G33" s="4"/>
      <c r="H33" s="4"/>
      <c r="I33" s="4"/>
      <c r="J33" s="14"/>
      <c r="K33" s="962">
        <f>+K29</f>
        <v>37128308.994000003</v>
      </c>
      <c r="L33" s="193"/>
      <c r="M33" s="192">
        <f>M31+M29</f>
        <v>0</v>
      </c>
      <c r="N33" s="29"/>
      <c r="O33" s="30"/>
      <c r="P33" s="15"/>
      <c r="Q33" s="4"/>
    </row>
    <row r="34" spans="4:17" x14ac:dyDescent="0.3">
      <c r="G34" s="4"/>
      <c r="H34" s="4"/>
      <c r="I34" s="4"/>
      <c r="J34" s="7"/>
      <c r="K34" s="190" t="s">
        <v>82</v>
      </c>
      <c r="L34" s="191"/>
      <c r="M34" s="190" t="s">
        <v>82</v>
      </c>
      <c r="N34" s="32"/>
      <c r="O34" s="31"/>
      <c r="P34" s="15"/>
      <c r="Q34" s="4"/>
    </row>
    <row r="35" spans="4:17" x14ac:dyDescent="0.3">
      <c r="G35" s="4"/>
      <c r="H35" s="4"/>
      <c r="I35" s="4"/>
      <c r="J35" s="7" t="s">
        <v>13</v>
      </c>
      <c r="K35" s="31"/>
      <c r="L35" s="7" t="s">
        <v>13</v>
      </c>
      <c r="M35" s="31"/>
      <c r="N35" s="7" t="s">
        <v>13</v>
      </c>
      <c r="O35" s="31"/>
      <c r="P35" s="15"/>
      <c r="Q35" s="4"/>
    </row>
    <row r="36" spans="4:17" ht="15.75" customHeight="1" x14ac:dyDescent="0.3">
      <c r="G36" s="4"/>
      <c r="H36" s="4"/>
      <c r="I36" s="4"/>
      <c r="J36" s="7"/>
      <c r="K36" s="5"/>
      <c r="L36" s="7"/>
      <c r="M36" s="5"/>
      <c r="N36" s="7"/>
      <c r="O36" s="5"/>
      <c r="P36" s="4"/>
      <c r="Q36" s="4"/>
    </row>
    <row r="37" spans="4:17" ht="15.75" customHeight="1" x14ac:dyDescent="0.3">
      <c r="G37" s="4"/>
      <c r="H37" s="4"/>
      <c r="I37" s="4"/>
      <c r="J37" s="7"/>
      <c r="K37" s="5"/>
      <c r="L37" s="7"/>
      <c r="M37" s="5"/>
      <c r="N37" s="7"/>
      <c r="O37" s="5"/>
      <c r="P37" s="4"/>
      <c r="Q37" s="4"/>
    </row>
    <row r="38" spans="4:17" ht="15.75" customHeight="1" x14ac:dyDescent="0.3">
      <c r="G38" s="4"/>
      <c r="H38" s="4"/>
      <c r="I38" s="4"/>
      <c r="J38" s="7"/>
      <c r="K38" s="5"/>
      <c r="L38" s="7"/>
      <c r="M38" s="5"/>
      <c r="N38" s="7"/>
      <c r="O38" s="5"/>
      <c r="P38" s="4"/>
      <c r="Q38" s="4"/>
    </row>
    <row r="39" spans="4:17" ht="15.75" customHeight="1" thickBot="1" x14ac:dyDescent="0.35">
      <c r="G39" s="4"/>
      <c r="H39" s="4"/>
      <c r="I39" s="4"/>
      <c r="J39" s="8"/>
      <c r="K39" s="9"/>
      <c r="L39" s="8"/>
      <c r="M39" s="9"/>
      <c r="N39" s="8"/>
      <c r="O39" s="9"/>
      <c r="P39" s="4"/>
      <c r="Q39" s="4"/>
    </row>
    <row r="40" spans="4:17" ht="15.75" customHeight="1" x14ac:dyDescent="0.3"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4:17" ht="15.75" customHeight="1" thickBot="1" x14ac:dyDescent="0.35">
      <c r="G41" s="4"/>
      <c r="H41" s="4"/>
      <c r="I41" s="4"/>
      <c r="J41" s="645"/>
      <c r="K41" s="645"/>
      <c r="L41" s="645"/>
      <c r="M41" s="645"/>
      <c r="N41" s="645"/>
      <c r="O41" s="645"/>
      <c r="P41" s="4"/>
      <c r="Q41" s="4"/>
    </row>
    <row r="42" spans="4:17" ht="15.75" customHeight="1" thickBot="1" x14ac:dyDescent="0.35">
      <c r="G42" s="4"/>
      <c r="H42" s="4"/>
      <c r="I42" s="4"/>
      <c r="J42" s="1937" t="s">
        <v>17</v>
      </c>
      <c r="K42" s="1938"/>
      <c r="L42" s="1938"/>
      <c r="M42" s="1938"/>
      <c r="N42" s="1938"/>
      <c r="O42" s="1939"/>
      <c r="P42" s="4"/>
      <c r="Q42" s="4"/>
    </row>
    <row r="43" spans="4:17" ht="15.75" customHeight="1" x14ac:dyDescent="0.3">
      <c r="G43" s="4"/>
      <c r="H43" s="4"/>
      <c r="I43" s="4"/>
      <c r="J43" s="1940" t="s">
        <v>0</v>
      </c>
      <c r="K43" s="1839"/>
      <c r="L43" s="1941" t="s">
        <v>0</v>
      </c>
      <c r="M43" s="1839"/>
      <c r="N43" s="1941" t="s">
        <v>0</v>
      </c>
      <c r="O43" s="1942"/>
      <c r="P43" s="4"/>
      <c r="Q43" s="4"/>
    </row>
    <row r="44" spans="4:17" ht="15.75" customHeight="1" thickBot="1" x14ac:dyDescent="0.4">
      <c r="G44" s="4"/>
      <c r="H44" s="4"/>
      <c r="I44" s="4"/>
      <c r="J44" s="197" t="s">
        <v>3</v>
      </c>
      <c r="K44" s="198" t="s">
        <v>4</v>
      </c>
      <c r="L44" s="198" t="s">
        <v>1</v>
      </c>
      <c r="M44" s="199" t="s">
        <v>2</v>
      </c>
      <c r="N44" s="200" t="s">
        <v>22</v>
      </c>
      <c r="O44" s="201" t="s">
        <v>4</v>
      </c>
      <c r="P44" s="4"/>
      <c r="Q44" s="4"/>
    </row>
    <row r="45" spans="4:17" ht="15.75" customHeight="1" thickBot="1" x14ac:dyDescent="0.35">
      <c r="G45" s="4"/>
      <c r="H45" s="4"/>
      <c r="I45" s="4"/>
      <c r="J45" s="1933"/>
      <c r="K45" s="1934"/>
      <c r="L45" s="1933" t="s">
        <v>81</v>
      </c>
      <c r="M45" s="1934"/>
      <c r="N45" s="1935"/>
      <c r="O45" s="1936"/>
      <c r="P45" s="4"/>
      <c r="Q45" s="4"/>
    </row>
    <row r="46" spans="4:17" ht="15.75" customHeight="1" thickBot="1" x14ac:dyDescent="0.35">
      <c r="D46" s="592"/>
      <c r="E46" s="555"/>
      <c r="F46" s="1394" t="s">
        <v>7</v>
      </c>
      <c r="G46" s="21" t="s">
        <v>8</v>
      </c>
      <c r="H46" s="4"/>
      <c r="I46" s="4"/>
      <c r="J46" s="19" t="s">
        <v>9</v>
      </c>
      <c r="K46" s="20" t="s">
        <v>10</v>
      </c>
      <c r="L46" s="22" t="s">
        <v>9</v>
      </c>
      <c r="M46" s="21" t="s">
        <v>10</v>
      </c>
      <c r="N46" s="19" t="s">
        <v>9</v>
      </c>
      <c r="O46" s="20" t="s">
        <v>10</v>
      </c>
      <c r="P46" s="4"/>
      <c r="Q46" s="4"/>
    </row>
    <row r="47" spans="4:17" ht="15.75" customHeight="1" thickBot="1" x14ac:dyDescent="0.35">
      <c r="D47" s="1395">
        <v>1</v>
      </c>
      <c r="E47" s="963" t="s">
        <v>872</v>
      </c>
      <c r="F47" s="1396" t="s">
        <v>578</v>
      </c>
      <c r="G47" s="1398">
        <f>G16/90</f>
        <v>13.767333333333333</v>
      </c>
      <c r="H47" s="4"/>
      <c r="I47" s="4"/>
      <c r="J47" s="188">
        <v>225000</v>
      </c>
      <c r="K47" s="194">
        <f>J47*G47</f>
        <v>3097650</v>
      </c>
      <c r="L47" s="188"/>
      <c r="M47" s="189">
        <f>L47*G47</f>
        <v>0</v>
      </c>
      <c r="N47" s="22"/>
      <c r="O47" s="21">
        <f>N47*G47</f>
        <v>0</v>
      </c>
      <c r="P47" s="4"/>
      <c r="Q47" s="4"/>
    </row>
    <row r="48" spans="4:17" ht="15.75" customHeight="1" x14ac:dyDescent="0.3">
      <c r="D48" s="3"/>
      <c r="F48" s="3"/>
      <c r="G48" s="4"/>
      <c r="H48" s="4"/>
      <c r="I48" s="4"/>
      <c r="J48" s="23"/>
      <c r="K48" s="25"/>
      <c r="L48" s="23"/>
      <c r="M48" s="24">
        <f>+L48*G48</f>
        <v>0</v>
      </c>
      <c r="N48" s="25"/>
      <c r="O48" s="24"/>
      <c r="P48" s="4"/>
      <c r="Q48" s="4"/>
    </row>
    <row r="49" spans="4:17" ht="15.75" customHeight="1" x14ac:dyDescent="0.3">
      <c r="D49" s="3"/>
      <c r="G49" s="4"/>
      <c r="H49" s="4"/>
      <c r="I49" s="4"/>
      <c r="J49" s="23"/>
      <c r="K49" s="25"/>
      <c r="L49" s="23"/>
      <c r="M49" s="24"/>
      <c r="N49" s="25"/>
      <c r="O49" s="24"/>
      <c r="P49" s="4"/>
      <c r="Q49" s="4"/>
    </row>
    <row r="50" spans="4:17" ht="15.75" customHeight="1" thickBot="1" x14ac:dyDescent="0.35">
      <c r="G50" s="4"/>
      <c r="H50" s="4"/>
      <c r="I50" s="4"/>
      <c r="J50" s="26"/>
      <c r="K50" s="28"/>
      <c r="L50" s="26"/>
      <c r="M50" s="27"/>
      <c r="N50" s="28"/>
      <c r="O50" s="27"/>
      <c r="P50" s="4"/>
      <c r="Q50" s="4"/>
    </row>
    <row r="51" spans="4:17" ht="15.75" customHeight="1" thickBot="1" x14ac:dyDescent="0.45">
      <c r="G51" s="4"/>
      <c r="H51" s="4"/>
      <c r="I51" s="4"/>
      <c r="J51" s="14"/>
      <c r="K51" s="962">
        <f>+K47</f>
        <v>3097650</v>
      </c>
      <c r="L51" s="193"/>
      <c r="M51" s="192">
        <f>M49+M47</f>
        <v>0</v>
      </c>
      <c r="N51" s="29"/>
      <c r="O51" s="30"/>
      <c r="P51" s="4"/>
      <c r="Q51" s="4"/>
    </row>
    <row r="52" spans="4:17" ht="15.75" customHeight="1" x14ac:dyDescent="0.3">
      <c r="G52" s="4"/>
      <c r="H52" s="4"/>
      <c r="I52" s="4"/>
      <c r="J52" s="7"/>
      <c r="K52" s="190" t="s">
        <v>82</v>
      </c>
      <c r="L52" s="191"/>
      <c r="M52" s="190" t="s">
        <v>82</v>
      </c>
      <c r="N52" s="32"/>
      <c r="O52" s="31"/>
      <c r="P52" s="4"/>
      <c r="Q52" s="4"/>
    </row>
    <row r="53" spans="4:17" ht="15.75" customHeight="1" x14ac:dyDescent="0.3">
      <c r="G53" s="4"/>
      <c r="H53" s="4"/>
      <c r="I53" s="4"/>
      <c r="J53" s="7" t="s">
        <v>13</v>
      </c>
      <c r="K53" s="31"/>
      <c r="L53" s="7" t="s">
        <v>13</v>
      </c>
      <c r="M53" s="31"/>
      <c r="N53" s="7" t="s">
        <v>13</v>
      </c>
      <c r="O53" s="31"/>
      <c r="P53" s="4"/>
      <c r="Q53" s="4"/>
    </row>
    <row r="54" spans="4:17" ht="15.75" customHeight="1" x14ac:dyDescent="0.3">
      <c r="G54" s="4"/>
      <c r="H54" s="4"/>
      <c r="I54" s="4"/>
      <c r="J54" s="7"/>
      <c r="K54" s="5"/>
      <c r="L54" s="7"/>
      <c r="M54" s="5"/>
      <c r="N54" s="7"/>
      <c r="O54" s="5"/>
      <c r="P54" s="4"/>
      <c r="Q54" s="4"/>
    </row>
    <row r="55" spans="4:17" ht="15.75" customHeight="1" x14ac:dyDescent="0.3">
      <c r="G55" s="4"/>
      <c r="H55" s="4"/>
      <c r="I55" s="4"/>
      <c r="J55" s="7"/>
      <c r="K55" s="5"/>
      <c r="L55" s="7"/>
      <c r="M55" s="5"/>
      <c r="N55" s="7"/>
      <c r="O55" s="5"/>
      <c r="P55" s="4"/>
      <c r="Q55" s="4"/>
    </row>
    <row r="56" spans="4:17" ht="15.75" customHeight="1" x14ac:dyDescent="0.3">
      <c r="G56" s="4"/>
      <c r="H56" s="6"/>
      <c r="I56" s="6"/>
      <c r="J56" s="6"/>
      <c r="K56" s="6"/>
      <c r="L56" s="6"/>
      <c r="M56" s="6"/>
      <c r="N56" s="6"/>
      <c r="O56" s="6"/>
      <c r="P56" s="4"/>
      <c r="Q56" s="4"/>
    </row>
    <row r="57" spans="4:17" ht="15.75" customHeight="1" x14ac:dyDescent="0.3">
      <c r="G57" s="4"/>
      <c r="H57" s="6"/>
      <c r="I57" s="6"/>
      <c r="J57" s="6"/>
      <c r="K57" s="6"/>
      <c r="L57" s="6"/>
      <c r="M57" s="6"/>
      <c r="N57" s="6"/>
      <c r="O57" s="6"/>
      <c r="P57" s="4"/>
      <c r="Q57" s="4"/>
    </row>
    <row r="58" spans="4:17" ht="15.75" customHeight="1" x14ac:dyDescent="0.3">
      <c r="G58" s="4"/>
      <c r="H58" s="6"/>
      <c r="I58" s="6"/>
      <c r="J58" s="6"/>
      <c r="K58" s="6"/>
      <c r="L58" s="6"/>
      <c r="M58" s="6"/>
      <c r="N58" s="6"/>
      <c r="O58" s="6"/>
      <c r="P58" s="4"/>
      <c r="Q58" s="4"/>
    </row>
    <row r="59" spans="4:17" ht="15.75" customHeight="1" thickBot="1" x14ac:dyDescent="0.35">
      <c r="G59" s="4"/>
      <c r="H59" s="6"/>
      <c r="I59" s="6"/>
      <c r="J59" s="6"/>
      <c r="K59" s="6"/>
      <c r="L59" s="6"/>
      <c r="M59" s="6"/>
      <c r="N59" s="6"/>
      <c r="O59" s="6"/>
      <c r="P59" s="4"/>
      <c r="Q59" s="4"/>
    </row>
    <row r="60" spans="4:17" ht="15.75" customHeight="1" thickBot="1" x14ac:dyDescent="0.35">
      <c r="G60" s="4"/>
      <c r="H60" s="4"/>
      <c r="I60" s="4"/>
      <c r="J60" s="1937" t="s">
        <v>17</v>
      </c>
      <c r="K60" s="1938"/>
      <c r="L60" s="1938"/>
      <c r="M60" s="1938"/>
      <c r="N60" s="1938"/>
      <c r="O60" s="1939"/>
      <c r="P60" s="4"/>
      <c r="Q60" s="4"/>
    </row>
    <row r="61" spans="4:17" ht="15.75" customHeight="1" x14ac:dyDescent="0.3">
      <c r="G61" s="4"/>
      <c r="H61" s="4"/>
      <c r="I61" s="4"/>
      <c r="J61" s="1940" t="s">
        <v>0</v>
      </c>
      <c r="K61" s="1839"/>
      <c r="L61" s="1941" t="s">
        <v>0</v>
      </c>
      <c r="M61" s="1839"/>
      <c r="N61" s="1941" t="s">
        <v>0</v>
      </c>
      <c r="O61" s="1942"/>
      <c r="P61" s="4"/>
      <c r="Q61" s="4"/>
    </row>
    <row r="62" spans="4:17" ht="15.75" customHeight="1" thickBot="1" x14ac:dyDescent="0.4">
      <c r="G62" s="4"/>
      <c r="H62" s="4"/>
      <c r="I62" s="4"/>
      <c r="J62" s="197" t="s">
        <v>3</v>
      </c>
      <c r="K62" s="198" t="s">
        <v>4</v>
      </c>
      <c r="L62" s="198" t="s">
        <v>1</v>
      </c>
      <c r="M62" s="199" t="s">
        <v>2</v>
      </c>
      <c r="N62" s="200" t="s">
        <v>22</v>
      </c>
      <c r="O62" s="201" t="s">
        <v>4</v>
      </c>
      <c r="P62" s="4"/>
      <c r="Q62" s="4"/>
    </row>
    <row r="63" spans="4:17" ht="15.75" customHeight="1" thickBot="1" x14ac:dyDescent="0.35">
      <c r="G63" s="4"/>
      <c r="H63" s="4"/>
      <c r="I63" s="4"/>
      <c r="J63" s="1933"/>
      <c r="K63" s="1934"/>
      <c r="L63" s="1933" t="s">
        <v>81</v>
      </c>
      <c r="M63" s="1934"/>
      <c r="N63" s="1935"/>
      <c r="O63" s="1936"/>
      <c r="P63" s="4"/>
      <c r="Q63" s="4"/>
    </row>
    <row r="64" spans="4:17" ht="15.75" customHeight="1" thickBot="1" x14ac:dyDescent="0.35">
      <c r="D64" s="592"/>
      <c r="E64" s="555"/>
      <c r="F64" s="1467" t="s">
        <v>7</v>
      </c>
      <c r="G64" s="21" t="s">
        <v>8</v>
      </c>
      <c r="H64" s="4"/>
      <c r="I64" s="4"/>
      <c r="J64" s="19" t="s">
        <v>9</v>
      </c>
      <c r="K64" s="20" t="s">
        <v>10</v>
      </c>
      <c r="L64" s="22" t="s">
        <v>9</v>
      </c>
      <c r="M64" s="21" t="s">
        <v>10</v>
      </c>
      <c r="N64" s="19" t="s">
        <v>9</v>
      </c>
      <c r="O64" s="20" t="s">
        <v>10</v>
      </c>
      <c r="P64" s="4"/>
      <c r="Q64" s="4"/>
    </row>
    <row r="65" spans="4:17" ht="29.4" customHeight="1" x14ac:dyDescent="0.3">
      <c r="D65" s="1757">
        <v>1</v>
      </c>
      <c r="E65" s="1771" t="s">
        <v>959</v>
      </c>
      <c r="F65" s="1757" t="s">
        <v>960</v>
      </c>
      <c r="G65" s="1772">
        <v>174</v>
      </c>
      <c r="H65" s="4"/>
      <c r="I65" s="4"/>
      <c r="J65" s="188">
        <v>40000</v>
      </c>
      <c r="K65" s="194">
        <f>J65*G65</f>
        <v>6960000</v>
      </c>
      <c r="L65" s="188"/>
      <c r="M65" s="189">
        <f>L65*G65</f>
        <v>0</v>
      </c>
      <c r="N65" s="22"/>
      <c r="O65" s="21">
        <f>N65*G65</f>
        <v>0</v>
      </c>
      <c r="P65" s="4"/>
      <c r="Q65" s="4"/>
    </row>
    <row r="66" spans="4:17" ht="15.75" customHeight="1" x14ac:dyDescent="0.3">
      <c r="D66" s="3"/>
      <c r="F66" s="3"/>
      <c r="G66" s="4"/>
      <c r="H66" s="4"/>
      <c r="I66" s="4"/>
      <c r="J66" s="23"/>
      <c r="K66" s="25"/>
      <c r="L66" s="23"/>
      <c r="M66" s="24">
        <f>+L66*G66</f>
        <v>0</v>
      </c>
      <c r="N66" s="25"/>
      <c r="O66" s="24"/>
      <c r="P66" s="4"/>
      <c r="Q66" s="4"/>
    </row>
    <row r="67" spans="4:17" ht="15.75" customHeight="1" x14ac:dyDescent="0.3">
      <c r="D67" s="3"/>
      <c r="G67" s="4"/>
      <c r="H67" s="4"/>
      <c r="I67" s="4"/>
      <c r="J67" s="23"/>
      <c r="K67" s="25"/>
      <c r="L67" s="23"/>
      <c r="M67" s="24"/>
      <c r="N67" s="25"/>
      <c r="O67" s="24"/>
      <c r="P67" s="4"/>
      <c r="Q67" s="4"/>
    </row>
    <row r="68" spans="4:17" ht="15.75" customHeight="1" thickBot="1" x14ac:dyDescent="0.35">
      <c r="G68" s="4"/>
      <c r="H68" s="4"/>
      <c r="I68" s="4"/>
      <c r="J68" s="26"/>
      <c r="K68" s="28"/>
      <c r="L68" s="26"/>
      <c r="M68" s="27"/>
      <c r="N68" s="28"/>
      <c r="O68" s="27"/>
      <c r="P68" s="4"/>
      <c r="Q68" s="4"/>
    </row>
    <row r="69" spans="4:17" ht="15.75" customHeight="1" thickBot="1" x14ac:dyDescent="0.45">
      <c r="G69" s="4"/>
      <c r="H69" s="4"/>
      <c r="I69" s="4"/>
      <c r="J69" s="14"/>
      <c r="K69" s="962">
        <f>+K65</f>
        <v>6960000</v>
      </c>
      <c r="L69" s="193"/>
      <c r="M69" s="192">
        <f>M67+M65</f>
        <v>0</v>
      </c>
      <c r="N69" s="29"/>
      <c r="O69" s="30"/>
      <c r="P69" s="4"/>
      <c r="Q69" s="4"/>
    </row>
    <row r="70" spans="4:17" ht="15.75" customHeight="1" x14ac:dyDescent="0.3">
      <c r="G70" s="4"/>
      <c r="H70" s="4"/>
      <c r="I70" s="4"/>
      <c r="J70" s="7"/>
      <c r="K70" s="190" t="s">
        <v>82</v>
      </c>
      <c r="L70" s="191"/>
      <c r="M70" s="190" t="s">
        <v>82</v>
      </c>
      <c r="N70" s="32"/>
      <c r="O70" s="31"/>
      <c r="P70" s="4"/>
      <c r="Q70" s="4"/>
    </row>
    <row r="71" spans="4:17" ht="15.75" customHeight="1" x14ac:dyDescent="0.3">
      <c r="G71" s="4"/>
      <c r="H71" s="4"/>
      <c r="I71" s="4"/>
      <c r="J71" s="7" t="s">
        <v>13</v>
      </c>
      <c r="K71" s="31"/>
      <c r="L71" s="7" t="s">
        <v>13</v>
      </c>
      <c r="M71" s="31"/>
      <c r="N71" s="7" t="s">
        <v>13</v>
      </c>
      <c r="O71" s="31"/>
      <c r="P71" s="4"/>
      <c r="Q71" s="4"/>
    </row>
    <row r="72" spans="4:17" ht="30.75" customHeight="1" x14ac:dyDescent="0.3">
      <c r="G72" s="4"/>
      <c r="H72" s="4"/>
      <c r="I72" s="4"/>
      <c r="J72" s="7"/>
      <c r="K72" s="5"/>
      <c r="L72" s="7"/>
      <c r="M72" s="5"/>
      <c r="N72" s="7"/>
      <c r="O72" s="5"/>
      <c r="P72" s="4"/>
      <c r="Q72" s="4"/>
    </row>
    <row r="73" spans="4:17" ht="30.75" customHeight="1" thickBot="1" x14ac:dyDescent="0.35">
      <c r="G73" s="4"/>
      <c r="H73" s="4"/>
      <c r="I73" s="4"/>
      <c r="J73" s="7"/>
      <c r="K73" s="5"/>
      <c r="L73" s="7"/>
      <c r="M73" s="5"/>
      <c r="N73" s="7"/>
      <c r="O73" s="5"/>
      <c r="P73" s="4"/>
      <c r="Q73" s="4"/>
    </row>
    <row r="74" spans="4:17" ht="30.75" customHeight="1" thickBot="1" x14ac:dyDescent="0.35">
      <c r="D74" s="592"/>
      <c r="E74" s="555"/>
      <c r="F74" s="1467" t="s">
        <v>7</v>
      </c>
      <c r="G74" s="21" t="s">
        <v>8</v>
      </c>
      <c r="H74" s="4"/>
      <c r="I74" s="4"/>
      <c r="J74" s="19" t="s">
        <v>9</v>
      </c>
      <c r="K74" s="20" t="s">
        <v>10</v>
      </c>
      <c r="L74" s="177"/>
      <c r="M74" s="177"/>
      <c r="N74" s="6"/>
      <c r="O74" s="6"/>
      <c r="P74" s="4"/>
      <c r="Q74" s="4"/>
    </row>
    <row r="75" spans="4:17" ht="30.75" customHeight="1" thickBot="1" x14ac:dyDescent="0.35">
      <c r="D75" s="233">
        <v>1</v>
      </c>
      <c r="E75" s="1556" t="s">
        <v>963</v>
      </c>
      <c r="F75" s="1469" t="s">
        <v>23</v>
      </c>
      <c r="G75" s="1398">
        <f>174*0.9</f>
        <v>156.6</v>
      </c>
      <c r="H75" s="4"/>
      <c r="I75" s="4"/>
      <c r="J75" s="188">
        <v>450000</v>
      </c>
      <c r="K75" s="194">
        <f>J75*G75</f>
        <v>70470000</v>
      </c>
      <c r="L75" s="177"/>
      <c r="M75" s="177"/>
      <c r="N75" s="6"/>
      <c r="O75" s="6"/>
      <c r="P75" s="4"/>
      <c r="Q75" s="4"/>
    </row>
    <row r="76" spans="4:17" ht="30.75" customHeight="1" thickBot="1" x14ac:dyDescent="0.35">
      <c r="D76" s="3"/>
      <c r="F76" s="3"/>
      <c r="G76" s="4"/>
      <c r="H76" s="4"/>
      <c r="I76" s="4"/>
      <c r="J76" s="23"/>
      <c r="K76" s="25"/>
      <c r="L76" s="177"/>
      <c r="M76" s="177"/>
      <c r="N76" s="6"/>
      <c r="O76" s="6"/>
      <c r="P76" s="4"/>
      <c r="Q76" s="4"/>
    </row>
    <row r="77" spans="4:17" ht="30.75" customHeight="1" thickBot="1" x14ac:dyDescent="0.35">
      <c r="D77" s="592"/>
      <c r="E77" s="555"/>
      <c r="F77" s="1467" t="s">
        <v>7</v>
      </c>
      <c r="G77" s="21" t="s">
        <v>8</v>
      </c>
      <c r="H77" s="4"/>
      <c r="I77" s="4"/>
      <c r="J77" s="19" t="s">
        <v>9</v>
      </c>
      <c r="K77" s="20" t="s">
        <v>10</v>
      </c>
      <c r="L77" s="177"/>
      <c r="M77" s="177"/>
      <c r="N77" s="6"/>
      <c r="O77" s="6"/>
      <c r="P77" s="4"/>
      <c r="Q77" s="4"/>
    </row>
    <row r="78" spans="4:17" ht="30.75" customHeight="1" thickBot="1" x14ac:dyDescent="0.35">
      <c r="D78" s="233">
        <v>1</v>
      </c>
      <c r="E78" s="1556" t="s">
        <v>965</v>
      </c>
      <c r="F78" s="767" t="s">
        <v>23</v>
      </c>
      <c r="G78" s="1557">
        <f>174*0.44</f>
        <v>76.56</v>
      </c>
      <c r="H78" s="4"/>
      <c r="I78" s="4"/>
      <c r="J78" s="188">
        <v>140000</v>
      </c>
      <c r="K78" s="194">
        <f>J78*G78</f>
        <v>10718400</v>
      </c>
      <c r="L78" s="177"/>
      <c r="M78" s="177"/>
      <c r="N78" s="6"/>
      <c r="O78" s="6"/>
      <c r="P78" s="4"/>
      <c r="Q78" s="4"/>
    </row>
    <row r="79" spans="4:17" ht="30.75" customHeight="1" x14ac:dyDescent="0.3">
      <c r="D79" s="3"/>
      <c r="F79" s="3"/>
      <c r="G79" s="4"/>
      <c r="H79" s="4"/>
      <c r="I79" s="4"/>
      <c r="J79" s="23"/>
      <c r="K79" s="25"/>
      <c r="L79" s="177"/>
      <c r="M79" s="177"/>
      <c r="N79" s="6"/>
      <c r="O79" s="6"/>
      <c r="P79" s="4"/>
      <c r="Q79" s="4"/>
    </row>
    <row r="80" spans="4:17" ht="30.75" customHeight="1" x14ac:dyDescent="0.3">
      <c r="E80" s="779"/>
      <c r="F80" s="779"/>
      <c r="G80" s="196"/>
      <c r="H80" s="4"/>
      <c r="I80" s="4"/>
      <c r="J80" s="177"/>
      <c r="K80" s="177"/>
      <c r="L80" s="177"/>
      <c r="M80" s="177"/>
      <c r="N80" s="6"/>
      <c r="O80" s="6"/>
      <c r="P80" s="4"/>
      <c r="Q80" s="4"/>
    </row>
    <row r="81" spans="5:27" ht="30.75" customHeight="1" x14ac:dyDescent="0.3">
      <c r="E81" s="779"/>
      <c r="F81" s="779"/>
      <c r="G81" s="196"/>
      <c r="H81" s="4"/>
      <c r="I81" s="4"/>
      <c r="J81" s="177"/>
      <c r="K81" s="177"/>
      <c r="L81" s="177"/>
      <c r="M81" s="177"/>
      <c r="N81" s="6"/>
      <c r="O81" s="6"/>
      <c r="P81" s="4"/>
      <c r="Q81" s="4"/>
    </row>
    <row r="82" spans="5:27" ht="30.75" customHeight="1" x14ac:dyDescent="0.3">
      <c r="E82" s="779"/>
      <c r="F82" s="779"/>
      <c r="G82" s="196"/>
      <c r="H82" s="4"/>
      <c r="I82" s="4"/>
      <c r="J82" s="177"/>
      <c r="K82" s="177"/>
      <c r="L82" s="177"/>
      <c r="M82" s="177"/>
      <c r="N82" s="6"/>
      <c r="O82" s="6"/>
      <c r="P82" s="4"/>
      <c r="Q82" s="4"/>
    </row>
    <row r="83" spans="5:27" ht="30.75" customHeight="1" x14ac:dyDescent="0.3">
      <c r="E83" s="779"/>
      <c r="F83" s="779"/>
      <c r="G83" s="196"/>
      <c r="H83" s="4"/>
      <c r="I83" s="4"/>
      <c r="J83" s="177"/>
      <c r="K83" s="177"/>
      <c r="L83" s="177"/>
      <c r="M83" s="177"/>
      <c r="N83" s="6"/>
      <c r="O83" s="6"/>
      <c r="P83" s="4"/>
      <c r="Q83" s="4"/>
    </row>
    <row r="84" spans="5:27" ht="30.75" customHeight="1" x14ac:dyDescent="0.3">
      <c r="E84" s="779"/>
      <c r="F84" s="779"/>
      <c r="G84" s="196"/>
      <c r="H84" s="4"/>
      <c r="I84" s="4"/>
      <c r="J84" s="177"/>
      <c r="K84" s="177"/>
      <c r="L84" s="177"/>
      <c r="M84" s="177"/>
      <c r="N84" s="6"/>
      <c r="O84" s="6"/>
      <c r="P84" s="4"/>
      <c r="Q84" s="4"/>
    </row>
    <row r="85" spans="5:27" ht="30.75" customHeight="1" x14ac:dyDescent="0.3">
      <c r="E85" s="779"/>
      <c r="F85" s="779"/>
      <c r="G85" s="196"/>
      <c r="H85" s="4"/>
      <c r="I85" s="4"/>
      <c r="J85" s="177"/>
      <c r="K85" s="177"/>
      <c r="L85" s="177"/>
      <c r="M85" s="177"/>
      <c r="N85" s="6"/>
      <c r="O85" s="6"/>
      <c r="P85" s="4"/>
      <c r="Q85" s="4"/>
    </row>
    <row r="86" spans="5:27" ht="30.75" customHeight="1" x14ac:dyDescent="0.3">
      <c r="E86" s="779"/>
      <c r="F86" s="779"/>
      <c r="G86" s="196"/>
      <c r="H86" s="4"/>
      <c r="I86" s="4"/>
      <c r="J86" s="177"/>
      <c r="K86" s="177"/>
      <c r="L86" s="177"/>
      <c r="M86" s="177"/>
      <c r="N86" s="6"/>
      <c r="O86" s="6"/>
      <c r="P86" s="4"/>
      <c r="Q86" s="4"/>
    </row>
    <row r="87" spans="5:27" ht="30.75" customHeight="1" x14ac:dyDescent="0.3">
      <c r="E87" s="779"/>
      <c r="F87" s="779"/>
      <c r="G87" s="196"/>
      <c r="H87" s="4"/>
      <c r="I87" s="4"/>
      <c r="J87" s="177"/>
      <c r="K87" s="177"/>
      <c r="L87" s="177"/>
      <c r="M87" s="177"/>
      <c r="N87" s="6"/>
      <c r="O87" s="6"/>
      <c r="P87" s="4"/>
      <c r="Q87" s="4"/>
    </row>
    <row r="88" spans="5:27" ht="30.75" customHeight="1" x14ac:dyDescent="0.3">
      <c r="E88" s="779"/>
      <c r="F88" s="779"/>
      <c r="G88" s="196"/>
      <c r="H88" s="4"/>
      <c r="I88" s="4"/>
      <c r="J88" s="177"/>
      <c r="K88" s="177"/>
      <c r="L88" s="177"/>
      <c r="M88" s="177"/>
      <c r="N88" s="6"/>
      <c r="O88" s="6"/>
      <c r="P88" s="4"/>
      <c r="Q88" s="4"/>
    </row>
    <row r="89" spans="5:27" ht="30.75" customHeight="1" x14ac:dyDescent="0.3">
      <c r="E89" s="779"/>
      <c r="F89" s="779"/>
      <c r="G89" s="196"/>
      <c r="H89" s="4"/>
      <c r="I89" s="4"/>
      <c r="J89" s="177"/>
      <c r="K89" s="177"/>
      <c r="L89" s="177"/>
      <c r="M89" s="177"/>
      <c r="N89" s="6"/>
      <c r="O89" s="6"/>
      <c r="P89" s="4"/>
      <c r="Q89" s="4"/>
    </row>
    <row r="90" spans="5:27" ht="30.75" customHeight="1" x14ac:dyDescent="0.3">
      <c r="E90" s="779"/>
      <c r="F90" s="779"/>
      <c r="G90" s="196"/>
      <c r="H90" s="4"/>
      <c r="I90" s="4"/>
      <c r="J90" s="177"/>
      <c r="K90" s="177"/>
      <c r="L90" s="177"/>
      <c r="M90" s="177"/>
      <c r="N90" s="6"/>
      <c r="O90" s="6"/>
      <c r="P90" s="4"/>
      <c r="Q90" s="4"/>
    </row>
    <row r="91" spans="5:27" ht="30.75" customHeight="1" x14ac:dyDescent="0.3">
      <c r="E91" s="779"/>
      <c r="F91" s="779"/>
      <c r="G91" s="196"/>
      <c r="H91" s="4"/>
      <c r="I91" s="4"/>
      <c r="J91" s="177"/>
      <c r="K91" s="177"/>
      <c r="L91" s="177"/>
      <c r="M91" s="177"/>
      <c r="N91" s="6"/>
      <c r="O91" s="6"/>
      <c r="P91" s="4"/>
      <c r="Q91" s="4"/>
    </row>
    <row r="92" spans="5:27" ht="30.75" customHeight="1" x14ac:dyDescent="0.3">
      <c r="E92" s="779"/>
      <c r="F92" s="779"/>
      <c r="G92" s="196"/>
      <c r="H92" s="4"/>
      <c r="I92" s="4"/>
      <c r="J92" s="177"/>
      <c r="K92" s="177"/>
      <c r="L92" s="177"/>
      <c r="M92" s="177"/>
      <c r="N92" s="6"/>
      <c r="O92" s="6"/>
      <c r="P92" s="4"/>
      <c r="Q92" s="4"/>
    </row>
    <row r="93" spans="5:27" ht="30.75" customHeight="1" x14ac:dyDescent="0.3">
      <c r="E93" s="779"/>
      <c r="F93" s="779"/>
      <c r="G93" s="196"/>
      <c r="H93" s="4"/>
      <c r="I93" s="4"/>
      <c r="J93" s="177"/>
      <c r="K93" s="177"/>
      <c r="L93" s="177"/>
      <c r="M93" s="177"/>
      <c r="N93" s="6"/>
      <c r="O93" s="6"/>
      <c r="P93" s="4"/>
      <c r="Q93" s="4"/>
    </row>
    <row r="94" spans="5:27" ht="30.75" customHeight="1" x14ac:dyDescent="0.3">
      <c r="F94" s="33"/>
      <c r="G94" s="196"/>
      <c r="H94" s="4"/>
      <c r="I94" s="4"/>
      <c r="J94" s="177"/>
      <c r="K94" s="177"/>
      <c r="L94" s="177"/>
      <c r="M94" s="177"/>
      <c r="N94" s="6"/>
      <c r="O94" s="6"/>
      <c r="P94" s="4"/>
      <c r="Q94" s="4"/>
    </row>
    <row r="95" spans="5:27" ht="15.75" customHeight="1" thickBot="1" x14ac:dyDescent="0.35">
      <c r="G95" s="4"/>
      <c r="H95" s="4"/>
      <c r="I95" s="4"/>
      <c r="J95" s="6"/>
      <c r="K95" s="6"/>
      <c r="L95" s="6"/>
      <c r="M95" s="6"/>
      <c r="N95" s="4"/>
      <c r="O95" s="4"/>
      <c r="P95" s="4"/>
      <c r="Q95" s="4"/>
    </row>
    <row r="96" spans="5:27" ht="21" customHeight="1" thickBot="1" x14ac:dyDescent="0.4">
      <c r="G96" s="4"/>
      <c r="H96" s="4"/>
      <c r="I96" s="4"/>
      <c r="J96" s="4"/>
      <c r="K96" s="1930" t="s">
        <v>365</v>
      </c>
      <c r="L96" s="1931"/>
      <c r="M96" s="1931"/>
      <c r="N96" s="1931"/>
      <c r="O96" s="1931"/>
      <c r="P96" s="1931"/>
      <c r="Q96" s="1931"/>
      <c r="R96" s="1931"/>
      <c r="S96" s="1931"/>
      <c r="T96" s="1931"/>
      <c r="U96" s="1931"/>
      <c r="V96" s="1931"/>
      <c r="W96" s="1931"/>
      <c r="X96" s="1931"/>
      <c r="Y96" s="1931"/>
      <c r="Z96" s="1931"/>
      <c r="AA96" s="1932"/>
    </row>
    <row r="97" spans="4:28" ht="15.75" customHeight="1" thickBot="1" x14ac:dyDescent="0.4">
      <c r="G97" s="4"/>
      <c r="H97" s="4"/>
      <c r="I97" s="4"/>
      <c r="J97" s="6"/>
      <c r="K97" s="1930" t="s">
        <v>366</v>
      </c>
      <c r="L97" s="1931"/>
      <c r="M97" s="1931"/>
      <c r="N97" s="1930" t="s">
        <v>359</v>
      </c>
      <c r="O97" s="1931"/>
      <c r="P97" s="1932"/>
      <c r="Q97" s="1930" t="s">
        <v>360</v>
      </c>
      <c r="R97" s="1931"/>
      <c r="S97" s="1932"/>
      <c r="T97" s="1930" t="s">
        <v>413</v>
      </c>
      <c r="U97" s="1931"/>
      <c r="V97" s="1931"/>
      <c r="W97" s="1932"/>
      <c r="X97" s="1930" t="s">
        <v>417</v>
      </c>
      <c r="Y97" s="1931"/>
      <c r="Z97" s="1931"/>
      <c r="AA97" s="1932"/>
    </row>
    <row r="98" spans="4:28" ht="15.75" customHeight="1" x14ac:dyDescent="0.3">
      <c r="F98" s="33" t="s">
        <v>7</v>
      </c>
      <c r="G98" s="34" t="s">
        <v>8</v>
      </c>
      <c r="H98" s="4"/>
      <c r="I98" s="4"/>
      <c r="J98" s="6"/>
      <c r="K98" s="23" t="s">
        <v>9</v>
      </c>
      <c r="L98" s="25" t="s">
        <v>10</v>
      </c>
      <c r="M98" s="25" t="s">
        <v>29</v>
      </c>
      <c r="N98" s="23" t="s">
        <v>9</v>
      </c>
      <c r="O98" s="25" t="s">
        <v>10</v>
      </c>
      <c r="P98" s="5" t="s">
        <v>29</v>
      </c>
      <c r="Q98" s="23" t="s">
        <v>9</v>
      </c>
      <c r="R98" s="25" t="s">
        <v>10</v>
      </c>
      <c r="S98" s="5" t="s">
        <v>29</v>
      </c>
      <c r="T98" s="23" t="s">
        <v>9</v>
      </c>
      <c r="U98" s="25" t="s">
        <v>10</v>
      </c>
      <c r="V98" s="25" t="s">
        <v>29</v>
      </c>
      <c r="W98" s="770"/>
      <c r="X98" s="23" t="s">
        <v>9</v>
      </c>
      <c r="Y98" s="25" t="s">
        <v>10</v>
      </c>
      <c r="Z98" s="25" t="s">
        <v>29</v>
      </c>
      <c r="AA98" s="782"/>
    </row>
    <row r="99" spans="4:28" ht="27" customHeight="1" x14ac:dyDescent="0.3">
      <c r="D99" s="3">
        <v>1</v>
      </c>
      <c r="E99" s="43" t="s">
        <v>363</v>
      </c>
      <c r="F99" s="769" t="s">
        <v>20</v>
      </c>
      <c r="G99" s="6">
        <v>20</v>
      </c>
      <c r="H99" s="4"/>
      <c r="I99" s="4"/>
      <c r="J99" s="623"/>
      <c r="K99" s="179">
        <v>5500</v>
      </c>
      <c r="L99" s="177">
        <f>K99*G99</f>
        <v>110000</v>
      </c>
      <c r="M99" s="663" t="s">
        <v>367</v>
      </c>
      <c r="N99" s="179"/>
      <c r="O99" s="177"/>
      <c r="P99" s="178"/>
      <c r="Q99" s="23">
        <v>7900</v>
      </c>
      <c r="R99" s="25">
        <f>Q99*G99</f>
        <v>158000</v>
      </c>
      <c r="S99" s="2"/>
      <c r="T99" s="23">
        <v>5633.59</v>
      </c>
      <c r="U99" s="25">
        <f>T99*G99</f>
        <v>112671.8</v>
      </c>
      <c r="V99" s="43"/>
      <c r="W99" s="2"/>
      <c r="X99" s="469"/>
      <c r="Y99" s="43"/>
      <c r="Z99" s="43"/>
      <c r="AA99" s="2"/>
    </row>
    <row r="100" spans="4:28" ht="27" customHeight="1" x14ac:dyDescent="0.3">
      <c r="D100" s="3">
        <v>2</v>
      </c>
      <c r="E100" s="43" t="s">
        <v>415</v>
      </c>
      <c r="F100" s="769" t="s">
        <v>20</v>
      </c>
      <c r="G100" s="6">
        <v>20</v>
      </c>
      <c r="H100" s="4"/>
      <c r="I100" s="4"/>
      <c r="J100" s="623"/>
      <c r="K100" s="179"/>
      <c r="L100" s="177"/>
      <c r="M100" s="663"/>
      <c r="N100" s="179"/>
      <c r="O100" s="177"/>
      <c r="P100" s="178"/>
      <c r="Q100" s="23"/>
      <c r="R100" s="25"/>
      <c r="S100" s="2"/>
      <c r="T100" s="23">
        <v>5448.94</v>
      </c>
      <c r="U100" s="25">
        <f>T100*G100</f>
        <v>108978.79999999999</v>
      </c>
      <c r="V100" s="43"/>
      <c r="W100" s="2"/>
      <c r="X100" s="469"/>
      <c r="Y100" s="781">
        <f>X100*G100</f>
        <v>0</v>
      </c>
      <c r="Z100" s="43"/>
      <c r="AA100" s="2"/>
    </row>
    <row r="101" spans="4:28" ht="27" customHeight="1" x14ac:dyDescent="0.3">
      <c r="D101" s="3">
        <v>3</v>
      </c>
      <c r="E101" s="43" t="s">
        <v>414</v>
      </c>
      <c r="F101" s="769" t="s">
        <v>20</v>
      </c>
      <c r="G101" s="6">
        <v>20</v>
      </c>
      <c r="H101" s="4"/>
      <c r="I101" s="4"/>
      <c r="J101" s="623"/>
      <c r="K101" s="179"/>
      <c r="L101" s="177"/>
      <c r="M101" s="663"/>
      <c r="N101" s="179"/>
      <c r="O101" s="177"/>
      <c r="P101" s="178"/>
      <c r="Q101" s="23"/>
      <c r="R101" s="25"/>
      <c r="S101" s="2"/>
      <c r="T101" s="23">
        <v>169.64</v>
      </c>
      <c r="U101" s="25">
        <f>T101*G101</f>
        <v>3392.7999999999997</v>
      </c>
      <c r="V101" s="43"/>
      <c r="W101" s="2"/>
      <c r="X101" s="469"/>
      <c r="Y101" s="43"/>
      <c r="Z101" s="43"/>
      <c r="AA101" s="2"/>
    </row>
    <row r="102" spans="4:28" ht="31.5" customHeight="1" thickBot="1" x14ac:dyDescent="0.35">
      <c r="D102" s="3">
        <v>4</v>
      </c>
      <c r="E102" s="43" t="s">
        <v>364</v>
      </c>
      <c r="F102" s="769" t="s">
        <v>20</v>
      </c>
      <c r="G102" s="6">
        <v>25</v>
      </c>
      <c r="H102" s="4"/>
      <c r="I102" s="4">
        <v>10</v>
      </c>
      <c r="J102" s="657">
        <v>2</v>
      </c>
      <c r="K102" s="591">
        <v>4330.3571428571422</v>
      </c>
      <c r="L102" s="181">
        <f>K102*G102</f>
        <v>108258.92857142855</v>
      </c>
      <c r="M102" s="660"/>
      <c r="N102" s="591">
        <f>4850/1.12</f>
        <v>4330.3571428571422</v>
      </c>
      <c r="O102" s="181">
        <f>I102*N102</f>
        <v>43303.57142857142</v>
      </c>
      <c r="P102" s="644" t="s">
        <v>416</v>
      </c>
      <c r="Q102" s="8"/>
      <c r="R102" s="659"/>
      <c r="S102" s="470"/>
      <c r="T102" s="471"/>
      <c r="U102" s="659"/>
      <c r="V102" s="659"/>
      <c r="W102" s="470"/>
      <c r="X102" s="471">
        <v>10708.98</v>
      </c>
      <c r="Y102" s="659">
        <f>X102*4</f>
        <v>42835.92</v>
      </c>
      <c r="Z102" s="659" t="s">
        <v>418</v>
      </c>
      <c r="AA102" s="470"/>
    </row>
    <row r="103" spans="4:28" ht="21.75" customHeight="1" thickBot="1" x14ac:dyDescent="0.4">
      <c r="G103" s="4"/>
      <c r="H103" s="4"/>
      <c r="I103" s="4"/>
      <c r="J103" s="657"/>
      <c r="K103" s="657"/>
      <c r="L103" s="799">
        <f>L99</f>
        <v>110000</v>
      </c>
      <c r="M103" s="657"/>
      <c r="N103" s="657"/>
      <c r="O103" s="780">
        <f>O102</f>
        <v>43303.57142857142</v>
      </c>
      <c r="P103" s="4"/>
      <c r="Q103" s="4"/>
      <c r="R103" s="800">
        <f>R99</f>
        <v>158000</v>
      </c>
      <c r="U103" s="780">
        <f>U99+U101</f>
        <v>116064.6</v>
      </c>
      <c r="Y103" s="37">
        <f>SUM(Y100:Y102)</f>
        <v>42835.92</v>
      </c>
    </row>
    <row r="104" spans="4:28" ht="15" thickBot="1" x14ac:dyDescent="0.35">
      <c r="G104" s="4"/>
      <c r="H104" s="4"/>
      <c r="I104" s="4"/>
      <c r="J104" s="657"/>
      <c r="K104" s="657"/>
      <c r="L104" s="657"/>
      <c r="M104" s="657"/>
      <c r="N104" s="657"/>
      <c r="O104" s="657"/>
      <c r="P104" s="4"/>
      <c r="Q104" s="4"/>
      <c r="X104" s="40" t="s">
        <v>419</v>
      </c>
      <c r="Y104" s="37">
        <f>Y103*0.12</f>
        <v>5140.3103999999994</v>
      </c>
    </row>
    <row r="105" spans="4:28" ht="29.25" customHeight="1" thickBot="1" x14ac:dyDescent="0.35">
      <c r="G105" s="4"/>
      <c r="H105" s="4"/>
      <c r="I105" s="4"/>
      <c r="J105" s="657"/>
      <c r="K105" s="657"/>
      <c r="L105" s="661" t="s">
        <v>10</v>
      </c>
      <c r="M105" s="662">
        <f>O103+U103+Y103</f>
        <v>202204.09142857144</v>
      </c>
      <c r="N105" s="657"/>
      <c r="O105" s="657"/>
      <c r="P105" s="43"/>
      <c r="Q105" s="43"/>
      <c r="X105" s="40" t="s">
        <v>10</v>
      </c>
      <c r="Y105" s="37">
        <f>Y103+Y104</f>
        <v>47976.2304</v>
      </c>
    </row>
    <row r="106" spans="4:28" x14ac:dyDescent="0.3">
      <c r="D106" s="1261"/>
      <c r="E106" s="293" t="s">
        <v>375</v>
      </c>
      <c r="F106" s="293" t="s">
        <v>7</v>
      </c>
      <c r="G106" s="786" t="s">
        <v>8</v>
      </c>
      <c r="H106" s="4"/>
      <c r="I106" s="4"/>
      <c r="J106" s="657"/>
      <c r="K106" s="657"/>
      <c r="L106" s="657"/>
      <c r="M106" s="657"/>
      <c r="N106" s="657"/>
      <c r="O106" s="657"/>
      <c r="P106" s="43"/>
      <c r="Q106" s="43"/>
    </row>
    <row r="107" spans="4:28" x14ac:dyDescent="0.3">
      <c r="D107" s="296">
        <v>1</v>
      </c>
      <c r="E107" s="783" t="s">
        <v>368</v>
      </c>
      <c r="F107" s="296" t="s">
        <v>20</v>
      </c>
      <c r="G107" s="296">
        <v>4</v>
      </c>
      <c r="H107" s="4"/>
      <c r="I107" s="4"/>
      <c r="J107" s="6"/>
      <c r="K107" s="25"/>
      <c r="L107" s="658"/>
      <c r="M107" s="25"/>
      <c r="N107" s="25"/>
      <c r="O107" s="25"/>
      <c r="P107" s="43"/>
      <c r="Q107" s="43"/>
      <c r="AB107" s="40">
        <f>X102*0.12</f>
        <v>1285.0775999999998</v>
      </c>
    </row>
    <row r="108" spans="4:28" x14ac:dyDescent="0.3">
      <c r="D108" s="296">
        <v>2</v>
      </c>
      <c r="E108" s="783" t="s">
        <v>369</v>
      </c>
      <c r="F108" s="296" t="s">
        <v>20</v>
      </c>
      <c r="G108" s="296">
        <v>4</v>
      </c>
      <c r="H108" s="4"/>
      <c r="I108" s="4"/>
      <c r="J108" s="6"/>
      <c r="K108" s="25"/>
      <c r="L108" s="25"/>
      <c r="M108" s="25"/>
      <c r="N108" s="25"/>
      <c r="O108" s="25"/>
      <c r="P108" s="43"/>
      <c r="Q108" s="43"/>
      <c r="AB108" s="40">
        <f>X102+AB107</f>
        <v>11994.0576</v>
      </c>
    </row>
    <row r="109" spans="4:28" x14ac:dyDescent="0.3">
      <c r="D109" s="296">
        <v>3</v>
      </c>
      <c r="E109" s="783" t="s">
        <v>370</v>
      </c>
      <c r="F109" s="296" t="s">
        <v>20</v>
      </c>
      <c r="G109" s="296">
        <v>1</v>
      </c>
      <c r="H109" s="4"/>
      <c r="I109" s="4"/>
      <c r="J109" s="6"/>
      <c r="K109" s="6"/>
      <c r="L109" s="6"/>
      <c r="M109" s="6"/>
      <c r="N109" s="6"/>
      <c r="O109" s="6"/>
      <c r="P109" s="43"/>
      <c r="Q109" s="43"/>
      <c r="X109" s="40">
        <v>10709</v>
      </c>
      <c r="Y109" s="40">
        <v>0.12</v>
      </c>
      <c r="Z109" s="40">
        <f>X109*Y109</f>
        <v>1285.08</v>
      </c>
    </row>
    <row r="110" spans="4:28" ht="18" x14ac:dyDescent="0.35">
      <c r="D110" s="296">
        <v>4</v>
      </c>
      <c r="E110" s="783" t="s">
        <v>371</v>
      </c>
      <c r="F110" s="296" t="s">
        <v>20</v>
      </c>
      <c r="G110" s="296">
        <v>3</v>
      </c>
      <c r="H110" s="4"/>
      <c r="I110" s="4"/>
      <c r="J110" s="6"/>
      <c r="K110" s="36"/>
      <c r="L110" s="51"/>
      <c r="M110" s="52"/>
      <c r="N110" s="51"/>
      <c r="O110" s="53"/>
      <c r="Q110" s="37"/>
    </row>
    <row r="111" spans="4:28" x14ac:dyDescent="0.3">
      <c r="D111" s="296">
        <v>5</v>
      </c>
      <c r="E111" s="783" t="s">
        <v>372</v>
      </c>
      <c r="F111" s="296" t="s">
        <v>20</v>
      </c>
      <c r="G111" s="296">
        <v>3</v>
      </c>
      <c r="J111" s="43"/>
      <c r="K111" s="43"/>
      <c r="L111" s="43"/>
      <c r="M111" s="781"/>
      <c r="N111" s="43"/>
      <c r="O111" s="43"/>
      <c r="Y111" s="40">
        <f>X109-Z109</f>
        <v>9423.92</v>
      </c>
    </row>
    <row r="112" spans="4:28" x14ac:dyDescent="0.3">
      <c r="D112" s="296">
        <v>6</v>
      </c>
      <c r="E112" s="783" t="s">
        <v>373</v>
      </c>
      <c r="F112" s="296" t="s">
        <v>20</v>
      </c>
      <c r="G112" s="296">
        <v>1</v>
      </c>
      <c r="J112" s="43"/>
      <c r="K112" s="43"/>
      <c r="L112" s="43"/>
      <c r="M112" s="43"/>
      <c r="N112" s="43"/>
      <c r="O112" s="43"/>
    </row>
    <row r="113" spans="4:24" ht="15.6" x14ac:dyDescent="0.3">
      <c r="D113" s="296">
        <v>7</v>
      </c>
      <c r="E113" s="783" t="s">
        <v>377</v>
      </c>
      <c r="F113" s="296" t="s">
        <v>12</v>
      </c>
      <c r="G113" s="296">
        <v>20</v>
      </c>
      <c r="J113" s="43"/>
      <c r="K113" s="43"/>
      <c r="L113" s="1834"/>
      <c r="M113" s="1834"/>
      <c r="N113" s="43"/>
      <c r="O113" s="43"/>
    </row>
    <row r="114" spans="4:24" x14ac:dyDescent="0.3">
      <c r="D114" s="296">
        <v>8</v>
      </c>
      <c r="E114" s="783" t="s">
        <v>378</v>
      </c>
      <c r="F114" s="296" t="s">
        <v>15</v>
      </c>
      <c r="G114" s="296">
        <v>1</v>
      </c>
      <c r="J114" s="43"/>
      <c r="K114" s="43"/>
      <c r="L114" s="43"/>
      <c r="M114" s="43"/>
      <c r="N114" s="43"/>
      <c r="O114" s="43"/>
    </row>
    <row r="115" spans="4:24" ht="15.6" x14ac:dyDescent="0.3">
      <c r="D115" s="296">
        <v>9</v>
      </c>
      <c r="E115" s="783" t="s">
        <v>379</v>
      </c>
      <c r="F115" s="296" t="s">
        <v>20</v>
      </c>
      <c r="G115" s="296">
        <v>2</v>
      </c>
      <c r="J115" s="43"/>
      <c r="K115" s="43"/>
      <c r="L115" s="1834"/>
      <c r="M115" s="1834"/>
      <c r="N115" s="43"/>
      <c r="O115" s="43"/>
      <c r="X115" s="801"/>
    </row>
    <row r="116" spans="4:24" x14ac:dyDescent="0.3">
      <c r="D116" s="296">
        <v>10</v>
      </c>
      <c r="E116" s="783" t="s">
        <v>374</v>
      </c>
      <c r="F116" s="296" t="s">
        <v>20</v>
      </c>
      <c r="G116" s="296">
        <v>1</v>
      </c>
      <c r="J116" s="43"/>
      <c r="K116" s="43"/>
      <c r="L116" s="43"/>
      <c r="M116" s="43"/>
      <c r="N116" s="43"/>
      <c r="O116" s="43"/>
    </row>
    <row r="117" spans="4:24" x14ac:dyDescent="0.3">
      <c r="D117" s="296">
        <v>11</v>
      </c>
      <c r="E117" s="783" t="s">
        <v>376</v>
      </c>
      <c r="F117" s="296" t="s">
        <v>20</v>
      </c>
      <c r="G117" s="296">
        <v>4</v>
      </c>
      <c r="J117" s="43"/>
      <c r="K117" s="43"/>
      <c r="L117" s="43"/>
      <c r="M117" s="43"/>
      <c r="N117" s="43"/>
      <c r="O117" s="43"/>
    </row>
    <row r="118" spans="4:24" x14ac:dyDescent="0.3">
      <c r="D118" s="296">
        <v>12</v>
      </c>
      <c r="E118" s="783" t="s">
        <v>381</v>
      </c>
      <c r="F118" s="296" t="s">
        <v>20</v>
      </c>
      <c r="G118" s="296">
        <v>3</v>
      </c>
      <c r="J118" s="43"/>
      <c r="K118" s="43"/>
      <c r="L118" s="43"/>
      <c r="M118" s="43"/>
      <c r="N118" s="43"/>
      <c r="O118" s="43"/>
    </row>
    <row r="119" spans="4:24" ht="15" thickBot="1" x14ac:dyDescent="0.35">
      <c r="D119" s="785">
        <v>13</v>
      </c>
      <c r="E119" s="784" t="s">
        <v>380</v>
      </c>
      <c r="F119" s="785" t="s">
        <v>20</v>
      </c>
      <c r="G119" s="785">
        <v>1</v>
      </c>
      <c r="J119" s="43"/>
      <c r="K119" s="43"/>
      <c r="L119" s="43"/>
      <c r="M119" s="43"/>
      <c r="N119" s="43"/>
      <c r="O119" s="43"/>
    </row>
    <row r="120" spans="4:24" x14ac:dyDescent="0.3">
      <c r="J120" s="43"/>
      <c r="K120" s="43"/>
      <c r="L120" s="43"/>
      <c r="M120" s="43"/>
      <c r="N120" s="43"/>
      <c r="O120" s="43"/>
    </row>
    <row r="121" spans="4:24" x14ac:dyDescent="0.3">
      <c r="J121" s="43"/>
      <c r="K121" s="43"/>
      <c r="L121" s="43"/>
      <c r="M121" s="43"/>
      <c r="N121" s="43"/>
      <c r="O121" s="43"/>
    </row>
    <row r="122" spans="4:24" x14ac:dyDescent="0.3">
      <c r="J122" s="43"/>
      <c r="K122" s="43"/>
      <c r="L122" s="43"/>
      <c r="M122" s="43"/>
      <c r="N122" s="43"/>
      <c r="O122" s="43"/>
    </row>
    <row r="123" spans="4:24" x14ac:dyDescent="0.3">
      <c r="J123" s="43"/>
      <c r="K123" s="43"/>
      <c r="L123" s="43"/>
      <c r="M123" s="43"/>
      <c r="N123" s="43"/>
      <c r="O123" s="43"/>
    </row>
    <row r="128" spans="4:24" ht="15" thickBot="1" x14ac:dyDescent="0.35"/>
    <row r="129" spans="4:15" ht="18" x14ac:dyDescent="0.35">
      <c r="E129" s="54" t="s">
        <v>411</v>
      </c>
      <c r="J129" s="1948" t="s">
        <v>21</v>
      </c>
      <c r="K129" s="1949"/>
      <c r="L129" s="1949"/>
      <c r="M129" s="1949"/>
      <c r="N129" s="1949"/>
      <c r="O129" s="1950"/>
    </row>
    <row r="130" spans="4:15" ht="15" thickBot="1" x14ac:dyDescent="0.35">
      <c r="J130" s="1951"/>
      <c r="K130" s="1952"/>
      <c r="L130" s="1952"/>
      <c r="M130" s="1952"/>
      <c r="N130" s="1952"/>
      <c r="O130" s="1953"/>
    </row>
    <row r="131" spans="4:15" ht="29.25" customHeight="1" x14ac:dyDescent="0.3">
      <c r="D131" s="175" t="s">
        <v>5</v>
      </c>
      <c r="E131" s="3" t="s">
        <v>6</v>
      </c>
      <c r="F131" s="175" t="s">
        <v>7</v>
      </c>
      <c r="G131" s="175" t="s">
        <v>8</v>
      </c>
      <c r="H131" s="43"/>
      <c r="I131" s="2"/>
      <c r="J131" s="763" t="s">
        <v>9</v>
      </c>
      <c r="K131" s="764" t="s">
        <v>10</v>
      </c>
      <c r="L131" s="763" t="s">
        <v>9</v>
      </c>
      <c r="M131" s="764" t="s">
        <v>10</v>
      </c>
      <c r="N131" s="763" t="s">
        <v>9</v>
      </c>
      <c r="O131" s="764" t="s">
        <v>10</v>
      </c>
    </row>
    <row r="132" spans="4:15" ht="43.8" thickBot="1" x14ac:dyDescent="0.35">
      <c r="D132" s="3">
        <v>1</v>
      </c>
      <c r="E132" s="809" t="s">
        <v>410</v>
      </c>
      <c r="F132" s="175" t="s">
        <v>68</v>
      </c>
      <c r="G132" s="176">
        <v>1</v>
      </c>
      <c r="H132" s="177"/>
      <c r="I132" s="178">
        <f>G132*H132</f>
        <v>0</v>
      </c>
      <c r="J132" s="591">
        <v>7000</v>
      </c>
      <c r="K132" s="644">
        <f>J132*G132</f>
        <v>7000</v>
      </c>
      <c r="L132" s="591"/>
      <c r="M132" s="644"/>
      <c r="N132" s="591"/>
      <c r="O132" s="644"/>
    </row>
    <row r="133" spans="4:15" x14ac:dyDescent="0.3">
      <c r="J133" s="40" t="s">
        <v>412</v>
      </c>
    </row>
    <row r="136" spans="4:15" ht="15" thickBot="1" x14ac:dyDescent="0.35"/>
    <row r="137" spans="4:15" ht="21.6" thickBot="1" x14ac:dyDescent="0.45">
      <c r="J137" s="1944" t="s">
        <v>425</v>
      </c>
      <c r="K137" s="1945"/>
      <c r="L137" s="1945"/>
      <c r="M137" s="1945"/>
      <c r="N137" s="1945"/>
      <c r="O137" s="1946"/>
    </row>
    <row r="138" spans="4:15" ht="15" thickBot="1" x14ac:dyDescent="0.35">
      <c r="J138" s="1940" t="s">
        <v>0</v>
      </c>
      <c r="K138" s="1942"/>
      <c r="L138" s="43"/>
      <c r="M138" s="43"/>
      <c r="N138" s="43"/>
      <c r="O138" s="2"/>
    </row>
    <row r="139" spans="4:15" ht="15" thickBot="1" x14ac:dyDescent="0.35">
      <c r="J139" s="802" t="s">
        <v>3</v>
      </c>
      <c r="K139" s="776" t="s">
        <v>4</v>
      </c>
      <c r="L139" s="43"/>
      <c r="M139" s="43"/>
      <c r="N139" s="43"/>
      <c r="O139" s="2"/>
    </row>
    <row r="140" spans="4:15" ht="16.2" thickBot="1" x14ac:dyDescent="0.35">
      <c r="J140" s="1933" t="s">
        <v>424</v>
      </c>
      <c r="K140" s="1943"/>
      <c r="L140" s="43"/>
      <c r="M140" s="43"/>
      <c r="N140" s="43"/>
      <c r="O140" s="2"/>
    </row>
    <row r="141" spans="4:15" ht="15" thickBot="1" x14ac:dyDescent="0.35">
      <c r="D141" s="803" t="s">
        <v>5</v>
      </c>
      <c r="E141" s="795" t="s">
        <v>6</v>
      </c>
      <c r="F141" s="804" t="s">
        <v>7</v>
      </c>
      <c r="G141" s="805" t="s">
        <v>8</v>
      </c>
      <c r="H141" s="43"/>
      <c r="J141" s="797" t="s">
        <v>9</v>
      </c>
      <c r="K141" s="798" t="s">
        <v>10</v>
      </c>
      <c r="L141" s="43"/>
      <c r="M141" s="43"/>
      <c r="N141" s="43"/>
      <c r="O141" s="2"/>
    </row>
    <row r="142" spans="4:15" ht="15" thickBot="1" x14ac:dyDescent="0.35">
      <c r="D142" s="796">
        <v>1</v>
      </c>
      <c r="E142" s="648" t="s">
        <v>423</v>
      </c>
      <c r="F142" s="220" t="s">
        <v>68</v>
      </c>
      <c r="G142" s="644">
        <v>20</v>
      </c>
      <c r="H142" s="43"/>
      <c r="J142" s="591">
        <v>597.13</v>
      </c>
      <c r="K142" s="644">
        <f>J142*G142</f>
        <v>11942.6</v>
      </c>
      <c r="L142" s="659"/>
      <c r="M142" s="659"/>
      <c r="N142" s="659"/>
      <c r="O142" s="470"/>
    </row>
    <row r="150" spans="5:10" ht="15" thickBot="1" x14ac:dyDescent="0.35"/>
    <row r="151" spans="5:10" x14ac:dyDescent="0.3">
      <c r="E151" s="43"/>
      <c r="F151" s="1836"/>
      <c r="G151" s="1923"/>
      <c r="H151" s="1924"/>
      <c r="I151" s="1921" t="s">
        <v>8</v>
      </c>
      <c r="J151" s="1922"/>
    </row>
    <row r="152" spans="5:10" x14ac:dyDescent="0.3">
      <c r="E152" s="43"/>
      <c r="F152" s="1925"/>
      <c r="G152" s="1926"/>
      <c r="H152" s="1927"/>
      <c r="I152" s="909" t="s">
        <v>455</v>
      </c>
      <c r="J152" s="910" t="s">
        <v>456</v>
      </c>
    </row>
    <row r="153" spans="5:10" x14ac:dyDescent="0.3">
      <c r="E153" s="902"/>
      <c r="F153" s="777" t="s">
        <v>457</v>
      </c>
      <c r="G153" s="66" t="s">
        <v>458</v>
      </c>
      <c r="H153" s="66" t="s">
        <v>459</v>
      </c>
      <c r="I153" s="66" t="s">
        <v>23</v>
      </c>
      <c r="J153" s="778" t="s">
        <v>23</v>
      </c>
    </row>
    <row r="154" spans="5:10" x14ac:dyDescent="0.3">
      <c r="E154" s="902"/>
      <c r="F154" s="777">
        <v>1</v>
      </c>
      <c r="G154" s="911">
        <v>42306</v>
      </c>
      <c r="H154" s="66" t="s">
        <v>460</v>
      </c>
      <c r="I154" s="66">
        <v>30</v>
      </c>
      <c r="J154" s="778">
        <f>I154</f>
        <v>30</v>
      </c>
    </row>
    <row r="155" spans="5:10" x14ac:dyDescent="0.3">
      <c r="E155" s="902"/>
      <c r="F155" s="777">
        <f>F154+1</f>
        <v>2</v>
      </c>
      <c r="G155" s="911">
        <v>42311</v>
      </c>
      <c r="H155" s="66" t="s">
        <v>461</v>
      </c>
      <c r="I155" s="66">
        <v>30</v>
      </c>
      <c r="J155" s="778">
        <f>I155+J154</f>
        <v>60</v>
      </c>
    </row>
    <row r="156" spans="5:10" x14ac:dyDescent="0.3">
      <c r="E156" s="902"/>
      <c r="F156" s="777">
        <f t="shared" ref="F156:F165" si="2">F155+1</f>
        <v>3</v>
      </c>
      <c r="G156" s="911">
        <v>42313</v>
      </c>
      <c r="H156" s="66" t="s">
        <v>460</v>
      </c>
      <c r="I156" s="66">
        <v>30</v>
      </c>
      <c r="J156" s="778">
        <f t="shared" ref="J156:J165" si="3">I156+J155</f>
        <v>90</v>
      </c>
    </row>
    <row r="157" spans="5:10" x14ac:dyDescent="0.3">
      <c r="E157" s="902"/>
      <c r="F157" s="777">
        <f t="shared" si="2"/>
        <v>4</v>
      </c>
      <c r="G157" s="911">
        <v>42317</v>
      </c>
      <c r="H157" s="66" t="s">
        <v>461</v>
      </c>
      <c r="I157" s="66">
        <v>30</v>
      </c>
      <c r="J157" s="778">
        <f t="shared" si="3"/>
        <v>120</v>
      </c>
    </row>
    <row r="158" spans="5:10" x14ac:dyDescent="0.3">
      <c r="E158" s="902"/>
      <c r="F158" s="777">
        <f t="shared" si="2"/>
        <v>5</v>
      </c>
      <c r="G158" s="911">
        <v>42319</v>
      </c>
      <c r="H158" s="66" t="s">
        <v>460</v>
      </c>
      <c r="I158" s="66">
        <v>30</v>
      </c>
      <c r="J158" s="778">
        <f t="shared" si="3"/>
        <v>150</v>
      </c>
    </row>
    <row r="159" spans="5:10" x14ac:dyDescent="0.3">
      <c r="E159" s="902"/>
      <c r="F159" s="777">
        <f t="shared" si="2"/>
        <v>6</v>
      </c>
      <c r="G159" s="911">
        <v>42321</v>
      </c>
      <c r="H159" s="66" t="s">
        <v>461</v>
      </c>
      <c r="I159" s="66">
        <v>30</v>
      </c>
      <c r="J159" s="778">
        <f t="shared" si="3"/>
        <v>180</v>
      </c>
    </row>
    <row r="160" spans="5:10" x14ac:dyDescent="0.3">
      <c r="E160" s="902"/>
      <c r="F160" s="777">
        <f t="shared" si="2"/>
        <v>7</v>
      </c>
      <c r="G160" s="911">
        <v>42325</v>
      </c>
      <c r="H160" s="66" t="s">
        <v>460</v>
      </c>
      <c r="I160" s="66">
        <v>30</v>
      </c>
      <c r="J160" s="778">
        <f t="shared" si="3"/>
        <v>210</v>
      </c>
    </row>
    <row r="161" spans="3:10" x14ac:dyDescent="0.3">
      <c r="E161" s="902"/>
      <c r="F161" s="777">
        <f t="shared" si="2"/>
        <v>8</v>
      </c>
      <c r="G161" s="911">
        <v>42327</v>
      </c>
      <c r="H161" s="66" t="s">
        <v>461</v>
      </c>
      <c r="I161" s="66">
        <v>30</v>
      </c>
      <c r="J161" s="778">
        <f t="shared" si="3"/>
        <v>240</v>
      </c>
    </row>
    <row r="162" spans="3:10" x14ac:dyDescent="0.3">
      <c r="E162" s="902"/>
      <c r="F162" s="777">
        <f t="shared" si="2"/>
        <v>9</v>
      </c>
      <c r="G162" s="911">
        <v>42332</v>
      </c>
      <c r="H162" s="66" t="s">
        <v>460</v>
      </c>
      <c r="I162" s="66">
        <v>30</v>
      </c>
      <c r="J162" s="778">
        <f t="shared" si="3"/>
        <v>270</v>
      </c>
    </row>
    <row r="163" spans="3:10" x14ac:dyDescent="0.3">
      <c r="E163" s="902"/>
      <c r="F163" s="777">
        <f t="shared" si="2"/>
        <v>10</v>
      </c>
      <c r="G163" s="911">
        <v>42334</v>
      </c>
      <c r="H163" s="66" t="s">
        <v>461</v>
      </c>
      <c r="I163" s="66">
        <v>30</v>
      </c>
      <c r="J163" s="778">
        <f t="shared" si="3"/>
        <v>300</v>
      </c>
    </row>
    <row r="164" spans="3:10" x14ac:dyDescent="0.3">
      <c r="E164" s="902"/>
      <c r="F164" s="777">
        <f t="shared" si="2"/>
        <v>11</v>
      </c>
      <c r="G164" s="911">
        <v>42339</v>
      </c>
      <c r="H164" s="66" t="s">
        <v>460</v>
      </c>
      <c r="I164" s="66">
        <v>30</v>
      </c>
      <c r="J164" s="778">
        <f t="shared" si="3"/>
        <v>330</v>
      </c>
    </row>
    <row r="165" spans="3:10" ht="15" thickBot="1" x14ac:dyDescent="0.35">
      <c r="E165" s="902"/>
      <c r="F165" s="905">
        <f t="shared" si="2"/>
        <v>12</v>
      </c>
      <c r="G165" s="912">
        <v>42341</v>
      </c>
      <c r="H165" s="906" t="s">
        <v>461</v>
      </c>
      <c r="I165" s="906">
        <v>30</v>
      </c>
      <c r="J165" s="913">
        <f t="shared" si="3"/>
        <v>360</v>
      </c>
    </row>
    <row r="170" spans="3:10" ht="15" thickBot="1" x14ac:dyDescent="0.35"/>
    <row r="171" spans="3:10" x14ac:dyDescent="0.3">
      <c r="C171" s="803" t="s">
        <v>5</v>
      </c>
      <c r="D171" s="999" t="s">
        <v>6</v>
      </c>
      <c r="E171" s="804" t="s">
        <v>7</v>
      </c>
      <c r="F171" s="805" t="s">
        <v>8</v>
      </c>
    </row>
    <row r="172" spans="3:10" ht="70.5" customHeight="1" thickBot="1" x14ac:dyDescent="0.35">
      <c r="C172" s="1000">
        <v>1</v>
      </c>
      <c r="D172" s="1001" t="s">
        <v>410</v>
      </c>
      <c r="E172" s="220" t="s">
        <v>50</v>
      </c>
      <c r="F172" s="644">
        <f>G16</f>
        <v>1239.06</v>
      </c>
    </row>
    <row r="174" spans="3:10" ht="18" x14ac:dyDescent="0.35">
      <c r="F174" s="54"/>
    </row>
    <row r="176" spans="3:10" x14ac:dyDescent="0.3">
      <c r="E176" s="175"/>
      <c r="F176" s="3"/>
      <c r="G176" s="175"/>
      <c r="H176" s="175"/>
    </row>
    <row r="177" spans="5:8" x14ac:dyDescent="0.3">
      <c r="E177" s="3"/>
      <c r="F177" s="809"/>
      <c r="G177" s="175"/>
      <c r="H177" s="176"/>
    </row>
  </sheetData>
  <mergeCells count="51">
    <mergeCell ref="J60:O60"/>
    <mergeCell ref="J61:K61"/>
    <mergeCell ref="L61:M61"/>
    <mergeCell ref="N61:O61"/>
    <mergeCell ref="J63:K63"/>
    <mergeCell ref="L63:M63"/>
    <mergeCell ref="N63:O63"/>
    <mergeCell ref="J138:K138"/>
    <mergeCell ref="J140:K140"/>
    <mergeCell ref="J137:O137"/>
    <mergeCell ref="E9:O9"/>
    <mergeCell ref="J10:O10"/>
    <mergeCell ref="J11:K11"/>
    <mergeCell ref="L11:M11"/>
    <mergeCell ref="N11:O11"/>
    <mergeCell ref="N18:O19"/>
    <mergeCell ref="K96:AA96"/>
    <mergeCell ref="J129:O130"/>
    <mergeCell ref="L25:M25"/>
    <mergeCell ref="N25:O25"/>
    <mergeCell ref="L115:M115"/>
    <mergeCell ref="L113:M113"/>
    <mergeCell ref="J25:K25"/>
    <mergeCell ref="J43:K43"/>
    <mergeCell ref="L43:M43"/>
    <mergeCell ref="N43:O43"/>
    <mergeCell ref="J45:K45"/>
    <mergeCell ref="L45:M45"/>
    <mergeCell ref="N45:O45"/>
    <mergeCell ref="P11:Q11"/>
    <mergeCell ref="J13:K14"/>
    <mergeCell ref="L13:M14"/>
    <mergeCell ref="P13:Q13"/>
    <mergeCell ref="P14:Q14"/>
    <mergeCell ref="N13:O14"/>
    <mergeCell ref="I151:J151"/>
    <mergeCell ref="F151:H152"/>
    <mergeCell ref="R13:Y13"/>
    <mergeCell ref="K97:M97"/>
    <mergeCell ref="N97:P97"/>
    <mergeCell ref="J18:K19"/>
    <mergeCell ref="J27:K27"/>
    <mergeCell ref="L27:M27"/>
    <mergeCell ref="N27:O27"/>
    <mergeCell ref="Q97:S97"/>
    <mergeCell ref="T97:W97"/>
    <mergeCell ref="L18:M19"/>
    <mergeCell ref="J20:K20"/>
    <mergeCell ref="J24:O24"/>
    <mergeCell ref="X97:AA97"/>
    <mergeCell ref="J42:O4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0000"/>
  </sheetPr>
  <dimension ref="D8:AB54"/>
  <sheetViews>
    <sheetView topLeftCell="E58" zoomScale="110" zoomScaleNormal="110" workbookViewId="0">
      <selection activeCell="K35" sqref="K35"/>
    </sheetView>
  </sheetViews>
  <sheetFormatPr baseColWidth="10" defaultColWidth="11.44140625" defaultRowHeight="14.4" x14ac:dyDescent="0.3"/>
  <cols>
    <col min="1" max="4" width="11.44140625" style="40"/>
    <col min="5" max="5" width="51" style="40" customWidth="1"/>
    <col min="6" max="6" width="15.109375" style="40" customWidth="1"/>
    <col min="7" max="7" width="17.44140625" style="40" customWidth="1"/>
    <col min="8" max="8" width="11.5546875" style="40" bestFit="1" customWidth="1"/>
    <col min="9" max="9" width="12.5546875" style="40" bestFit="1" customWidth="1"/>
    <col min="10" max="10" width="14.33203125" style="40" customWidth="1"/>
    <col min="11" max="11" width="24.44140625" style="40" customWidth="1"/>
    <col min="12" max="12" width="18" style="40" customWidth="1"/>
    <col min="13" max="13" width="23.44140625" style="40" customWidth="1"/>
    <col min="14" max="14" width="18.88671875" style="40" customWidth="1"/>
    <col min="15" max="15" width="19.109375" style="40" customWidth="1"/>
    <col min="16" max="16" width="20" style="40" customWidth="1"/>
    <col min="17" max="17" width="14.44140625" style="40" customWidth="1"/>
    <col min="18" max="18" width="17.44140625" style="40" customWidth="1"/>
    <col min="19" max="19" width="17.6640625" style="40" customWidth="1"/>
    <col min="20" max="20" width="11.44140625" style="40"/>
    <col min="21" max="21" width="16.33203125" style="40" customWidth="1"/>
    <col min="22" max="22" width="17.88671875" style="40" customWidth="1"/>
    <col min="23" max="23" width="11.44140625" style="40"/>
    <col min="24" max="24" width="12.109375" style="40" bestFit="1" customWidth="1"/>
    <col min="25" max="25" width="12.5546875" style="40" bestFit="1" customWidth="1"/>
    <col min="26" max="26" width="17.33203125" style="40" customWidth="1"/>
    <col min="27" max="16384" width="11.44140625" style="40"/>
  </cols>
  <sheetData>
    <row r="8" spans="4:28" ht="15" x14ac:dyDescent="0.25">
      <c r="H8" s="43"/>
      <c r="I8" s="43"/>
    </row>
    <row r="9" spans="4:28" ht="23.25" x14ac:dyDescent="0.35">
      <c r="E9" s="1947" t="s">
        <v>874</v>
      </c>
      <c r="F9" s="1947"/>
      <c r="G9" s="1947"/>
      <c r="H9" s="1947"/>
      <c r="I9" s="1947"/>
      <c r="J9" s="1947"/>
      <c r="K9" s="1947"/>
      <c r="L9" s="1947"/>
      <c r="M9" s="1947"/>
      <c r="N9" s="1947"/>
      <c r="O9" s="1947"/>
    </row>
    <row r="10" spans="4:28" ht="24" thickBot="1" x14ac:dyDescent="0.4">
      <c r="E10" s="925"/>
      <c r="F10" s="925"/>
      <c r="G10" s="925"/>
      <c r="H10" s="925"/>
      <c r="I10" s="925"/>
      <c r="J10" s="925"/>
      <c r="K10" s="925"/>
      <c r="L10" s="925"/>
      <c r="M10" s="925"/>
      <c r="N10" s="925"/>
      <c r="O10" s="925"/>
    </row>
    <row r="11" spans="4:28" ht="15.75" thickBot="1" x14ac:dyDescent="0.3">
      <c r="I11" s="2"/>
      <c r="J11" s="1864" t="s">
        <v>21</v>
      </c>
      <c r="K11" s="1864"/>
      <c r="L11" s="1864"/>
      <c r="M11" s="1864"/>
      <c r="N11" s="1864"/>
      <c r="O11" s="1865"/>
    </row>
    <row r="12" spans="4:28" ht="15" x14ac:dyDescent="0.25">
      <c r="I12" s="2"/>
      <c r="J12" s="1838" t="s">
        <v>0</v>
      </c>
      <c r="K12" s="1839"/>
      <c r="L12" s="1941" t="s">
        <v>0</v>
      </c>
      <c r="M12" s="1838"/>
      <c r="N12" s="1836" t="s">
        <v>0</v>
      </c>
      <c r="O12" s="1837"/>
      <c r="P12" s="1836" t="s">
        <v>0</v>
      </c>
      <c r="Q12" s="1837"/>
      <c r="R12" s="1836" t="s">
        <v>0</v>
      </c>
      <c r="S12" s="1837"/>
    </row>
    <row r="13" spans="4:28" ht="19.5" thickBot="1" x14ac:dyDescent="0.35">
      <c r="I13" s="2"/>
      <c r="J13" s="930" t="s">
        <v>1</v>
      </c>
      <c r="K13" s="195" t="s">
        <v>2</v>
      </c>
      <c r="L13" s="932" t="s">
        <v>1</v>
      </c>
      <c r="M13" s="281" t="s">
        <v>2</v>
      </c>
      <c r="N13" s="231" t="s">
        <v>3</v>
      </c>
      <c r="O13" s="232" t="s">
        <v>2</v>
      </c>
      <c r="P13" s="231" t="s">
        <v>3</v>
      </c>
      <c r="Q13" s="950" t="s">
        <v>2</v>
      </c>
      <c r="R13" s="951" t="s">
        <v>3</v>
      </c>
      <c r="S13" s="160" t="s">
        <v>2</v>
      </c>
      <c r="T13" s="43"/>
      <c r="U13" s="43"/>
      <c r="V13" s="43"/>
      <c r="W13" s="43"/>
      <c r="X13" s="43"/>
      <c r="Y13" s="43"/>
      <c r="Z13" s="43"/>
      <c r="AA13" s="43"/>
      <c r="AB13" s="43"/>
    </row>
    <row r="14" spans="4:28" x14ac:dyDescent="0.3">
      <c r="I14" s="2"/>
      <c r="J14" s="1845" t="s">
        <v>482</v>
      </c>
      <c r="K14" s="1846"/>
      <c r="L14" s="1849" t="s">
        <v>490</v>
      </c>
      <c r="M14" s="1845"/>
      <c r="N14" s="1857" t="s">
        <v>489</v>
      </c>
      <c r="O14" s="1858"/>
      <c r="P14" s="1857" t="s">
        <v>83</v>
      </c>
      <c r="Q14" s="1858"/>
      <c r="R14" s="1857" t="s">
        <v>133</v>
      </c>
      <c r="S14" s="1858"/>
      <c r="T14" s="949"/>
      <c r="U14" s="949"/>
      <c r="V14" s="949"/>
      <c r="W14" s="949"/>
      <c r="X14" s="949"/>
      <c r="Y14" s="949"/>
      <c r="Z14" s="937"/>
      <c r="AA14" s="43"/>
      <c r="AB14" s="43"/>
    </row>
    <row r="15" spans="4:28" ht="15.75" customHeight="1" x14ac:dyDescent="0.3">
      <c r="I15" s="2"/>
      <c r="J15" s="1955"/>
      <c r="K15" s="1956"/>
      <c r="L15" s="1957"/>
      <c r="M15" s="1955"/>
      <c r="N15" s="1857"/>
      <c r="O15" s="1858"/>
      <c r="P15" s="1857"/>
      <c r="Q15" s="1858"/>
      <c r="R15" s="1857"/>
      <c r="S15" s="1858"/>
      <c r="T15" s="271"/>
      <c r="U15" s="271"/>
      <c r="V15" s="271"/>
      <c r="W15" s="271"/>
      <c r="X15" s="271"/>
      <c r="Y15" s="271"/>
      <c r="Z15" s="271"/>
      <c r="AA15" s="43"/>
      <c r="AB15" s="43"/>
    </row>
    <row r="16" spans="4:28" ht="15.75" thickBot="1" x14ac:dyDescent="0.3">
      <c r="D16" s="40" t="s">
        <v>5</v>
      </c>
      <c r="E16" s="1" t="s">
        <v>6</v>
      </c>
      <c r="F16" s="40" t="s">
        <v>7</v>
      </c>
      <c r="G16" s="40" t="s">
        <v>8</v>
      </c>
      <c r="H16" s="43"/>
      <c r="I16" s="43"/>
      <c r="J16" s="909" t="s">
        <v>9</v>
      </c>
      <c r="K16" s="909" t="s">
        <v>10</v>
      </c>
      <c r="L16" s="909" t="s">
        <v>9</v>
      </c>
      <c r="M16" s="909" t="s">
        <v>10</v>
      </c>
      <c r="N16" s="909" t="s">
        <v>9</v>
      </c>
      <c r="O16" s="909" t="s">
        <v>10</v>
      </c>
      <c r="P16" s="909" t="s">
        <v>9</v>
      </c>
      <c r="Q16" s="909" t="s">
        <v>10</v>
      </c>
      <c r="R16" s="909" t="s">
        <v>9</v>
      </c>
      <c r="S16" s="909" t="s">
        <v>10</v>
      </c>
      <c r="T16" s="226"/>
      <c r="U16" s="226"/>
      <c r="V16" s="226"/>
      <c r="W16" s="226"/>
      <c r="X16" s="226"/>
      <c r="Y16" s="226"/>
      <c r="Z16" s="226"/>
      <c r="AA16" s="43"/>
      <c r="AB16" s="43"/>
    </row>
    <row r="17" spans="4:28" ht="43.5" customHeight="1" x14ac:dyDescent="0.25">
      <c r="D17" s="3">
        <v>1</v>
      </c>
      <c r="E17" s="935" t="s">
        <v>473</v>
      </c>
      <c r="F17" s="320" t="s">
        <v>11</v>
      </c>
      <c r="G17" s="936">
        <v>1240</v>
      </c>
      <c r="H17" s="177"/>
      <c r="I17" s="177"/>
      <c r="J17" s="188"/>
      <c r="K17" s="189"/>
      <c r="L17" s="188"/>
      <c r="M17" s="189"/>
      <c r="N17" s="188"/>
      <c r="O17" s="189"/>
      <c r="P17" s="14"/>
      <c r="Q17" s="568"/>
      <c r="R17" s="952"/>
      <c r="S17" s="958"/>
      <c r="T17" s="937"/>
      <c r="U17" s="937"/>
      <c r="V17" s="937"/>
      <c r="W17" s="937"/>
      <c r="X17" s="937"/>
      <c r="Y17" s="226"/>
      <c r="Z17" s="226"/>
      <c r="AA17" s="43"/>
      <c r="AB17" s="43"/>
    </row>
    <row r="18" spans="4:28" ht="57" customHeight="1" x14ac:dyDescent="0.25">
      <c r="D18" s="3">
        <v>2</v>
      </c>
      <c r="E18" s="143" t="s">
        <v>474</v>
      </c>
      <c r="F18" s="320" t="s">
        <v>306</v>
      </c>
      <c r="G18" s="936">
        <v>1</v>
      </c>
      <c r="H18" s="177"/>
      <c r="I18" s="177"/>
      <c r="J18" s="179"/>
      <c r="K18" s="178"/>
      <c r="L18" s="179"/>
      <c r="M18" s="178"/>
      <c r="N18" s="179"/>
      <c r="O18" s="178"/>
      <c r="P18" s="7"/>
      <c r="Q18" s="5"/>
      <c r="R18" s="953"/>
      <c r="S18" s="959"/>
      <c r="T18" s="937"/>
      <c r="U18" s="937"/>
      <c r="V18" s="937"/>
      <c r="W18" s="937"/>
      <c r="X18" s="937"/>
      <c r="Y18" s="937"/>
      <c r="Z18" s="937"/>
      <c r="AA18" s="43"/>
      <c r="AB18" s="43"/>
    </row>
    <row r="19" spans="4:28" ht="45" x14ac:dyDescent="0.25">
      <c r="D19" s="3">
        <v>3</v>
      </c>
      <c r="E19" s="143" t="s">
        <v>475</v>
      </c>
      <c r="F19" s="320" t="s">
        <v>476</v>
      </c>
      <c r="G19" s="1399">
        <f>1240*0.1*2.28</f>
        <v>282.71999999999997</v>
      </c>
      <c r="H19" s="4"/>
      <c r="I19" s="4">
        <f>SUM(I17:I18)</f>
        <v>0</v>
      </c>
      <c r="J19" s="7"/>
      <c r="K19" s="31"/>
      <c r="L19" s="32"/>
      <c r="M19" s="31"/>
      <c r="N19" s="32"/>
      <c r="O19" s="31"/>
      <c r="P19" s="948">
        <v>6800</v>
      </c>
      <c r="Q19" s="939">
        <f>P19*G19</f>
        <v>1922495.9999999998</v>
      </c>
      <c r="R19" s="953">
        <v>7100</v>
      </c>
      <c r="S19" s="954">
        <f>R19*G19</f>
        <v>2007311.9999999998</v>
      </c>
      <c r="T19" s="937"/>
      <c r="U19" s="937"/>
      <c r="V19" s="937"/>
      <c r="W19" s="937"/>
      <c r="X19" s="937"/>
      <c r="Y19" s="937"/>
      <c r="Z19" s="937"/>
      <c r="AA19" s="43"/>
      <c r="AB19" s="43"/>
    </row>
    <row r="20" spans="4:28" ht="46.5" customHeight="1" x14ac:dyDescent="0.25">
      <c r="D20" s="3">
        <v>4</v>
      </c>
      <c r="E20" s="143" t="s">
        <v>477</v>
      </c>
      <c r="F20" s="320" t="s">
        <v>476</v>
      </c>
      <c r="G20" s="1399">
        <f>1240*0.1*2.28</f>
        <v>282.71999999999997</v>
      </c>
      <c r="H20" s="4"/>
      <c r="I20" s="4"/>
      <c r="J20" s="7"/>
      <c r="K20" s="5"/>
      <c r="L20" s="32"/>
      <c r="M20" s="31"/>
      <c r="N20" s="948">
        <v>1000</v>
      </c>
      <c r="O20" s="939">
        <f>N20*G20</f>
        <v>282719.99999999994</v>
      </c>
      <c r="P20" s="7"/>
      <c r="Q20" s="5"/>
      <c r="R20" s="953">
        <v>1100</v>
      </c>
      <c r="S20" s="954">
        <f t="shared" ref="S20:S21" si="0">R20*G20</f>
        <v>310991.99999999994</v>
      </c>
      <c r="T20" s="937"/>
      <c r="U20" s="937"/>
      <c r="V20" s="937"/>
      <c r="W20" s="937"/>
      <c r="X20" s="937"/>
      <c r="Y20" s="937"/>
      <c r="Z20" s="937"/>
      <c r="AA20" s="43"/>
      <c r="AB20" s="43"/>
    </row>
    <row r="21" spans="4:28" ht="52.5" customHeight="1" x14ac:dyDescent="0.25">
      <c r="D21" s="3">
        <v>5</v>
      </c>
      <c r="E21" s="143" t="s">
        <v>478</v>
      </c>
      <c r="F21" s="320" t="s">
        <v>476</v>
      </c>
      <c r="G21" s="1399">
        <f>1240*0.1*2.28</f>
        <v>282.71999999999997</v>
      </c>
      <c r="H21" s="4"/>
      <c r="I21" s="4"/>
      <c r="J21" s="7">
        <v>1000</v>
      </c>
      <c r="K21" s="5">
        <f>G21*J21</f>
        <v>282719.99999999994</v>
      </c>
      <c r="L21" s="7">
        <v>1300</v>
      </c>
      <c r="M21" s="939">
        <f>L21*G21</f>
        <v>367535.99999999994</v>
      </c>
      <c r="N21" s="32"/>
      <c r="O21" s="31"/>
      <c r="P21" s="7"/>
      <c r="Q21" s="5"/>
      <c r="R21" s="953">
        <v>1250</v>
      </c>
      <c r="S21" s="954">
        <f t="shared" si="0"/>
        <v>353399.99999999994</v>
      </c>
      <c r="T21" s="43"/>
      <c r="U21" s="43"/>
      <c r="V21" s="43"/>
      <c r="W21" s="43"/>
      <c r="X21" s="43"/>
      <c r="Y21" s="43"/>
      <c r="Z21" s="43"/>
      <c r="AA21" s="43"/>
      <c r="AB21" s="43"/>
    </row>
    <row r="22" spans="4:28" ht="30" customHeight="1" x14ac:dyDescent="0.3">
      <c r="D22" s="3">
        <v>6</v>
      </c>
      <c r="E22" s="210" t="s">
        <v>479</v>
      </c>
      <c r="F22" s="946" t="s">
        <v>23</v>
      </c>
      <c r="G22" s="947"/>
      <c r="H22" s="4"/>
      <c r="I22" s="4"/>
      <c r="J22" s="7"/>
      <c r="K22" s="5"/>
      <c r="L22" s="7"/>
      <c r="M22" s="5"/>
      <c r="N22" s="7"/>
      <c r="O22" s="5"/>
      <c r="P22" s="7"/>
      <c r="Q22" s="5"/>
      <c r="R22" s="953"/>
      <c r="S22" s="955"/>
    </row>
    <row r="23" spans="4:28" ht="45" x14ac:dyDescent="0.3">
      <c r="D23" s="3">
        <v>7</v>
      </c>
      <c r="E23" s="210" t="s">
        <v>480</v>
      </c>
      <c r="F23" s="946" t="s">
        <v>23</v>
      </c>
      <c r="G23" s="947"/>
      <c r="H23" s="4"/>
      <c r="I23" s="4"/>
      <c r="J23" s="7"/>
      <c r="K23" s="5"/>
      <c r="L23" s="7"/>
      <c r="M23" s="5"/>
      <c r="N23" s="7"/>
      <c r="O23" s="5"/>
      <c r="P23" s="7"/>
      <c r="Q23" s="5"/>
      <c r="R23" s="953"/>
      <c r="S23" s="955"/>
    </row>
    <row r="24" spans="4:28" ht="28.8" x14ac:dyDescent="0.35">
      <c r="D24" s="3">
        <v>8</v>
      </c>
      <c r="E24" s="143" t="s">
        <v>481</v>
      </c>
      <c r="F24" s="320" t="s">
        <v>11</v>
      </c>
      <c r="G24" s="936">
        <v>1240</v>
      </c>
      <c r="H24" s="4"/>
      <c r="I24" s="4"/>
      <c r="J24" s="7"/>
      <c r="K24" s="5"/>
      <c r="L24" s="7"/>
      <c r="M24" s="5"/>
      <c r="N24" s="7"/>
      <c r="O24" s="5"/>
      <c r="P24" s="7"/>
      <c r="Q24" s="5"/>
      <c r="R24" s="953"/>
      <c r="S24" s="955"/>
    </row>
    <row r="25" spans="4:28" ht="29.4" thickBot="1" x14ac:dyDescent="0.35">
      <c r="D25" s="3">
        <v>9</v>
      </c>
      <c r="E25" s="143" t="s">
        <v>484</v>
      </c>
      <c r="F25" s="320" t="s">
        <v>11</v>
      </c>
      <c r="G25" s="936">
        <v>1240</v>
      </c>
      <c r="H25" s="4"/>
      <c r="I25" s="4"/>
      <c r="J25" s="8">
        <v>70</v>
      </c>
      <c r="K25" s="5">
        <f>G25*J25</f>
        <v>86800</v>
      </c>
      <c r="L25" s="8">
        <v>80</v>
      </c>
      <c r="M25" s="5">
        <f>L25*G25</f>
        <v>99200</v>
      </c>
      <c r="N25" s="8"/>
      <c r="O25" s="5"/>
      <c r="P25" s="8"/>
      <c r="Q25" s="5"/>
      <c r="R25" s="956">
        <v>90</v>
      </c>
      <c r="S25" s="957">
        <f>R25*G25</f>
        <v>111600</v>
      </c>
    </row>
    <row r="26" spans="4:28" ht="26.25" customHeight="1" thickBot="1" x14ac:dyDescent="0.45">
      <c r="E26" s="209"/>
      <c r="F26" s="216"/>
      <c r="G26" s="937"/>
      <c r="H26" s="4"/>
      <c r="I26" s="4"/>
      <c r="J26" s="6"/>
      <c r="K26" s="961">
        <f>SUM(K18:K25)</f>
        <v>369519.99999999994</v>
      </c>
      <c r="L26" s="6"/>
      <c r="M26" s="961">
        <f>SUM(M17:M25)</f>
        <v>466735.99999999994</v>
      </c>
      <c r="N26" s="6"/>
      <c r="O26" s="961">
        <f>SUM(O20:O25)</f>
        <v>282719.99999999994</v>
      </c>
      <c r="P26" s="4"/>
      <c r="Q26" s="961">
        <f>SUM(Q19:Q25)</f>
        <v>1922495.9999999998</v>
      </c>
      <c r="S26" s="960">
        <f>SUM(S17:S25)</f>
        <v>2783303.9999999995</v>
      </c>
    </row>
    <row r="27" spans="4:28" x14ac:dyDescent="0.3">
      <c r="E27" s="209"/>
      <c r="F27" s="216"/>
      <c r="G27" s="937"/>
      <c r="H27" s="4"/>
      <c r="I27" s="4"/>
      <c r="J27" s="6"/>
      <c r="K27" s="6"/>
      <c r="L27" s="6"/>
      <c r="M27" s="6"/>
      <c r="N27" s="6"/>
      <c r="O27" s="6"/>
      <c r="P27" s="4"/>
      <c r="Q27" s="4"/>
    </row>
    <row r="28" spans="4:28" x14ac:dyDescent="0.3">
      <c r="E28" s="209"/>
      <c r="F28" s="216"/>
      <c r="G28" s="937"/>
      <c r="H28" s="4"/>
      <c r="I28" s="4"/>
      <c r="J28" s="6"/>
      <c r="K28" s="6"/>
      <c r="L28" s="6"/>
      <c r="M28" s="6"/>
      <c r="N28" s="6"/>
      <c r="O28" s="6"/>
      <c r="P28" s="4"/>
      <c r="Q28" s="4"/>
    </row>
    <row r="29" spans="4:28" x14ac:dyDescent="0.3">
      <c r="E29" s="209"/>
      <c r="F29" s="216"/>
      <c r="G29" s="937"/>
      <c r="H29" s="4"/>
      <c r="I29" s="4"/>
      <c r="J29" s="6"/>
      <c r="K29" s="6"/>
      <c r="L29" s="6"/>
      <c r="M29" s="6"/>
      <c r="N29" s="6"/>
      <c r="O29" s="6"/>
      <c r="P29" s="4"/>
      <c r="Q29" s="4"/>
    </row>
    <row r="30" spans="4:28" ht="15.6" x14ac:dyDescent="0.3">
      <c r="G30" s="4"/>
      <c r="H30" s="4"/>
      <c r="I30" s="4"/>
      <c r="J30" s="1954" t="s">
        <v>17</v>
      </c>
      <c r="K30" s="1954"/>
      <c r="L30" s="1954"/>
      <c r="M30" s="1954"/>
      <c r="N30" s="1954"/>
      <c r="O30" s="1954"/>
      <c r="P30" s="4"/>
      <c r="Q30" s="4"/>
    </row>
    <row r="31" spans="4:28" x14ac:dyDescent="0.3">
      <c r="G31" s="4"/>
      <c r="H31" s="4"/>
      <c r="I31" s="4"/>
      <c r="J31" s="1940" t="s">
        <v>0</v>
      </c>
      <c r="K31" s="1839"/>
      <c r="L31" s="1941" t="s">
        <v>0</v>
      </c>
      <c r="M31" s="1839"/>
      <c r="N31" s="1941" t="s">
        <v>0</v>
      </c>
      <c r="O31" s="1942"/>
      <c r="P31" s="4"/>
      <c r="Q31" s="4"/>
    </row>
    <row r="32" spans="4:28" ht="18.600000000000001" thickBot="1" x14ac:dyDescent="0.4">
      <c r="G32" s="4"/>
      <c r="H32" s="4"/>
      <c r="I32" s="4"/>
      <c r="J32" s="197" t="s">
        <v>3</v>
      </c>
      <c r="K32" s="198" t="s">
        <v>4</v>
      </c>
      <c r="L32" s="198" t="s">
        <v>1</v>
      </c>
      <c r="M32" s="199" t="s">
        <v>2</v>
      </c>
      <c r="N32" s="200" t="s">
        <v>22</v>
      </c>
      <c r="O32" s="201" t="s">
        <v>4</v>
      </c>
      <c r="P32" s="4"/>
      <c r="Q32" s="4"/>
    </row>
    <row r="33" spans="4:17" ht="33" customHeight="1" thickBot="1" x14ac:dyDescent="0.35">
      <c r="G33" s="4"/>
      <c r="H33" s="4"/>
      <c r="I33" s="4"/>
      <c r="J33" s="1933" t="s">
        <v>83</v>
      </c>
      <c r="K33" s="1934"/>
      <c r="L33" s="1933"/>
      <c r="M33" s="1934"/>
      <c r="N33" s="1935"/>
      <c r="O33" s="1936"/>
      <c r="P33" s="18"/>
      <c r="Q33" s="4"/>
    </row>
    <row r="34" spans="4:17" ht="15" thickBot="1" x14ac:dyDescent="0.35">
      <c r="E34" s="592"/>
      <c r="F34" s="555" t="s">
        <v>7</v>
      </c>
      <c r="G34" s="568" t="s">
        <v>8</v>
      </c>
      <c r="H34" s="4"/>
      <c r="I34" s="4"/>
      <c r="J34" s="19" t="s">
        <v>9</v>
      </c>
      <c r="K34" s="20" t="s">
        <v>10</v>
      </c>
      <c r="L34" s="22" t="s">
        <v>9</v>
      </c>
      <c r="M34" s="21" t="s">
        <v>10</v>
      </c>
      <c r="N34" s="19" t="s">
        <v>9</v>
      </c>
      <c r="O34" s="20" t="s">
        <v>10</v>
      </c>
      <c r="Q34" s="4"/>
    </row>
    <row r="35" spans="4:17" ht="30.75" customHeight="1" x14ac:dyDescent="0.3">
      <c r="D35" s="3">
        <v>1</v>
      </c>
      <c r="E35" s="940" t="s">
        <v>483</v>
      </c>
      <c r="F35" s="931" t="s">
        <v>476</v>
      </c>
      <c r="G35" s="941">
        <v>890</v>
      </c>
      <c r="H35" s="4"/>
      <c r="I35" s="4"/>
      <c r="J35" s="188">
        <v>7100</v>
      </c>
      <c r="K35" s="194">
        <f>J35*G35</f>
        <v>6319000</v>
      </c>
      <c r="L35" s="188">
        <v>13328</v>
      </c>
      <c r="M35" s="189">
        <f>L35*G35</f>
        <v>11861920</v>
      </c>
      <c r="N35" s="22"/>
      <c r="O35" s="21"/>
      <c r="Q35" s="4"/>
    </row>
    <row r="36" spans="4:17" ht="15" thickBot="1" x14ac:dyDescent="0.35">
      <c r="D36" s="3"/>
      <c r="E36" s="471" t="s">
        <v>487</v>
      </c>
      <c r="F36" s="928" t="s">
        <v>485</v>
      </c>
      <c r="G36" s="9">
        <f>3480*1.5</f>
        <v>5220</v>
      </c>
      <c r="H36" s="4"/>
      <c r="I36" s="4"/>
      <c r="J36" s="23">
        <v>30</v>
      </c>
      <c r="K36" s="938">
        <f>G36*J36</f>
        <v>156600</v>
      </c>
      <c r="L36" s="23"/>
      <c r="M36" s="24">
        <f>+L36*G36</f>
        <v>0</v>
      </c>
      <c r="N36" s="25"/>
      <c r="O36" s="24"/>
      <c r="Q36" s="4"/>
    </row>
    <row r="37" spans="4:17" x14ac:dyDescent="0.3">
      <c r="D37" s="3"/>
      <c r="G37" s="4"/>
      <c r="H37" s="4"/>
      <c r="I37" s="4"/>
      <c r="J37" s="23"/>
      <c r="K37" s="25"/>
      <c r="L37" s="23"/>
      <c r="M37" s="24"/>
      <c r="N37" s="25"/>
      <c r="O37" s="24"/>
      <c r="Q37" s="4"/>
    </row>
    <row r="38" spans="4:17" ht="15" thickBot="1" x14ac:dyDescent="0.35">
      <c r="G38" s="4"/>
      <c r="H38" s="4"/>
      <c r="I38" s="4"/>
      <c r="J38" s="26"/>
      <c r="K38" s="28"/>
      <c r="L38" s="26"/>
      <c r="M38" s="27"/>
      <c r="N38" s="28"/>
      <c r="O38" s="27"/>
      <c r="Q38" s="4"/>
    </row>
    <row r="39" spans="4:17" ht="21" x14ac:dyDescent="0.4">
      <c r="G39" s="4"/>
      <c r="H39" s="4"/>
      <c r="I39" s="4"/>
      <c r="J39" s="14"/>
      <c r="K39" s="192">
        <f>+K35+K36</f>
        <v>6475600</v>
      </c>
      <c r="L39" s="193"/>
      <c r="M39" s="192">
        <f>M37+M35</f>
        <v>11861920</v>
      </c>
      <c r="N39" s="29"/>
      <c r="O39" s="30"/>
      <c r="P39" s="15"/>
      <c r="Q39" s="4"/>
    </row>
    <row r="40" spans="4:17" ht="15" thickBot="1" x14ac:dyDescent="0.35">
      <c r="G40" s="4"/>
      <c r="H40" s="4"/>
      <c r="I40" s="4"/>
      <c r="J40" s="7"/>
      <c r="K40" s="190"/>
      <c r="L40" s="191"/>
      <c r="M40" s="190"/>
      <c r="N40" s="32"/>
      <c r="O40" s="31"/>
      <c r="P40" s="15"/>
      <c r="Q40" s="4"/>
    </row>
    <row r="41" spans="4:17" x14ac:dyDescent="0.3">
      <c r="G41" s="4"/>
      <c r="H41" s="4"/>
      <c r="I41" s="4"/>
      <c r="J41" s="684" t="s">
        <v>488</v>
      </c>
      <c r="K41" s="192"/>
      <c r="L41" s="684" t="s">
        <v>488</v>
      </c>
      <c r="M41" s="192"/>
      <c r="N41" s="7"/>
      <c r="O41" s="31"/>
      <c r="P41" s="15"/>
      <c r="Q41" s="4"/>
    </row>
    <row r="42" spans="4:17" ht="15.75" customHeight="1" x14ac:dyDescent="0.3">
      <c r="G42" s="4"/>
      <c r="H42" s="4"/>
      <c r="I42" s="4"/>
      <c r="J42" s="7"/>
      <c r="K42" s="5"/>
      <c r="L42" s="7"/>
      <c r="M42" s="5"/>
      <c r="N42" s="7"/>
      <c r="O42" s="5"/>
      <c r="P42" s="4"/>
      <c r="Q42" s="4"/>
    </row>
    <row r="43" spans="4:17" ht="15.75" customHeight="1" x14ac:dyDescent="0.3">
      <c r="G43" s="4"/>
      <c r="H43" s="4"/>
      <c r="I43" s="4"/>
      <c r="J43" s="7"/>
      <c r="K43" s="5"/>
      <c r="L43" s="7"/>
      <c r="M43" s="5"/>
      <c r="N43" s="7"/>
      <c r="O43" s="5"/>
      <c r="P43" s="4"/>
      <c r="Q43" s="4"/>
    </row>
    <row r="44" spans="4:17" ht="15.75" customHeight="1" x14ac:dyDescent="0.3">
      <c r="G44" s="4"/>
      <c r="H44" s="4"/>
      <c r="I44" s="4"/>
      <c r="J44" s="7"/>
      <c r="K44" s="5"/>
      <c r="L44" s="7"/>
      <c r="M44" s="5"/>
      <c r="N44" s="7"/>
      <c r="O44" s="5"/>
      <c r="P44" s="4"/>
      <c r="Q44" s="4"/>
    </row>
    <row r="45" spans="4:17" ht="15.75" customHeight="1" thickBot="1" x14ac:dyDescent="0.35">
      <c r="G45" s="4"/>
      <c r="H45" s="4"/>
      <c r="I45" s="4"/>
      <c r="J45" s="8"/>
      <c r="K45" s="9"/>
      <c r="L45" s="8"/>
      <c r="M45" s="9"/>
      <c r="N45" s="8"/>
      <c r="O45" s="9"/>
      <c r="P45" s="4"/>
      <c r="Q45" s="4"/>
    </row>
    <row r="46" spans="4:17" ht="15.75" customHeight="1" x14ac:dyDescent="0.3"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4:17" ht="15.75" customHeight="1" thickBot="1" x14ac:dyDescent="0.35">
      <c r="G47" s="4"/>
      <c r="H47" s="4"/>
      <c r="I47" s="4"/>
      <c r="J47" s="645"/>
      <c r="K47" s="645"/>
      <c r="L47" s="645"/>
      <c r="M47" s="645"/>
      <c r="N47" s="645"/>
      <c r="O47" s="645"/>
      <c r="P47" s="4"/>
      <c r="Q47" s="4"/>
    </row>
    <row r="48" spans="4:17" ht="15.75" customHeight="1" thickBot="1" x14ac:dyDescent="0.4">
      <c r="G48" s="4"/>
      <c r="H48" s="4"/>
      <c r="I48" s="4"/>
      <c r="J48" s="645"/>
      <c r="K48" s="1930" t="s">
        <v>486</v>
      </c>
      <c r="L48" s="1931"/>
      <c r="M48" s="1931"/>
      <c r="N48" s="1931"/>
      <c r="O48" s="1932"/>
      <c r="P48" s="4"/>
      <c r="Q48" s="4"/>
    </row>
    <row r="49" spans="4:18" ht="15.75" customHeight="1" thickBot="1" x14ac:dyDescent="0.4">
      <c r="E49" s="643"/>
      <c r="G49" s="4"/>
      <c r="H49" s="4"/>
      <c r="I49" s="4"/>
      <c r="J49" s="642"/>
      <c r="K49" s="1930" t="s">
        <v>489</v>
      </c>
      <c r="L49" s="1931"/>
      <c r="M49" s="1932"/>
      <c r="N49" s="1930"/>
      <c r="O49" s="1932"/>
      <c r="P49" s="4"/>
      <c r="Q49" s="4"/>
    </row>
    <row r="50" spans="4:18" ht="15.75" customHeight="1" x14ac:dyDescent="0.3">
      <c r="E50" s="926"/>
      <c r="F50" s="929" t="s">
        <v>7</v>
      </c>
      <c r="G50" s="21" t="s">
        <v>8</v>
      </c>
      <c r="H50" s="4"/>
      <c r="I50" s="4"/>
      <c r="J50" s="25"/>
      <c r="K50" s="23" t="s">
        <v>9</v>
      </c>
      <c r="L50" s="25" t="s">
        <v>10</v>
      </c>
      <c r="M50" s="5" t="s">
        <v>29</v>
      </c>
      <c r="N50" s="23" t="s">
        <v>9</v>
      </c>
      <c r="O50" s="24" t="s">
        <v>10</v>
      </c>
      <c r="P50" s="4"/>
      <c r="Q50" s="4"/>
    </row>
    <row r="51" spans="4:18" ht="48" customHeight="1" thickBot="1" x14ac:dyDescent="0.35">
      <c r="D51" s="3">
        <v>1</v>
      </c>
      <c r="E51" s="553" t="s">
        <v>477</v>
      </c>
      <c r="F51" s="561" t="s">
        <v>476</v>
      </c>
      <c r="G51" s="652">
        <v>283</v>
      </c>
      <c r="H51" s="4"/>
      <c r="I51" s="4"/>
      <c r="J51" s="177"/>
      <c r="K51" s="591">
        <v>1100</v>
      </c>
      <c r="L51" s="181">
        <f>G51*K51</f>
        <v>311300</v>
      </c>
      <c r="M51" s="644"/>
      <c r="N51" s="8"/>
      <c r="O51" s="9"/>
      <c r="P51" s="4"/>
      <c r="Q51" s="4"/>
    </row>
    <row r="52" spans="4:18" ht="30.75" customHeight="1" x14ac:dyDescent="0.3">
      <c r="F52" s="33"/>
      <c r="G52" s="196"/>
      <c r="H52" s="4"/>
      <c r="I52" s="4"/>
      <c r="J52" s="177"/>
      <c r="K52" s="177"/>
      <c r="L52" s="177"/>
      <c r="M52" s="177"/>
      <c r="N52" s="6"/>
      <c r="O52" s="6"/>
      <c r="P52" s="4"/>
      <c r="Q52" s="4"/>
    </row>
    <row r="53" spans="4:18" ht="15.75" customHeight="1" thickBot="1" x14ac:dyDescent="0.35">
      <c r="G53" s="4"/>
      <c r="H53" s="4"/>
      <c r="I53" s="4"/>
      <c r="J53" s="6"/>
      <c r="K53" s="6"/>
      <c r="L53" s="6"/>
      <c r="M53" s="6"/>
      <c r="N53" s="4"/>
      <c r="O53" s="4"/>
      <c r="P53" s="4"/>
      <c r="Q53" s="4"/>
    </row>
    <row r="54" spans="4:18" ht="24" thickBot="1" x14ac:dyDescent="0.5">
      <c r="I54" s="222" t="s">
        <v>491</v>
      </c>
      <c r="J54" s="224"/>
      <c r="K54" s="224"/>
      <c r="L54" s="942">
        <f>K26</f>
        <v>369519.99999999994</v>
      </c>
      <c r="M54" s="943" t="s">
        <v>90</v>
      </c>
      <c r="N54" s="942">
        <f>K35</f>
        <v>6319000</v>
      </c>
      <c r="O54" s="943" t="s">
        <v>90</v>
      </c>
      <c r="P54" s="942">
        <f>L51</f>
        <v>311300</v>
      </c>
      <c r="Q54" s="944" t="s">
        <v>241</v>
      </c>
      <c r="R54" s="945">
        <f>L54+N54+P54</f>
        <v>6999820</v>
      </c>
    </row>
  </sheetData>
  <mergeCells count="22">
    <mergeCell ref="P14:Q15"/>
    <mergeCell ref="R14:S15"/>
    <mergeCell ref="R12:S12"/>
    <mergeCell ref="J33:K33"/>
    <mergeCell ref="L33:M33"/>
    <mergeCell ref="N33:O33"/>
    <mergeCell ref="J14:K15"/>
    <mergeCell ref="L14:M15"/>
    <mergeCell ref="N14:O15"/>
    <mergeCell ref="P12:Q12"/>
    <mergeCell ref="K48:O48"/>
    <mergeCell ref="K49:M49"/>
    <mergeCell ref="N49:O49"/>
    <mergeCell ref="J30:O30"/>
    <mergeCell ref="J31:K31"/>
    <mergeCell ref="L31:M31"/>
    <mergeCell ref="N31:O31"/>
    <mergeCell ref="E9:O9"/>
    <mergeCell ref="J11:O11"/>
    <mergeCell ref="J12:K12"/>
    <mergeCell ref="L12:M12"/>
    <mergeCell ref="N12:O1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3">
    <tabColor rgb="FFFF0000"/>
  </sheetPr>
  <dimension ref="D8:AZ255"/>
  <sheetViews>
    <sheetView topLeftCell="F199" workbookViewId="0">
      <selection activeCell="I211" sqref="I211"/>
    </sheetView>
  </sheetViews>
  <sheetFormatPr baseColWidth="10" defaultColWidth="11.44140625" defaultRowHeight="14.4" x14ac:dyDescent="0.3"/>
  <cols>
    <col min="1" max="4" width="11.44140625" style="40"/>
    <col min="5" max="5" width="28.33203125" style="40" customWidth="1"/>
    <col min="6" max="6" width="55.44140625" style="40" customWidth="1"/>
    <col min="7" max="7" width="16" style="40" customWidth="1"/>
    <col min="8" max="8" width="11.5546875" style="40" customWidth="1"/>
    <col min="9" max="9" width="12.109375" style="40" customWidth="1"/>
    <col min="10" max="10" width="14.88671875" style="40" customWidth="1"/>
    <col min="11" max="11" width="20.33203125" style="40" customWidth="1"/>
    <col min="12" max="12" width="21.88671875" style="40" customWidth="1"/>
    <col min="13" max="13" width="15" style="40" customWidth="1"/>
    <col min="14" max="14" width="20.6640625" style="40" customWidth="1"/>
    <col min="15" max="15" width="17.5546875" style="40" customWidth="1"/>
    <col min="16" max="16" width="17" style="40" customWidth="1"/>
    <col min="17" max="17" width="13.44140625" style="40" customWidth="1"/>
    <col min="18" max="18" width="10.6640625" style="40" customWidth="1"/>
    <col min="19" max="19" width="14.44140625" style="40" customWidth="1"/>
    <col min="20" max="20" width="12.6640625" style="40" customWidth="1"/>
    <col min="21" max="21" width="11.5546875" style="40" customWidth="1"/>
    <col min="22" max="22" width="13" style="40" customWidth="1"/>
    <col min="23" max="23" width="14.33203125" style="40" customWidth="1"/>
    <col min="24" max="24" width="10.5546875" style="40" customWidth="1"/>
    <col min="25" max="25" width="13.44140625" style="40" customWidth="1"/>
    <col min="26" max="27" width="11.44140625" style="40"/>
    <col min="28" max="28" width="16.44140625" style="40" customWidth="1"/>
    <col min="29" max="35" width="11.44140625" style="40"/>
    <col min="36" max="36" width="25.33203125" style="40" customWidth="1"/>
    <col min="37" max="37" width="7.6640625" style="40" customWidth="1"/>
    <col min="38" max="38" width="10.109375" style="40" customWidth="1"/>
    <col min="39" max="39" width="11.44140625" style="40"/>
    <col min="40" max="40" width="16.6640625" style="40" customWidth="1"/>
    <col min="41" max="41" width="18.5546875" style="40" customWidth="1"/>
    <col min="42" max="47" width="11.44140625" style="40"/>
    <col min="48" max="48" width="11.6640625" style="40" bestFit="1" customWidth="1"/>
    <col min="49" max="16384" width="11.44140625" style="40"/>
  </cols>
  <sheetData>
    <row r="8" spans="5:21" x14ac:dyDescent="0.3">
      <c r="H8" s="43"/>
      <c r="I8" s="43"/>
      <c r="J8" s="43"/>
      <c r="K8" s="43"/>
    </row>
    <row r="9" spans="5:21" ht="23.4" x14ac:dyDescent="0.45">
      <c r="E9" s="1947" t="s">
        <v>967</v>
      </c>
      <c r="F9" s="1947"/>
      <c r="G9" s="1947"/>
      <c r="H9" s="1947"/>
      <c r="I9" s="1947"/>
      <c r="J9" s="1947"/>
      <c r="K9" s="1947"/>
      <c r="L9" s="1947"/>
      <c r="M9" s="1947"/>
      <c r="N9" s="1947"/>
      <c r="O9" s="1947"/>
      <c r="P9" s="1947"/>
      <c r="Q9" s="1947"/>
    </row>
    <row r="10" spans="5:21" ht="23.4" x14ac:dyDescent="0.45">
      <c r="E10" s="1490"/>
      <c r="F10" s="1490"/>
      <c r="G10" s="1490"/>
      <c r="H10" s="1490"/>
      <c r="I10" s="1490"/>
      <c r="J10" s="1490"/>
      <c r="K10" s="1490"/>
      <c r="L10" s="1490"/>
      <c r="M10" s="1490"/>
      <c r="N10" s="1490"/>
      <c r="O10" s="1490"/>
      <c r="P10" s="1490"/>
      <c r="Q10" s="1490"/>
    </row>
    <row r="11" spans="5:21" x14ac:dyDescent="0.3">
      <c r="G11" s="4"/>
      <c r="H11" s="4"/>
      <c r="I11" s="4"/>
      <c r="J11" s="4"/>
      <c r="K11" s="4"/>
      <c r="L11" s="4"/>
      <c r="M11" s="4"/>
      <c r="N11" s="4"/>
      <c r="O11" s="4"/>
      <c r="P11" s="6"/>
      <c r="Q11" s="6"/>
      <c r="R11" s="6"/>
      <c r="S11" s="6"/>
      <c r="T11" s="6"/>
      <c r="U11" s="6"/>
    </row>
    <row r="12" spans="5:21" x14ac:dyDescent="0.3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6"/>
      <c r="S12" s="6"/>
      <c r="T12" s="6"/>
      <c r="U12" s="6"/>
    </row>
    <row r="13" spans="5:21" ht="15" thickBot="1" x14ac:dyDescent="0.35"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5:21" ht="16.2" thickBot="1" x14ac:dyDescent="0.35">
      <c r="G14" s="4"/>
      <c r="H14" s="4"/>
      <c r="I14" s="4"/>
      <c r="J14" s="4"/>
      <c r="K14" s="4"/>
      <c r="L14" s="1937" t="s">
        <v>17</v>
      </c>
      <c r="M14" s="1938"/>
      <c r="N14" s="1938"/>
      <c r="O14" s="1938"/>
      <c r="P14" s="1938"/>
      <c r="Q14" s="1939"/>
      <c r="R14" s="4"/>
      <c r="S14" s="4"/>
      <c r="T14" s="4"/>
      <c r="U14" s="4"/>
    </row>
    <row r="15" spans="5:21" x14ac:dyDescent="0.3">
      <c r="G15" s="4"/>
      <c r="H15" s="4"/>
      <c r="I15" s="4"/>
      <c r="J15" s="4"/>
      <c r="K15" s="4"/>
      <c r="L15" s="1836" t="s">
        <v>0</v>
      </c>
      <c r="M15" s="1924"/>
      <c r="N15" s="1840" t="s">
        <v>0</v>
      </c>
      <c r="O15" s="1924"/>
      <c r="P15" s="1840" t="s">
        <v>0</v>
      </c>
      <c r="Q15" s="1837"/>
      <c r="R15" s="4"/>
      <c r="S15" s="4"/>
      <c r="T15" s="4"/>
      <c r="U15" s="4"/>
    </row>
    <row r="16" spans="5:21" ht="18.600000000000001" thickBot="1" x14ac:dyDescent="0.4">
      <c r="G16" s="4"/>
      <c r="H16" s="4"/>
      <c r="I16" s="4"/>
      <c r="J16" s="4"/>
      <c r="K16" s="4"/>
      <c r="L16" s="197" t="s">
        <v>3</v>
      </c>
      <c r="M16" s="198" t="s">
        <v>4</v>
      </c>
      <c r="N16" s="198" t="s">
        <v>1</v>
      </c>
      <c r="O16" s="199" t="s">
        <v>2</v>
      </c>
      <c r="P16" s="200" t="s">
        <v>22</v>
      </c>
      <c r="Q16" s="201" t="s">
        <v>4</v>
      </c>
      <c r="R16" s="4"/>
      <c r="S16" s="4"/>
      <c r="T16" s="4"/>
      <c r="U16" s="4"/>
    </row>
    <row r="17" spans="4:21" ht="43.5" customHeight="1" thickBot="1" x14ac:dyDescent="0.35">
      <c r="G17" s="4"/>
      <c r="H17" s="4"/>
      <c r="I17" s="4"/>
      <c r="J17" s="4"/>
      <c r="K17" s="4"/>
      <c r="L17" s="1933" t="s">
        <v>88</v>
      </c>
      <c r="M17" s="1943"/>
      <c r="N17" s="1933" t="s">
        <v>968</v>
      </c>
      <c r="O17" s="1943"/>
      <c r="P17" s="1935"/>
      <c r="Q17" s="1936"/>
      <c r="R17" s="18"/>
      <c r="S17" s="688"/>
      <c r="T17" s="688"/>
      <c r="U17" s="4"/>
    </row>
    <row r="18" spans="4:21" ht="15" thickBot="1" x14ac:dyDescent="0.35">
      <c r="F18" s="33" t="s">
        <v>7</v>
      </c>
      <c r="G18" s="1648" t="s">
        <v>8</v>
      </c>
      <c r="H18" s="4"/>
      <c r="I18" s="4"/>
      <c r="J18" s="4"/>
      <c r="K18" s="4"/>
      <c r="L18" s="19" t="s">
        <v>9</v>
      </c>
      <c r="M18" s="20" t="s">
        <v>10</v>
      </c>
      <c r="N18" s="22" t="s">
        <v>9</v>
      </c>
      <c r="O18" s="21" t="s">
        <v>10</v>
      </c>
      <c r="P18" s="19" t="s">
        <v>9</v>
      </c>
      <c r="Q18" s="20" t="s">
        <v>10</v>
      </c>
      <c r="U18" s="4"/>
    </row>
    <row r="19" spans="4:21" ht="22.5" customHeight="1" x14ac:dyDescent="0.3">
      <c r="D19" s="3">
        <v>1</v>
      </c>
      <c r="E19" s="3" t="s">
        <v>969</v>
      </c>
      <c r="F19" s="3" t="s">
        <v>11</v>
      </c>
      <c r="G19" s="1649">
        <f>216</f>
        <v>216</v>
      </c>
      <c r="H19" s="4"/>
      <c r="I19" s="4"/>
      <c r="J19" s="4"/>
      <c r="K19" s="4"/>
      <c r="L19" s="188">
        <v>11500</v>
      </c>
      <c r="M19" s="194">
        <f>L19*G19</f>
        <v>2484000</v>
      </c>
      <c r="N19" s="188">
        <v>15000</v>
      </c>
      <c r="O19" s="189">
        <f>N19*G19</f>
        <v>3240000</v>
      </c>
      <c r="P19" s="22"/>
      <c r="Q19" s="21"/>
      <c r="U19" s="4"/>
    </row>
    <row r="20" spans="4:21" x14ac:dyDescent="0.3">
      <c r="D20" s="3"/>
      <c r="F20" s="3"/>
      <c r="G20" s="1650"/>
      <c r="H20" s="4"/>
      <c r="I20" s="4"/>
      <c r="J20" s="4"/>
      <c r="K20" s="4"/>
      <c r="L20" s="23"/>
      <c r="M20" s="25"/>
      <c r="N20" s="23"/>
      <c r="O20" s="24">
        <f>+N20*G20</f>
        <v>0</v>
      </c>
      <c r="P20" s="25"/>
      <c r="Q20" s="24"/>
      <c r="U20" s="4"/>
    </row>
    <row r="21" spans="4:21" x14ac:dyDescent="0.3">
      <c r="D21" s="3"/>
      <c r="G21" s="4"/>
      <c r="H21" s="4"/>
      <c r="I21" s="4"/>
      <c r="J21" s="4"/>
      <c r="K21" s="4"/>
      <c r="L21" s="23"/>
      <c r="M21" s="25"/>
      <c r="N21" s="23"/>
      <c r="O21" s="24"/>
      <c r="P21" s="25"/>
      <c r="Q21" s="24"/>
      <c r="U21" s="4"/>
    </row>
    <row r="22" spans="4:21" ht="15" thickBot="1" x14ac:dyDescent="0.35">
      <c r="G22" s="4"/>
      <c r="H22" s="4"/>
      <c r="I22" s="4"/>
      <c r="J22" s="4"/>
      <c r="K22" s="4"/>
      <c r="L22" s="26"/>
      <c r="M22" s="28"/>
      <c r="N22" s="26"/>
      <c r="O22" s="27"/>
      <c r="P22" s="28"/>
      <c r="Q22" s="27"/>
      <c r="U22" s="4"/>
    </row>
    <row r="23" spans="4:21" ht="21" x14ac:dyDescent="0.4">
      <c r="G23" s="4"/>
      <c r="H23" s="4"/>
      <c r="I23" s="4"/>
      <c r="J23" s="4"/>
      <c r="K23" s="4"/>
      <c r="L23" s="14"/>
      <c r="M23" s="192">
        <f>+M19</f>
        <v>2484000</v>
      </c>
      <c r="N23" s="193"/>
      <c r="O23" s="192">
        <f>O21+O19</f>
        <v>3240000</v>
      </c>
      <c r="P23" s="29"/>
      <c r="Q23" s="30"/>
      <c r="R23" s="15"/>
      <c r="S23" s="15"/>
      <c r="T23" s="15"/>
      <c r="U23" s="4"/>
    </row>
    <row r="24" spans="4:21" x14ac:dyDescent="0.3">
      <c r="G24" s="4"/>
      <c r="H24" s="4"/>
      <c r="I24" s="4"/>
      <c r="J24" s="4"/>
      <c r="K24" s="4"/>
      <c r="L24" s="7"/>
      <c r="M24" s="190"/>
      <c r="N24" s="191"/>
      <c r="O24" s="190"/>
      <c r="P24" s="32"/>
      <c r="Q24" s="31"/>
      <c r="R24" s="15"/>
      <c r="S24" s="15"/>
      <c r="T24" s="15"/>
      <c r="U24" s="4"/>
    </row>
    <row r="25" spans="4:21" x14ac:dyDescent="0.3">
      <c r="G25" s="4"/>
      <c r="H25" s="4"/>
      <c r="I25" s="4"/>
      <c r="J25" s="4"/>
      <c r="K25" s="4"/>
      <c r="L25" s="7" t="s">
        <v>13</v>
      </c>
      <c r="M25" s="31"/>
      <c r="N25" s="7" t="s">
        <v>13</v>
      </c>
      <c r="O25" s="31"/>
      <c r="P25" s="7" t="s">
        <v>13</v>
      </c>
      <c r="Q25" s="31"/>
      <c r="R25" s="15"/>
      <c r="S25" s="15"/>
      <c r="T25" s="15"/>
      <c r="U25" s="4"/>
    </row>
    <row r="26" spans="4:21" ht="15.75" customHeight="1" x14ac:dyDescent="0.3">
      <c r="G26" s="4"/>
      <c r="H26" s="4"/>
      <c r="I26" s="4"/>
      <c r="J26" s="4"/>
      <c r="K26" s="4"/>
      <c r="L26" s="7"/>
      <c r="M26" s="5"/>
      <c r="N26" s="7"/>
      <c r="O26" s="5"/>
      <c r="P26" s="7"/>
      <c r="Q26" s="5"/>
      <c r="R26" s="4"/>
      <c r="S26" s="4"/>
      <c r="T26" s="4"/>
      <c r="U26" s="4"/>
    </row>
    <row r="27" spans="4:21" ht="15.75" customHeight="1" x14ac:dyDescent="0.3">
      <c r="G27" s="4"/>
      <c r="H27" s="4"/>
      <c r="I27" s="4"/>
      <c r="J27" s="4"/>
      <c r="K27" s="4"/>
      <c r="L27" s="7"/>
      <c r="M27" s="5"/>
      <c r="N27" s="7"/>
      <c r="O27" s="5"/>
      <c r="P27" s="7"/>
      <c r="Q27" s="5"/>
      <c r="R27" s="4"/>
      <c r="S27" s="4"/>
      <c r="T27" s="4"/>
      <c r="U27" s="4"/>
    </row>
    <row r="28" spans="4:21" ht="15.75" customHeight="1" x14ac:dyDescent="0.3">
      <c r="G28" s="4"/>
      <c r="H28" s="4"/>
      <c r="I28" s="4"/>
      <c r="J28" s="4"/>
      <c r="K28" s="4"/>
      <c r="L28" s="7"/>
      <c r="M28" s="5"/>
      <c r="N28" s="7"/>
      <c r="O28" s="5"/>
      <c r="P28" s="7"/>
      <c r="Q28" s="5"/>
      <c r="R28" s="4"/>
      <c r="S28" s="4"/>
      <c r="T28" s="4"/>
      <c r="U28" s="4"/>
    </row>
    <row r="29" spans="4:21" ht="15.75" customHeight="1" thickBot="1" x14ac:dyDescent="0.35">
      <c r="G29" s="4"/>
      <c r="H29" s="4"/>
      <c r="I29" s="4"/>
      <c r="J29" s="4"/>
      <c r="K29" s="4"/>
      <c r="L29" s="8"/>
      <c r="M29" s="9"/>
      <c r="N29" s="8"/>
      <c r="O29" s="9"/>
      <c r="P29" s="8"/>
      <c r="Q29" s="9"/>
      <c r="R29" s="4"/>
      <c r="S29" s="4"/>
      <c r="T29" s="4"/>
      <c r="U29" s="4"/>
    </row>
    <row r="30" spans="4:21" ht="15.75" customHeight="1" x14ac:dyDescent="0.3"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4:21" ht="15.75" customHeight="1" x14ac:dyDescent="0.3"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4:21" x14ac:dyDescent="0.3"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6"/>
      <c r="S32" s="6"/>
      <c r="T32" s="6"/>
      <c r="U32" s="6"/>
    </row>
    <row r="33" spans="4:21" x14ac:dyDescent="0.3"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41" spans="4:21" x14ac:dyDescent="0.3">
      <c r="K41" s="40" t="s">
        <v>970</v>
      </c>
    </row>
    <row r="42" spans="4:21" ht="15" thickBot="1" x14ac:dyDescent="0.35"/>
    <row r="43" spans="4:21" ht="15" thickBot="1" x14ac:dyDescent="0.35">
      <c r="D43" s="40" t="s">
        <v>971</v>
      </c>
      <c r="F43" s="657"/>
      <c r="G43" s="657"/>
      <c r="H43" s="1558" t="s">
        <v>515</v>
      </c>
      <c r="I43" s="1558"/>
      <c r="J43" s="1558"/>
      <c r="K43" s="1908" t="s">
        <v>972</v>
      </c>
      <c r="L43" s="1909"/>
    </row>
    <row r="44" spans="4:21" x14ac:dyDescent="0.3">
      <c r="D44" s="40">
        <v>1935</v>
      </c>
      <c r="E44" s="40">
        <v>88692</v>
      </c>
      <c r="F44" s="1151" t="s">
        <v>973</v>
      </c>
      <c r="G44" s="1152" t="s">
        <v>12</v>
      </c>
      <c r="H44" s="1301">
        <v>70</v>
      </c>
      <c r="I44" s="1301"/>
      <c r="J44" s="1301"/>
      <c r="K44" s="1501" t="s">
        <v>974</v>
      </c>
      <c r="L44" s="2"/>
    </row>
    <row r="45" spans="4:21" x14ac:dyDescent="0.3">
      <c r="F45" s="1146" t="s">
        <v>929</v>
      </c>
      <c r="G45" s="1156" t="s">
        <v>528</v>
      </c>
      <c r="H45" s="1301">
        <v>10</v>
      </c>
      <c r="I45" s="1301"/>
      <c r="J45" s="1301"/>
      <c r="K45" s="1501">
        <v>8</v>
      </c>
      <c r="L45" s="2"/>
    </row>
    <row r="46" spans="4:21" x14ac:dyDescent="0.3">
      <c r="F46" s="1146" t="s">
        <v>975</v>
      </c>
      <c r="G46" s="1156" t="s">
        <v>528</v>
      </c>
      <c r="H46" s="1301">
        <v>3</v>
      </c>
      <c r="I46" s="1301"/>
      <c r="J46" s="1301"/>
      <c r="K46" s="1501">
        <v>1</v>
      </c>
      <c r="L46" s="2"/>
    </row>
    <row r="47" spans="4:21" x14ac:dyDescent="0.3">
      <c r="F47" s="1146" t="s">
        <v>976</v>
      </c>
      <c r="G47" s="1156" t="s">
        <v>41</v>
      </c>
      <c r="H47" s="1301">
        <v>1</v>
      </c>
      <c r="I47" s="1301"/>
      <c r="J47" s="1301"/>
      <c r="K47" s="1501"/>
      <c r="L47" s="2"/>
    </row>
    <row r="48" spans="4:21" x14ac:dyDescent="0.3">
      <c r="F48" s="1146" t="s">
        <v>977</v>
      </c>
      <c r="G48" s="1156" t="s">
        <v>298</v>
      </c>
      <c r="H48" s="1301">
        <v>15</v>
      </c>
      <c r="I48" s="1301"/>
      <c r="J48" s="1301"/>
      <c r="K48" s="1501">
        <v>2</v>
      </c>
      <c r="L48" s="2"/>
    </row>
    <row r="49" spans="4:13" x14ac:dyDescent="0.3">
      <c r="D49" s="40">
        <v>1700</v>
      </c>
      <c r="E49" s="40">
        <v>8876</v>
      </c>
      <c r="F49" s="1146" t="s">
        <v>978</v>
      </c>
      <c r="G49" s="1156" t="s">
        <v>298</v>
      </c>
      <c r="H49" s="1301">
        <v>60</v>
      </c>
      <c r="I49" s="1301"/>
      <c r="J49" s="1301"/>
      <c r="K49" s="1501">
        <v>2</v>
      </c>
      <c r="L49" s="2"/>
    </row>
    <row r="50" spans="4:13" x14ac:dyDescent="0.3">
      <c r="D50" s="40">
        <v>2587</v>
      </c>
      <c r="F50" s="1146" t="s">
        <v>518</v>
      </c>
      <c r="G50" s="1156" t="s">
        <v>23</v>
      </c>
      <c r="H50" s="1301"/>
      <c r="I50" s="1301"/>
      <c r="J50" s="1301"/>
      <c r="K50" s="1501">
        <v>2</v>
      </c>
      <c r="L50" s="2"/>
    </row>
    <row r="51" spans="4:13" x14ac:dyDescent="0.3">
      <c r="D51" s="40">
        <v>2587</v>
      </c>
      <c r="F51" s="1146" t="s">
        <v>979</v>
      </c>
      <c r="G51" s="1156"/>
      <c r="H51" s="1301"/>
      <c r="I51" s="1301"/>
      <c r="J51" s="1301"/>
      <c r="K51" s="1501">
        <v>1</v>
      </c>
      <c r="L51" s="2"/>
    </row>
    <row r="52" spans="4:13" x14ac:dyDescent="0.3">
      <c r="F52" s="1146" t="s">
        <v>980</v>
      </c>
      <c r="G52" s="1156" t="s">
        <v>286</v>
      </c>
      <c r="H52" s="417"/>
      <c r="I52" s="417"/>
      <c r="J52" s="417"/>
      <c r="K52" s="1501">
        <v>1</v>
      </c>
      <c r="L52" s="2"/>
    </row>
    <row r="53" spans="4:13" ht="15" thickBot="1" x14ac:dyDescent="0.35">
      <c r="F53" s="1153" t="s">
        <v>981</v>
      </c>
      <c r="G53" s="1154" t="s">
        <v>286</v>
      </c>
      <c r="H53" s="1559"/>
      <c r="I53" s="1559"/>
      <c r="J53" s="1559"/>
      <c r="K53" s="231">
        <v>1</v>
      </c>
      <c r="L53" s="470"/>
    </row>
    <row r="56" spans="4:13" ht="15" thickBot="1" x14ac:dyDescent="0.35"/>
    <row r="57" spans="4:13" ht="76.2" customHeight="1" thickBot="1" x14ac:dyDescent="0.35">
      <c r="D57" s="40" t="s">
        <v>971</v>
      </c>
      <c r="F57" s="1488"/>
      <c r="G57" s="657"/>
      <c r="H57" s="43"/>
      <c r="I57" s="1958" t="s">
        <v>982</v>
      </c>
      <c r="J57" s="1959"/>
      <c r="K57" s="1960"/>
      <c r="L57" s="1483"/>
      <c r="M57" s="1483"/>
    </row>
    <row r="58" spans="4:13" ht="34.950000000000003" customHeight="1" thickBot="1" x14ac:dyDescent="0.35">
      <c r="F58" s="1560">
        <v>42765</v>
      </c>
      <c r="G58" s="657"/>
      <c r="H58" s="1504" t="s">
        <v>8</v>
      </c>
      <c r="I58" s="1505" t="s">
        <v>9</v>
      </c>
      <c r="J58" s="1505" t="s">
        <v>10</v>
      </c>
      <c r="K58" s="1506" t="s">
        <v>29</v>
      </c>
      <c r="L58" s="1483"/>
      <c r="M58" s="1483"/>
    </row>
    <row r="59" spans="4:13" x14ac:dyDescent="0.3">
      <c r="F59" s="1151" t="s">
        <v>973</v>
      </c>
      <c r="G59" s="1151" t="s">
        <v>983</v>
      </c>
      <c r="H59" s="1146">
        <v>1</v>
      </c>
      <c r="I59" s="1561">
        <v>88692.65</v>
      </c>
      <c r="J59" s="1561">
        <f>I59*H59</f>
        <v>88692.65</v>
      </c>
      <c r="K59" s="1502"/>
      <c r="L59" s="43"/>
      <c r="M59" s="43"/>
    </row>
    <row r="60" spans="4:13" x14ac:dyDescent="0.3">
      <c r="F60" s="1146" t="s">
        <v>984</v>
      </c>
      <c r="G60" s="1146" t="s">
        <v>298</v>
      </c>
      <c r="H60" s="1146">
        <v>4</v>
      </c>
      <c r="I60" s="1561">
        <v>2587.1999999999998</v>
      </c>
      <c r="J60" s="1561">
        <f>I60*H60</f>
        <v>10348.799999999999</v>
      </c>
      <c r="K60" s="1502"/>
      <c r="L60" s="43"/>
      <c r="M60" s="43"/>
    </row>
    <row r="61" spans="4:13" x14ac:dyDescent="0.3">
      <c r="F61" s="1146" t="s">
        <v>985</v>
      </c>
      <c r="G61" s="1146" t="s">
        <v>298</v>
      </c>
      <c r="H61" s="1146">
        <v>6</v>
      </c>
      <c r="I61" s="1561">
        <v>1700.16</v>
      </c>
      <c r="J61" s="1561">
        <f t="shared" ref="J61:J62" si="0">I61*H61</f>
        <v>10200.960000000001</v>
      </c>
      <c r="K61" s="1502"/>
      <c r="L61" s="43"/>
      <c r="M61" s="43"/>
    </row>
    <row r="62" spans="4:13" x14ac:dyDescent="0.3">
      <c r="F62" s="1146" t="s">
        <v>986</v>
      </c>
      <c r="G62" s="1146" t="s">
        <v>298</v>
      </c>
      <c r="H62" s="1146">
        <v>4</v>
      </c>
      <c r="I62" s="275">
        <v>2587.1999999999998</v>
      </c>
      <c r="J62" s="1561">
        <f t="shared" si="0"/>
        <v>10348.799999999999</v>
      </c>
      <c r="K62" s="1502"/>
      <c r="L62" s="43"/>
      <c r="M62" s="43"/>
    </row>
    <row r="63" spans="4:13" x14ac:dyDescent="0.3">
      <c r="F63" s="1146"/>
      <c r="G63" s="1146"/>
      <c r="H63" s="1146"/>
      <c r="J63" s="1301"/>
      <c r="K63" s="1502"/>
      <c r="L63" s="43"/>
      <c r="M63" s="43"/>
    </row>
    <row r="64" spans="4:13" x14ac:dyDescent="0.3">
      <c r="F64" s="1146"/>
      <c r="G64" s="1146"/>
      <c r="H64" s="1562"/>
      <c r="I64" s="417"/>
      <c r="J64" s="417"/>
      <c r="K64" s="1502"/>
      <c r="L64" s="43"/>
      <c r="M64" s="43"/>
    </row>
    <row r="65" spans="6:13" ht="15" thickBot="1" x14ac:dyDescent="0.35">
      <c r="F65" s="1153"/>
      <c r="G65" s="1153"/>
      <c r="H65" s="1563"/>
      <c r="I65" s="1559"/>
      <c r="J65" s="1559"/>
      <c r="K65" s="201"/>
      <c r="L65" s="43"/>
      <c r="M65" s="43"/>
    </row>
    <row r="66" spans="6:13" ht="18" x14ac:dyDescent="0.35">
      <c r="I66" s="33" t="s">
        <v>10</v>
      </c>
      <c r="J66" s="1564">
        <f>SUM(J59:J65)</f>
        <v>119591.21</v>
      </c>
    </row>
    <row r="67" spans="6:13" x14ac:dyDescent="0.3">
      <c r="J67" s="40" t="s">
        <v>583</v>
      </c>
    </row>
    <row r="69" spans="6:13" ht="15.6" x14ac:dyDescent="0.3">
      <c r="F69" s="313" t="s">
        <v>987</v>
      </c>
    </row>
    <row r="73" spans="6:13" x14ac:dyDescent="0.3">
      <c r="F73" s="1565" t="s">
        <v>988</v>
      </c>
    </row>
    <row r="75" spans="6:13" x14ac:dyDescent="0.3">
      <c r="F75" s="40" t="s">
        <v>989</v>
      </c>
    </row>
    <row r="76" spans="6:13" x14ac:dyDescent="0.3">
      <c r="F76" s="40" t="s">
        <v>990</v>
      </c>
    </row>
    <row r="77" spans="6:13" x14ac:dyDescent="0.3">
      <c r="F77" s="40" t="s">
        <v>991</v>
      </c>
    </row>
    <row r="78" spans="6:13" x14ac:dyDescent="0.3">
      <c r="F78" s="70" t="s">
        <v>992</v>
      </c>
    </row>
    <row r="79" spans="6:13" x14ac:dyDescent="0.3">
      <c r="F79" s="40" t="s">
        <v>993</v>
      </c>
    </row>
    <row r="80" spans="6:13" x14ac:dyDescent="0.3">
      <c r="F80" s="40" t="s">
        <v>994</v>
      </c>
    </row>
    <row r="81" spans="6:10" x14ac:dyDescent="0.3">
      <c r="F81" s="70" t="s">
        <v>995</v>
      </c>
    </row>
    <row r="82" spans="6:10" x14ac:dyDescent="0.3">
      <c r="F82" s="70" t="s">
        <v>996</v>
      </c>
    </row>
    <row r="83" spans="6:10" x14ac:dyDescent="0.3">
      <c r="F83" s="1566" t="s">
        <v>997</v>
      </c>
    </row>
    <row r="84" spans="6:10" x14ac:dyDescent="0.3">
      <c r="F84" s="1566" t="s">
        <v>998</v>
      </c>
    </row>
    <row r="85" spans="6:10" x14ac:dyDescent="0.3">
      <c r="F85" s="1566"/>
    </row>
    <row r="86" spans="6:10" x14ac:dyDescent="0.3">
      <c r="F86" s="1565" t="s">
        <v>999</v>
      </c>
    </row>
    <row r="87" spans="6:10" x14ac:dyDescent="0.3">
      <c r="F87" s="1566"/>
    </row>
    <row r="88" spans="6:10" x14ac:dyDescent="0.3">
      <c r="F88" s="1566" t="s">
        <v>1000</v>
      </c>
    </row>
    <row r="89" spans="6:10" x14ac:dyDescent="0.3">
      <c r="F89" s="70" t="s">
        <v>992</v>
      </c>
    </row>
    <row r="90" spans="6:10" x14ac:dyDescent="0.3">
      <c r="F90" s="1566" t="s">
        <v>1001</v>
      </c>
    </row>
    <row r="91" spans="6:10" x14ac:dyDescent="0.3">
      <c r="F91" s="1566" t="s">
        <v>1002</v>
      </c>
    </row>
    <row r="92" spans="6:10" x14ac:dyDescent="0.3">
      <c r="F92" s="70" t="s">
        <v>1003</v>
      </c>
    </row>
    <row r="93" spans="6:10" x14ac:dyDescent="0.3">
      <c r="F93" s="1566" t="s">
        <v>1001</v>
      </c>
    </row>
    <row r="94" spans="6:10" x14ac:dyDescent="0.3">
      <c r="F94" s="1566" t="s">
        <v>1002</v>
      </c>
    </row>
    <row r="95" spans="6:10" x14ac:dyDescent="0.3">
      <c r="F95" s="1566"/>
    </row>
    <row r="96" spans="6:10" ht="15" thickBot="1" x14ac:dyDescent="0.35">
      <c r="F96" s="1566"/>
      <c r="I96" s="1968" t="s">
        <v>1004</v>
      </c>
      <c r="J96" s="1968"/>
    </row>
    <row r="97" spans="6:12" x14ac:dyDescent="0.3">
      <c r="F97" s="1567" t="s">
        <v>1005</v>
      </c>
      <c r="G97" s="555"/>
      <c r="H97" s="556"/>
      <c r="I97" s="40">
        <v>216</v>
      </c>
      <c r="J97" s="40" t="s">
        <v>11</v>
      </c>
    </row>
    <row r="98" spans="6:12" x14ac:dyDescent="0.3">
      <c r="F98" s="1568" t="s">
        <v>1006</v>
      </c>
      <c r="G98" s="43"/>
      <c r="H98" s="2"/>
      <c r="I98" s="40" t="s">
        <v>8</v>
      </c>
      <c r="J98" s="40" t="s">
        <v>7</v>
      </c>
    </row>
    <row r="99" spans="6:12" x14ac:dyDescent="0.3">
      <c r="F99" s="1568" t="s">
        <v>1007</v>
      </c>
      <c r="G99" s="43">
        <v>0.3</v>
      </c>
      <c r="H99" s="2" t="s">
        <v>528</v>
      </c>
      <c r="I99" s="33">
        <f>I97*G99</f>
        <v>64.8</v>
      </c>
      <c r="J99" s="40" t="s">
        <v>528</v>
      </c>
      <c r="L99" s="33">
        <f>I99*6000</f>
        <v>388800</v>
      </c>
    </row>
    <row r="100" spans="6:12" x14ac:dyDescent="0.3">
      <c r="F100" s="1568" t="s">
        <v>518</v>
      </c>
      <c r="G100" s="43">
        <v>0.02</v>
      </c>
      <c r="H100" s="2" t="s">
        <v>23</v>
      </c>
      <c r="I100" s="33">
        <f>I97*G100</f>
        <v>4.32</v>
      </c>
      <c r="J100" s="40" t="s">
        <v>23</v>
      </c>
      <c r="K100" s="33"/>
      <c r="L100" s="33">
        <f>I100*13500</f>
        <v>58320.000000000007</v>
      </c>
    </row>
    <row r="101" spans="6:12" x14ac:dyDescent="0.3">
      <c r="F101" s="1568" t="s">
        <v>1008</v>
      </c>
      <c r="G101" s="43">
        <f>0.5/10</f>
        <v>0.05</v>
      </c>
      <c r="H101" s="2" t="s">
        <v>298</v>
      </c>
      <c r="I101" s="33">
        <f>I97*G101</f>
        <v>10.8</v>
      </c>
      <c r="J101" s="40" t="s">
        <v>298</v>
      </c>
      <c r="K101" s="33">
        <f>8256</f>
        <v>8256</v>
      </c>
      <c r="L101" s="33">
        <f>K101*I101</f>
        <v>89164.800000000003</v>
      </c>
    </row>
    <row r="102" spans="6:12" ht="15" thickBot="1" x14ac:dyDescent="0.35">
      <c r="F102" s="1569" t="s">
        <v>1009</v>
      </c>
      <c r="G102" s="659"/>
      <c r="H102" s="470"/>
      <c r="I102" s="1570">
        <f>1350/100</f>
        <v>13.5</v>
      </c>
      <c r="J102" s="40" t="s">
        <v>1010</v>
      </c>
      <c r="K102" s="33">
        <v>95000</v>
      </c>
      <c r="L102" s="33">
        <f>I102*K102</f>
        <v>1282500</v>
      </c>
    </row>
    <row r="103" spans="6:12" ht="15.6" x14ac:dyDescent="0.3">
      <c r="F103" s="1566"/>
      <c r="L103" s="1571">
        <f>SUM(L99:L102)</f>
        <v>1818784.8</v>
      </c>
    </row>
    <row r="104" spans="6:12" ht="15.6" x14ac:dyDescent="0.3">
      <c r="F104" s="1566"/>
      <c r="L104" s="1571"/>
    </row>
    <row r="105" spans="6:12" ht="16.2" thickBot="1" x14ac:dyDescent="0.35">
      <c r="F105" s="1572" t="s">
        <v>425</v>
      </c>
      <c r="I105" s="40">
        <v>216</v>
      </c>
      <c r="J105" s="40" t="s">
        <v>11</v>
      </c>
      <c r="K105" s="40">
        <v>5500</v>
      </c>
      <c r="L105" s="1571">
        <f>K105*I105</f>
        <v>1188000</v>
      </c>
    </row>
    <row r="106" spans="6:12" ht="21.6" thickBot="1" x14ac:dyDescent="0.45">
      <c r="F106" s="1566"/>
      <c r="L106" s="1573">
        <f>L105+L103</f>
        <v>3006784.8</v>
      </c>
    </row>
    <row r="107" spans="6:12" ht="15" thickBot="1" x14ac:dyDescent="0.35">
      <c r="F107" s="1566"/>
    </row>
    <row r="108" spans="6:12" ht="15" thickBot="1" x14ac:dyDescent="0.35">
      <c r="F108" s="657"/>
      <c r="G108" s="657"/>
      <c r="H108" s="1558" t="s">
        <v>515</v>
      </c>
      <c r="I108" s="1558"/>
      <c r="J108" s="1558"/>
      <c r="K108" s="1908" t="s">
        <v>972</v>
      </c>
      <c r="L108" s="1909"/>
    </row>
    <row r="109" spans="6:12" x14ac:dyDescent="0.3">
      <c r="F109" s="1152" t="s">
        <v>973</v>
      </c>
      <c r="G109" s="1152" t="s">
        <v>1011</v>
      </c>
      <c r="H109" s="1301">
        <v>70</v>
      </c>
      <c r="I109" s="1301"/>
      <c r="J109" s="1301"/>
      <c r="K109" s="1501" t="s">
        <v>974</v>
      </c>
      <c r="L109" s="2"/>
    </row>
    <row r="110" spans="6:12" x14ac:dyDescent="0.3">
      <c r="F110" s="1156" t="s">
        <v>929</v>
      </c>
      <c r="G110" s="1156" t="s">
        <v>528</v>
      </c>
      <c r="H110" s="1301">
        <v>10</v>
      </c>
      <c r="I110" s="1301"/>
      <c r="J110" s="1301"/>
      <c r="K110" s="1501">
        <v>8</v>
      </c>
      <c r="L110" s="2"/>
    </row>
    <row r="111" spans="6:12" x14ac:dyDescent="0.3">
      <c r="F111" s="1156" t="s">
        <v>975</v>
      </c>
      <c r="G111" s="1156" t="s">
        <v>528</v>
      </c>
      <c r="H111" s="1301">
        <v>3</v>
      </c>
      <c r="I111" s="1301"/>
      <c r="J111" s="1301"/>
      <c r="K111" s="1501">
        <v>1</v>
      </c>
      <c r="L111" s="2"/>
    </row>
    <row r="112" spans="6:12" x14ac:dyDescent="0.3">
      <c r="F112" s="1156" t="s">
        <v>976</v>
      </c>
      <c r="G112" s="1156" t="s">
        <v>41</v>
      </c>
      <c r="H112" s="1301">
        <v>1</v>
      </c>
      <c r="I112" s="1301"/>
      <c r="J112" s="1301"/>
      <c r="K112" s="1501"/>
      <c r="L112" s="2"/>
    </row>
    <row r="113" spans="6:28" x14ac:dyDescent="0.3">
      <c r="F113" s="1156" t="s">
        <v>977</v>
      </c>
      <c r="G113" s="1156" t="s">
        <v>298</v>
      </c>
      <c r="H113" s="1301">
        <v>15</v>
      </c>
      <c r="I113" s="1301"/>
      <c r="J113" s="1301"/>
      <c r="K113" s="1501">
        <v>2</v>
      </c>
      <c r="L113" s="2"/>
    </row>
    <row r="114" spans="6:28" x14ac:dyDescent="0.3">
      <c r="F114" s="1156" t="s">
        <v>978</v>
      </c>
      <c r="G114" s="1156" t="s">
        <v>298</v>
      </c>
      <c r="H114" s="1301">
        <v>60</v>
      </c>
      <c r="I114" s="1301"/>
      <c r="J114" s="1301"/>
      <c r="K114" s="1501">
        <v>2</v>
      </c>
      <c r="L114" s="2"/>
    </row>
    <row r="115" spans="6:28" x14ac:dyDescent="0.3">
      <c r="F115" s="1156" t="s">
        <v>518</v>
      </c>
      <c r="G115" s="1156" t="s">
        <v>23</v>
      </c>
      <c r="H115" s="1301"/>
      <c r="I115" s="1301"/>
      <c r="J115" s="1301"/>
      <c r="K115" s="1501">
        <v>2</v>
      </c>
      <c r="L115" s="2"/>
    </row>
    <row r="116" spans="6:28" x14ac:dyDescent="0.3">
      <c r="F116" s="1156" t="s">
        <v>979</v>
      </c>
      <c r="G116" s="1156"/>
      <c r="H116" s="1301"/>
      <c r="I116" s="1301"/>
      <c r="J116" s="1301"/>
      <c r="K116" s="1501">
        <v>1</v>
      </c>
      <c r="L116" s="2"/>
    </row>
    <row r="117" spans="6:28" x14ac:dyDescent="0.3">
      <c r="F117" s="1156" t="s">
        <v>980</v>
      </c>
      <c r="G117" s="1156" t="s">
        <v>286</v>
      </c>
      <c r="H117" s="417"/>
      <c r="I117" s="417"/>
      <c r="J117" s="417"/>
      <c r="K117" s="1501">
        <v>1</v>
      </c>
      <c r="L117" s="2"/>
    </row>
    <row r="118" spans="6:28" ht="15" thickBot="1" x14ac:dyDescent="0.35">
      <c r="F118" s="1154" t="s">
        <v>981</v>
      </c>
      <c r="G118" s="1154" t="s">
        <v>286</v>
      </c>
      <c r="H118" s="1559"/>
      <c r="I118" s="1559"/>
      <c r="J118" s="1559"/>
      <c r="K118" s="231">
        <v>1</v>
      </c>
      <c r="L118" s="470"/>
    </row>
    <row r="121" spans="6:28" ht="15" thickBot="1" x14ac:dyDescent="0.35"/>
    <row r="122" spans="6:28" ht="54.6" customHeight="1" thickBot="1" x14ac:dyDescent="0.35">
      <c r="F122" s="1488" t="s">
        <v>432</v>
      </c>
      <c r="G122" s="657"/>
      <c r="H122" s="43"/>
      <c r="I122" s="1958" t="s">
        <v>982</v>
      </c>
      <c r="J122" s="1959"/>
      <c r="K122" s="1960"/>
      <c r="L122" s="1958" t="s">
        <v>1012</v>
      </c>
      <c r="M122" s="1959"/>
      <c r="N122" s="1960"/>
      <c r="O122" s="1958" t="s">
        <v>413</v>
      </c>
      <c r="P122" s="1959"/>
      <c r="Q122" s="1960"/>
      <c r="R122" s="570" t="s">
        <v>1013</v>
      </c>
      <c r="S122" s="233"/>
      <c r="T122" s="233"/>
      <c r="U122" s="1958" t="s">
        <v>1014</v>
      </c>
      <c r="V122" s="1959"/>
      <c r="W122" s="1960"/>
      <c r="X122" s="1958" t="s">
        <v>1015</v>
      </c>
      <c r="Y122" s="1959"/>
      <c r="Z122" s="1958" t="s">
        <v>1016</v>
      </c>
      <c r="AA122" s="1959"/>
      <c r="AB122" s="1960"/>
    </row>
    <row r="123" spans="6:28" ht="29.4" thickBot="1" x14ac:dyDescent="0.35">
      <c r="F123" s="1560">
        <v>42765</v>
      </c>
      <c r="G123" s="570" t="s">
        <v>7</v>
      </c>
      <c r="H123" s="570" t="s">
        <v>8</v>
      </c>
      <c r="I123" s="1505" t="s">
        <v>9</v>
      </c>
      <c r="J123" s="1505" t="s">
        <v>10</v>
      </c>
      <c r="K123" s="1506" t="s">
        <v>29</v>
      </c>
      <c r="L123" s="1504" t="s">
        <v>9</v>
      </c>
      <c r="M123" s="1505" t="s">
        <v>10</v>
      </c>
      <c r="N123" s="1506" t="s">
        <v>29</v>
      </c>
      <c r="O123" s="1504" t="s">
        <v>9</v>
      </c>
      <c r="P123" s="1505" t="s">
        <v>10</v>
      </c>
      <c r="Q123" s="1506" t="s">
        <v>29</v>
      </c>
      <c r="R123" s="783"/>
      <c r="S123" s="469"/>
      <c r="T123" s="469"/>
      <c r="U123" s="1504" t="s">
        <v>9</v>
      </c>
      <c r="V123" s="1505" t="s">
        <v>10</v>
      </c>
      <c r="W123" s="1506" t="s">
        <v>29</v>
      </c>
      <c r="X123" s="1504" t="s">
        <v>9</v>
      </c>
      <c r="Y123" s="1505" t="s">
        <v>10</v>
      </c>
      <c r="Z123" s="1504" t="s">
        <v>9</v>
      </c>
      <c r="AA123" s="1505" t="s">
        <v>10</v>
      </c>
      <c r="AB123" s="1506" t="s">
        <v>29</v>
      </c>
    </row>
    <row r="124" spans="6:28" x14ac:dyDescent="0.3">
      <c r="F124" s="1151" t="s">
        <v>973</v>
      </c>
      <c r="G124" s="1156" t="s">
        <v>983</v>
      </c>
      <c r="H124" s="1156">
        <v>1</v>
      </c>
      <c r="I124" s="1561">
        <v>88692.65</v>
      </c>
      <c r="J124" s="1561">
        <f>I124*H124</f>
        <v>88692.65</v>
      </c>
      <c r="K124" s="1502"/>
      <c r="L124" s="1501" t="s">
        <v>1017</v>
      </c>
      <c r="M124" s="43"/>
      <c r="N124" s="2"/>
      <c r="O124" s="1501" t="s">
        <v>1017</v>
      </c>
      <c r="P124" s="43"/>
      <c r="Q124" s="2"/>
      <c r="R124" s="296" t="s">
        <v>1018</v>
      </c>
      <c r="S124" s="1501"/>
      <c r="T124" s="1501"/>
      <c r="U124" s="1574" t="s">
        <v>1017</v>
      </c>
      <c r="V124" s="937"/>
      <c r="W124" s="2"/>
      <c r="X124" s="1574" t="s">
        <v>1017</v>
      </c>
      <c r="Y124" s="937"/>
      <c r="Z124" s="1574"/>
      <c r="AA124" s="937"/>
      <c r="AB124" s="2"/>
    </row>
    <row r="125" spans="6:28" ht="28.8" x14ac:dyDescent="0.3">
      <c r="F125" s="1146" t="s">
        <v>984</v>
      </c>
      <c r="G125" s="1156" t="s">
        <v>298</v>
      </c>
      <c r="H125" s="1156">
        <v>4</v>
      </c>
      <c r="I125" s="1561">
        <v>2587.1999999999998</v>
      </c>
      <c r="J125" s="1561">
        <f>I125*H125</f>
        <v>10348.799999999999</v>
      </c>
      <c r="K125" s="1502"/>
      <c r="L125" s="1575">
        <v>3240</v>
      </c>
      <c r="M125" s="276">
        <f>L125*H125</f>
        <v>12960</v>
      </c>
      <c r="N125" s="1485" t="s">
        <v>1019</v>
      </c>
      <c r="P125" s="276"/>
      <c r="R125" s="296"/>
      <c r="S125" s="1501"/>
      <c r="T125" s="1501"/>
      <c r="U125" s="1574"/>
      <c r="V125" s="937"/>
      <c r="W125" s="2"/>
      <c r="X125" s="1574"/>
      <c r="Y125" s="937"/>
      <c r="Z125" s="1574"/>
      <c r="AA125" s="937"/>
      <c r="AB125" s="2"/>
    </row>
    <row r="126" spans="6:28" ht="57.6" x14ac:dyDescent="0.3">
      <c r="F126" s="1146" t="s">
        <v>985</v>
      </c>
      <c r="G126" s="1156" t="s">
        <v>298</v>
      </c>
      <c r="H126" s="1156">
        <v>6</v>
      </c>
      <c r="I126" s="1561">
        <v>1700.16</v>
      </c>
      <c r="J126" s="1561">
        <f t="shared" ref="J126:J127" si="1">I126*H126</f>
        <v>10200.960000000001</v>
      </c>
      <c r="K126" s="1502"/>
      <c r="L126" s="1575">
        <v>3240</v>
      </c>
      <c r="M126" s="276">
        <f>L126*H126</f>
        <v>19440</v>
      </c>
      <c r="N126" s="2"/>
      <c r="O126" s="1575">
        <v>3055.26</v>
      </c>
      <c r="P126" s="276">
        <f>O126*H126</f>
        <v>18331.560000000001</v>
      </c>
      <c r="Q126" s="1485" t="s">
        <v>1020</v>
      </c>
      <c r="R126" s="296" t="s">
        <v>1018</v>
      </c>
      <c r="S126" s="1501"/>
      <c r="T126" s="1501"/>
      <c r="U126" s="1574">
        <v>1980</v>
      </c>
      <c r="V126" s="937">
        <f>U126*H126</f>
        <v>11880</v>
      </c>
      <c r="W126" s="1485" t="s">
        <v>1020</v>
      </c>
      <c r="X126" s="1574" t="s">
        <v>1017</v>
      </c>
      <c r="Y126" s="937"/>
      <c r="Z126" s="1971" t="s">
        <v>1021</v>
      </c>
      <c r="AA126" s="1972"/>
      <c r="AB126" s="1973"/>
    </row>
    <row r="127" spans="6:28" x14ac:dyDescent="0.3">
      <c r="F127" s="1146" t="s">
        <v>986</v>
      </c>
      <c r="G127" s="1156" t="s">
        <v>298</v>
      </c>
      <c r="H127" s="1156">
        <v>4</v>
      </c>
      <c r="I127" s="275">
        <v>2587.1999999999998</v>
      </c>
      <c r="J127" s="1561">
        <f t="shared" si="1"/>
        <v>10348.799999999999</v>
      </c>
      <c r="K127" s="1502"/>
      <c r="L127" s="469"/>
      <c r="M127" s="43"/>
      <c r="N127" s="2"/>
      <c r="O127" s="1575">
        <v>3055.26</v>
      </c>
      <c r="P127" s="276">
        <f>O127*H127</f>
        <v>12221.04</v>
      </c>
      <c r="Q127" s="2"/>
      <c r="R127" s="296" t="s">
        <v>1018</v>
      </c>
      <c r="S127" s="1501"/>
      <c r="T127" s="1501"/>
      <c r="U127" s="1574">
        <v>1980</v>
      </c>
      <c r="V127" s="937">
        <f>U127*H127</f>
        <v>7920</v>
      </c>
      <c r="W127" s="2"/>
      <c r="X127" s="1574" t="s">
        <v>1017</v>
      </c>
      <c r="Y127" s="937"/>
      <c r="Z127" s="1574"/>
      <c r="AA127" s="937"/>
      <c r="AB127" s="2"/>
    </row>
    <row r="128" spans="6:28" x14ac:dyDescent="0.3">
      <c r="F128" s="1146"/>
      <c r="G128" s="1156"/>
      <c r="H128" s="1156"/>
      <c r="J128" s="1301"/>
      <c r="K128" s="1502"/>
      <c r="L128" s="469"/>
      <c r="M128" s="43"/>
      <c r="N128" s="2" t="s">
        <v>1022</v>
      </c>
      <c r="P128" s="43"/>
      <c r="Q128" s="2" t="s">
        <v>1022</v>
      </c>
      <c r="R128" s="783"/>
      <c r="S128" s="469"/>
      <c r="T128" s="469"/>
      <c r="U128" s="1574"/>
      <c r="V128" s="937"/>
      <c r="W128" s="2" t="s">
        <v>1022</v>
      </c>
      <c r="X128" s="1574"/>
      <c r="Y128" s="937"/>
      <c r="Z128" s="1574"/>
      <c r="AA128" s="937"/>
      <c r="AB128" s="2" t="s">
        <v>1022</v>
      </c>
    </row>
    <row r="129" spans="6:28" x14ac:dyDescent="0.3">
      <c r="F129" s="1146"/>
      <c r="G129" s="1156"/>
      <c r="H129" s="1576"/>
      <c r="I129" s="417"/>
      <c r="J129" s="417"/>
      <c r="K129" s="1502"/>
      <c r="L129" s="469"/>
      <c r="M129" s="43"/>
      <c r="N129" s="2"/>
      <c r="O129" s="469"/>
      <c r="P129" s="43"/>
      <c r="Q129" s="2"/>
      <c r="R129" s="783"/>
      <c r="S129" s="469"/>
      <c r="T129" s="469"/>
      <c r="U129" s="1574"/>
      <c r="V129" s="937"/>
      <c r="W129" s="2"/>
      <c r="X129" s="1574"/>
      <c r="Y129" s="937"/>
      <c r="Z129" s="1574"/>
      <c r="AA129" s="937"/>
      <c r="AB129" s="2"/>
    </row>
    <row r="130" spans="6:28" ht="15" thickBot="1" x14ac:dyDescent="0.35">
      <c r="F130" s="1153"/>
      <c r="G130" s="1154"/>
      <c r="H130" s="1577"/>
      <c r="I130" s="1559"/>
      <c r="J130" s="1559"/>
      <c r="K130" s="201"/>
      <c r="L130" s="471"/>
      <c r="M130" s="659"/>
      <c r="N130" s="470"/>
      <c r="O130" s="471"/>
      <c r="P130" s="659"/>
      <c r="Q130" s="470"/>
      <c r="R130" s="784"/>
      <c r="S130" s="471"/>
      <c r="T130" s="471"/>
      <c r="U130" s="273"/>
      <c r="V130" s="274"/>
      <c r="W130" s="470"/>
      <c r="X130" s="273"/>
      <c r="Y130" s="274"/>
      <c r="Z130" s="273"/>
      <c r="AA130" s="274"/>
      <c r="AB130" s="470"/>
    </row>
    <row r="131" spans="6:28" ht="18" x14ac:dyDescent="0.35">
      <c r="I131" s="33" t="s">
        <v>10</v>
      </c>
      <c r="J131" s="1564">
        <f>SUM(J124:J130)</f>
        <v>119591.21</v>
      </c>
      <c r="M131" s="1098">
        <f>SUM(M124:M130)</f>
        <v>32400</v>
      </c>
      <c r="P131" s="1098">
        <f>SUM(P124:P130)</f>
        <v>30552.600000000002</v>
      </c>
      <c r="V131" s="1098">
        <f>SUM(V124:V130)</f>
        <v>19800</v>
      </c>
      <c r="Y131" s="1098"/>
    </row>
    <row r="134" spans="6:28" ht="15.6" x14ac:dyDescent="0.3">
      <c r="F134" s="313" t="s">
        <v>987</v>
      </c>
    </row>
    <row r="137" spans="6:28" ht="25.8" x14ac:dyDescent="0.5">
      <c r="F137" s="1578" t="s">
        <v>1023</v>
      </c>
    </row>
    <row r="138" spans="6:28" x14ac:dyDescent="0.3">
      <c r="L138" s="1968" t="s">
        <v>1024</v>
      </c>
      <c r="M138" s="1968"/>
      <c r="N138" s="1968"/>
      <c r="O138" s="1968"/>
    </row>
    <row r="139" spans="6:28" x14ac:dyDescent="0.3">
      <c r="G139" s="1579" t="s">
        <v>1025</v>
      </c>
      <c r="H139" s="1579"/>
      <c r="I139" s="1579"/>
      <c r="J139" s="1580" t="s">
        <v>902</v>
      </c>
      <c r="K139" s="1580" t="s">
        <v>1026</v>
      </c>
      <c r="L139" s="1976" t="s">
        <v>1027</v>
      </c>
      <c r="M139" s="1976"/>
      <c r="N139" s="1976"/>
      <c r="O139" s="1976"/>
    </row>
    <row r="140" spans="6:28" x14ac:dyDescent="0.3">
      <c r="F140" s="1581" t="s">
        <v>1028</v>
      </c>
      <c r="G140" s="42">
        <v>198.44</v>
      </c>
      <c r="H140" s="42"/>
      <c r="I140" s="42"/>
      <c r="J140" s="1581">
        <f>G140</f>
        <v>198.44</v>
      </c>
      <c r="K140" s="66">
        <f>J140*1.2</f>
        <v>238.12799999999999</v>
      </c>
      <c r="L140" s="1570">
        <f>(K140*6)/14</f>
        <v>102.05485714285714</v>
      </c>
      <c r="M140" s="40" t="s">
        <v>1029</v>
      </c>
    </row>
    <row r="141" spans="6:28" x14ac:dyDescent="0.3">
      <c r="F141" s="1581" t="s">
        <v>1030</v>
      </c>
      <c r="G141" s="42">
        <f>30+39</f>
        <v>69</v>
      </c>
      <c r="H141" s="42"/>
      <c r="I141" s="42"/>
      <c r="J141" s="1581">
        <f t="shared" ref="J141:J143" si="2">G141</f>
        <v>69</v>
      </c>
      <c r="K141" s="66">
        <f>J141*1.2</f>
        <v>82.8</v>
      </c>
      <c r="L141" s="1570">
        <f>(K141*4)/6</f>
        <v>55.199999999999996</v>
      </c>
      <c r="M141" s="40" t="s">
        <v>1031</v>
      </c>
    </row>
    <row r="142" spans="6:28" x14ac:dyDescent="0.3">
      <c r="F142" s="1581" t="s">
        <v>1032</v>
      </c>
      <c r="G142" s="42">
        <v>140</v>
      </c>
      <c r="H142" s="42"/>
      <c r="I142" s="42"/>
      <c r="J142" s="1581">
        <f t="shared" si="2"/>
        <v>140</v>
      </c>
      <c r="K142" s="66">
        <f>J142*1.2</f>
        <v>168</v>
      </c>
      <c r="L142" s="1570">
        <f>K142/100</f>
        <v>1.68</v>
      </c>
      <c r="M142" s="40" t="s">
        <v>1011</v>
      </c>
      <c r="N142" s="40" t="s">
        <v>1183</v>
      </c>
      <c r="O142" s="40">
        <v>3</v>
      </c>
    </row>
    <row r="143" spans="6:28" x14ac:dyDescent="0.3">
      <c r="F143" s="1581" t="s">
        <v>1033</v>
      </c>
      <c r="G143" s="42"/>
      <c r="H143" s="42"/>
      <c r="I143" s="42"/>
      <c r="J143" s="1581">
        <f t="shared" si="2"/>
        <v>0</v>
      </c>
      <c r="K143" s="66"/>
      <c r="L143" s="1583">
        <f>(54/1000)*6</f>
        <v>0.32400000000000001</v>
      </c>
      <c r="M143" s="40" t="s">
        <v>23</v>
      </c>
    </row>
    <row r="144" spans="6:28" x14ac:dyDescent="0.3">
      <c r="F144" s="1581" t="s">
        <v>1034</v>
      </c>
      <c r="G144" s="42"/>
      <c r="H144" s="42"/>
      <c r="I144" s="42"/>
      <c r="J144" s="1582"/>
      <c r="K144" s="66"/>
      <c r="L144" s="1583">
        <f>(6*(K140+K141)/19)</f>
        <v>101.34568421052631</v>
      </c>
      <c r="M144" s="40" t="s">
        <v>1035</v>
      </c>
    </row>
    <row r="145" spans="6:15" ht="15" thickBot="1" x14ac:dyDescent="0.35">
      <c r="F145" s="1581" t="s">
        <v>1036</v>
      </c>
      <c r="G145" s="42"/>
      <c r="H145" s="42"/>
      <c r="I145" s="42"/>
      <c r="J145" s="1582"/>
      <c r="K145" s="66"/>
      <c r="L145" s="1570">
        <f>228*1.1</f>
        <v>250.8</v>
      </c>
      <c r="M145" s="40" t="s">
        <v>1037</v>
      </c>
    </row>
    <row r="146" spans="6:15" s="1267" customFormat="1" x14ac:dyDescent="0.3">
      <c r="F146" s="417"/>
      <c r="G146" s="417"/>
      <c r="H146" s="417"/>
      <c r="I146" s="417"/>
      <c r="J146" s="417"/>
      <c r="K146" s="1146"/>
      <c r="L146" s="1584" t="s">
        <v>1038</v>
      </c>
      <c r="M146" s="1585"/>
      <c r="N146" s="1586"/>
    </row>
    <row r="147" spans="6:15" s="1267" customFormat="1" x14ac:dyDescent="0.3">
      <c r="F147" s="417"/>
      <c r="G147" s="417"/>
      <c r="H147" s="417"/>
      <c r="I147" s="417"/>
      <c r="J147" s="417"/>
      <c r="K147" s="1146"/>
      <c r="L147" s="1587" t="s">
        <v>1039</v>
      </c>
      <c r="M147" s="1301" t="s">
        <v>1040</v>
      </c>
      <c r="N147" s="1300" t="s">
        <v>1041</v>
      </c>
    </row>
    <row r="148" spans="6:15" s="1267" customFormat="1" x14ac:dyDescent="0.3">
      <c r="F148" s="417"/>
      <c r="G148" s="417"/>
      <c r="H148" s="417"/>
      <c r="I148" s="417"/>
      <c r="J148" s="417">
        <f>J140+J141</f>
        <v>267.44</v>
      </c>
      <c r="K148" s="1146" t="s">
        <v>1042</v>
      </c>
      <c r="L148" s="1587">
        <f>K140</f>
        <v>238.12799999999999</v>
      </c>
      <c r="M148" s="1301"/>
      <c r="N148" s="1300"/>
      <c r="O148" s="1588"/>
    </row>
    <row r="149" spans="6:15" s="1267" customFormat="1" x14ac:dyDescent="0.3">
      <c r="F149" s="417"/>
      <c r="G149" s="417"/>
      <c r="H149" s="417"/>
      <c r="I149" s="417"/>
      <c r="J149" s="417"/>
      <c r="K149" s="1146" t="s">
        <v>1043</v>
      </c>
      <c r="L149" s="1587">
        <f>K141</f>
        <v>82.8</v>
      </c>
      <c r="M149" s="1301"/>
      <c r="N149" s="1300"/>
      <c r="O149" s="1588"/>
    </row>
    <row r="150" spans="6:15" s="1267" customFormat="1" ht="15" thickBot="1" x14ac:dyDescent="0.35">
      <c r="F150" s="417"/>
      <c r="G150" s="417"/>
      <c r="H150" s="417"/>
      <c r="I150" s="417"/>
      <c r="J150" s="417"/>
      <c r="K150" s="1146" t="s">
        <v>1044</v>
      </c>
      <c r="L150" s="1587">
        <f>K142</f>
        <v>168</v>
      </c>
      <c r="M150" s="1301">
        <v>497.86</v>
      </c>
      <c r="N150" s="1502">
        <v>66.819999999999993</v>
      </c>
      <c r="O150" s="1588"/>
    </row>
    <row r="151" spans="6:15" s="1267" customFormat="1" x14ac:dyDescent="0.3">
      <c r="F151" s="417"/>
      <c r="G151" s="417"/>
      <c r="H151" s="417"/>
      <c r="I151" s="417"/>
      <c r="J151" s="417"/>
      <c r="K151" s="1151"/>
      <c r="L151" s="1584" t="s">
        <v>1045</v>
      </c>
      <c r="M151" s="1585"/>
      <c r="N151" s="1586"/>
    </row>
    <row r="152" spans="6:15" x14ac:dyDescent="0.3">
      <c r="H152" s="33">
        <f>59500</f>
        <v>59500</v>
      </c>
      <c r="K152" s="469"/>
      <c r="L152" s="1587" t="s">
        <v>1039</v>
      </c>
      <c r="M152" s="1301" t="s">
        <v>1040</v>
      </c>
      <c r="N152" s="1300" t="s">
        <v>1041</v>
      </c>
    </row>
    <row r="153" spans="6:15" x14ac:dyDescent="0.3">
      <c r="H153" s="33">
        <f>59500</f>
        <v>59500</v>
      </c>
      <c r="K153" s="1146" t="s">
        <v>1042</v>
      </c>
      <c r="L153" s="1589">
        <f>((L148*6)/14)*1.2</f>
        <v>122.46582857142857</v>
      </c>
      <c r="M153" s="1589">
        <f>((M148*6)/14)*1.2</f>
        <v>0</v>
      </c>
      <c r="N153" s="1590">
        <f>((N148*6)/14)*1.2</f>
        <v>0</v>
      </c>
    </row>
    <row r="154" spans="6:15" x14ac:dyDescent="0.3">
      <c r="H154" s="33">
        <v>1720</v>
      </c>
      <c r="K154" s="1146" t="s">
        <v>1043</v>
      </c>
      <c r="L154" s="1589">
        <f>((L149*4)/6)*1.2</f>
        <v>66.239999999999995</v>
      </c>
      <c r="M154" s="1589">
        <f>((M149*4)/6)*1.2</f>
        <v>0</v>
      </c>
      <c r="N154" s="1590">
        <f>((N149*4)/6)*1.2</f>
        <v>0</v>
      </c>
    </row>
    <row r="155" spans="6:15" x14ac:dyDescent="0.3">
      <c r="K155" s="1146" t="s">
        <v>1046</v>
      </c>
      <c r="L155" s="1589">
        <f>(L150/100)*1.2</f>
        <v>2.016</v>
      </c>
      <c r="M155" s="1589">
        <f>(M150/100)*1.2</f>
        <v>5.9743199999999996</v>
      </c>
      <c r="N155" s="1590">
        <f>(N150/100)*1.2</f>
        <v>0.80183999999999989</v>
      </c>
    </row>
    <row r="156" spans="6:15" x14ac:dyDescent="0.3">
      <c r="K156" s="1146" t="s">
        <v>518</v>
      </c>
      <c r="L156" s="1589">
        <f>(((L148+L149)*0.32)/19)*1.1</f>
        <v>5.9456134736842108</v>
      </c>
      <c r="M156" s="1589">
        <f>((M148+M149)*0.32/19)*1.1</f>
        <v>0</v>
      </c>
      <c r="N156" s="1590">
        <f>(((N148+N149)*0.32)/19)*1.1</f>
        <v>0</v>
      </c>
    </row>
    <row r="157" spans="6:15" x14ac:dyDescent="0.3">
      <c r="K157" s="1146" t="s">
        <v>1047</v>
      </c>
      <c r="L157" s="1589">
        <f>(((L149+L148)*6)/19)*1.2</f>
        <v>121.61482105263157</v>
      </c>
      <c r="M157" s="1589">
        <f>(((M149+M148)*6)/19)*1.2</f>
        <v>0</v>
      </c>
      <c r="N157" s="1590">
        <f>(((N149+N148)*6)/19)*1.2</f>
        <v>0</v>
      </c>
    </row>
    <row r="158" spans="6:15" ht="15" thickBot="1" x14ac:dyDescent="0.35">
      <c r="K158" s="1153" t="s">
        <v>1048</v>
      </c>
      <c r="L158" s="1591">
        <f>((L148+L149)/(10))*1.2</f>
        <v>38.511359999999996</v>
      </c>
      <c r="M158" s="1591">
        <f>((M148+M149)/(10))*1.2</f>
        <v>0</v>
      </c>
      <c r="N158" s="1591">
        <f>((N148+N149)/(10))*1.2</f>
        <v>0</v>
      </c>
    </row>
    <row r="159" spans="6:15" x14ac:dyDescent="0.3">
      <c r="K159" s="1301"/>
      <c r="L159" s="1589"/>
      <c r="M159" s="1589"/>
      <c r="N159" s="1589"/>
    </row>
    <row r="160" spans="6:15" x14ac:dyDescent="0.3">
      <c r="K160" s="1301"/>
      <c r="L160" s="1589"/>
      <c r="M160" s="1589"/>
      <c r="N160" s="1589"/>
    </row>
    <row r="161" spans="4:52" x14ac:dyDescent="0.3">
      <c r="K161" s="1301"/>
      <c r="L161" s="1589"/>
      <c r="M161" s="1589"/>
      <c r="N161" s="1589"/>
    </row>
    <row r="162" spans="4:52" x14ac:dyDescent="0.3">
      <c r="K162" s="1301"/>
      <c r="L162" s="1589"/>
      <c r="M162" s="1589"/>
      <c r="N162" s="1589"/>
    </row>
    <row r="163" spans="4:52" x14ac:dyDescent="0.3">
      <c r="K163" s="1301"/>
      <c r="L163" s="1589"/>
      <c r="M163" s="1589"/>
      <c r="N163" s="1589"/>
    </row>
    <row r="164" spans="4:52" x14ac:dyDescent="0.3">
      <c r="K164" s="1301"/>
      <c r="L164" s="1589"/>
      <c r="M164" s="1589"/>
      <c r="N164" s="1589"/>
    </row>
    <row r="165" spans="4:52" x14ac:dyDescent="0.3">
      <c r="F165" s="1592" t="s">
        <v>1049</v>
      </c>
      <c r="K165" s="1301"/>
      <c r="L165" s="1589"/>
      <c r="M165" s="1589"/>
      <c r="N165" s="1589"/>
    </row>
    <row r="166" spans="4:52" x14ac:dyDescent="0.3">
      <c r="K166" s="1301"/>
      <c r="L166" s="1589"/>
      <c r="M166" s="1589"/>
      <c r="N166" s="1589"/>
    </row>
    <row r="167" spans="4:52" ht="15" thickBot="1" x14ac:dyDescent="0.35"/>
    <row r="168" spans="4:52" ht="55.2" customHeight="1" thickBot="1" x14ac:dyDescent="0.35">
      <c r="Z168" s="1958"/>
      <c r="AA168" s="1959"/>
      <c r="AB168" s="1960"/>
      <c r="AJ168" s="1593" t="s">
        <v>495</v>
      </c>
      <c r="AK168" s="657"/>
      <c r="AL168" s="43"/>
      <c r="AM168" s="1958" t="s">
        <v>982</v>
      </c>
      <c r="AN168" s="1959"/>
      <c r="AO168" s="1960"/>
      <c r="AP168" s="1958" t="s">
        <v>1012</v>
      </c>
      <c r="AQ168" s="1959"/>
      <c r="AR168" s="1958" t="s">
        <v>1050</v>
      </c>
      <c r="AS168" s="1959"/>
      <c r="AT168" s="1960"/>
      <c r="AU168" s="1958" t="s">
        <v>1051</v>
      </c>
      <c r="AV168" s="1959"/>
      <c r="AW168" s="1958" t="s">
        <v>1014</v>
      </c>
      <c r="AX168" s="1959"/>
      <c r="AY168" s="1958" t="s">
        <v>1016</v>
      </c>
      <c r="AZ168" s="1959"/>
    </row>
    <row r="169" spans="4:52" ht="34.200000000000003" customHeight="1" thickBot="1" x14ac:dyDescent="0.35">
      <c r="Z169" s="233"/>
      <c r="AA169" s="767"/>
      <c r="AB169" s="1594"/>
      <c r="AJ169" s="1560">
        <v>42788</v>
      </c>
      <c r="AK169" s="570" t="s">
        <v>7</v>
      </c>
      <c r="AL169" s="570" t="s">
        <v>8</v>
      </c>
      <c r="AM169" s="1505" t="s">
        <v>9</v>
      </c>
      <c r="AN169" s="1505" t="s">
        <v>10</v>
      </c>
      <c r="AO169" s="1506" t="s">
        <v>29</v>
      </c>
      <c r="AP169" s="1504" t="s">
        <v>9</v>
      </c>
      <c r="AQ169" s="1505" t="s">
        <v>10</v>
      </c>
      <c r="AR169" s="233" t="s">
        <v>9</v>
      </c>
      <c r="AS169" s="767" t="s">
        <v>10</v>
      </c>
      <c r="AT169" s="1594" t="s">
        <v>29</v>
      </c>
      <c r="AU169" s="1504" t="s">
        <v>9</v>
      </c>
      <c r="AV169" s="1505" t="s">
        <v>10</v>
      </c>
      <c r="AW169" s="233" t="s">
        <v>9</v>
      </c>
      <c r="AX169" s="767" t="s">
        <v>10</v>
      </c>
      <c r="AY169" s="233" t="s">
        <v>9</v>
      </c>
      <c r="AZ169" s="767" t="s">
        <v>10</v>
      </c>
    </row>
    <row r="170" spans="4:52" x14ac:dyDescent="0.3">
      <c r="Z170" s="1574"/>
      <c r="AA170" s="937"/>
      <c r="AB170" s="2"/>
      <c r="AJ170" s="1151" t="s">
        <v>973</v>
      </c>
      <c r="AK170" s="1595" t="s">
        <v>983</v>
      </c>
      <c r="AL170" s="1595">
        <v>14</v>
      </c>
      <c r="AM170" s="1596">
        <f>88692.65</f>
        <v>88692.65</v>
      </c>
      <c r="AN170" s="1597">
        <f>AM170*AL170</f>
        <v>1241697.0999999999</v>
      </c>
      <c r="AO170" s="1487" t="s">
        <v>1052</v>
      </c>
      <c r="AP170" s="1598">
        <v>108500</v>
      </c>
      <c r="AQ170" s="1100">
        <f>AP170*AL170</f>
        <v>1519000</v>
      </c>
      <c r="AR170" s="1483" t="s">
        <v>1017</v>
      </c>
      <c r="AS170" s="43"/>
      <c r="AT170" s="43"/>
      <c r="AU170" s="1598">
        <f>1000*100</f>
        <v>100000</v>
      </c>
      <c r="AV170" s="1100">
        <f>AU170*AL170</f>
        <v>1400000</v>
      </c>
      <c r="AW170" s="1494" t="s">
        <v>1017</v>
      </c>
      <c r="AX170" s="269"/>
      <c r="AY170" s="1574">
        <v>110000</v>
      </c>
      <c r="AZ170" s="937">
        <f>AY170*AL170</f>
        <v>1540000</v>
      </c>
    </row>
    <row r="171" spans="4:52" x14ac:dyDescent="0.3">
      <c r="Z171" s="1574"/>
      <c r="AA171" s="937"/>
      <c r="AB171" s="2"/>
      <c r="AJ171" s="1146"/>
      <c r="AK171" s="1595"/>
      <c r="AL171" s="1595"/>
      <c r="AM171" s="1599"/>
      <c r="AN171" s="1561"/>
      <c r="AO171" s="1483"/>
      <c r="AP171" s="1575"/>
      <c r="AQ171" s="276"/>
      <c r="AS171" s="276"/>
      <c r="AU171" s="1501"/>
      <c r="AV171" s="1483"/>
      <c r="AW171" s="1574"/>
      <c r="AX171" s="1600"/>
      <c r="AY171" s="1574"/>
      <c r="AZ171" s="937"/>
    </row>
    <row r="172" spans="4:52" ht="57.6" x14ac:dyDescent="0.3">
      <c r="D172" s="40" t="s">
        <v>1053</v>
      </c>
      <c r="E172" s="40">
        <v>8876.75</v>
      </c>
      <c r="Z172" s="1574"/>
      <c r="AA172" s="949"/>
      <c r="AB172" s="1601"/>
      <c r="AJ172" s="1146" t="s">
        <v>985</v>
      </c>
      <c r="AK172" s="1595" t="s">
        <v>298</v>
      </c>
      <c r="AL172" s="1595">
        <v>540</v>
      </c>
      <c r="AM172" s="1599">
        <v>2150</v>
      </c>
      <c r="AN172" s="1561">
        <f>AM172*AL172</f>
        <v>1161000</v>
      </c>
      <c r="AO172" s="1488" t="s">
        <v>1054</v>
      </c>
      <c r="AP172" s="1575">
        <v>3850</v>
      </c>
      <c r="AQ172" s="276">
        <f>AP172*AL172</f>
        <v>2079000</v>
      </c>
      <c r="AR172" s="1098">
        <f>2727.91*1.12</f>
        <v>3055.2592</v>
      </c>
      <c r="AS172" s="276">
        <f>AR172*AL172</f>
        <v>1649839.9679999999</v>
      </c>
      <c r="AT172" s="1488" t="s">
        <v>1020</v>
      </c>
      <c r="AU172" s="1602">
        <v>2500</v>
      </c>
      <c r="AV172" s="276">
        <f>AU172*AL172</f>
        <v>1350000</v>
      </c>
      <c r="AW172" s="1603">
        <v>3250</v>
      </c>
      <c r="AX172" s="1600">
        <f>AW172*AL172</f>
        <v>1755000</v>
      </c>
      <c r="AY172" s="1603">
        <v>3752.25</v>
      </c>
      <c r="AZ172" s="1604">
        <f>AY172*AL172</f>
        <v>2026215</v>
      </c>
    </row>
    <row r="173" spans="4:52" x14ac:dyDescent="0.3">
      <c r="Z173" s="1574"/>
      <c r="AA173" s="937"/>
      <c r="AB173" s="2"/>
      <c r="AJ173" s="1146" t="s">
        <v>986</v>
      </c>
      <c r="AK173" s="1595" t="s">
        <v>298</v>
      </c>
      <c r="AL173" s="1595">
        <v>92</v>
      </c>
      <c r="AM173" s="1574" t="s">
        <v>1055</v>
      </c>
      <c r="AN173" s="1561"/>
      <c r="AO173" s="1483"/>
      <c r="AP173" s="1501">
        <v>3850</v>
      </c>
      <c r="AQ173" s="276">
        <f>AP173*AL173</f>
        <v>354200</v>
      </c>
      <c r="AR173" s="1098">
        <f>2727.91*1.12</f>
        <v>3055.2592</v>
      </c>
      <c r="AS173" s="276">
        <f>AR173*AL173</f>
        <v>281083.84639999998</v>
      </c>
      <c r="AT173" s="43"/>
      <c r="AU173" s="1602">
        <v>2500</v>
      </c>
      <c r="AV173" s="276">
        <f>AU173*AL173</f>
        <v>230000</v>
      </c>
      <c r="AW173" s="1603">
        <v>3250</v>
      </c>
      <c r="AX173" s="1600">
        <f>AW173*AL173</f>
        <v>299000</v>
      </c>
      <c r="AY173" s="1603">
        <v>3752.25</v>
      </c>
      <c r="AZ173" s="1604">
        <f>AY173*AL173</f>
        <v>345207</v>
      </c>
    </row>
    <row r="174" spans="4:52" ht="28.8" x14ac:dyDescent="0.3">
      <c r="Z174" s="1574"/>
      <c r="AA174" s="937"/>
      <c r="AB174" s="2"/>
      <c r="AJ174" s="1146" t="s">
        <v>1056</v>
      </c>
      <c r="AK174" s="1595" t="s">
        <v>16</v>
      </c>
      <c r="AL174" s="1156">
        <v>4</v>
      </c>
      <c r="AM174" s="469"/>
      <c r="AN174" s="1301"/>
      <c r="AO174" s="1483"/>
      <c r="AP174" s="469"/>
      <c r="AQ174" s="43"/>
      <c r="AS174" s="43"/>
      <c r="AT174" s="43" t="s">
        <v>1022</v>
      </c>
      <c r="AU174" s="469"/>
      <c r="AV174" s="43"/>
      <c r="AW174" s="1574"/>
      <c r="AX174" s="1600"/>
      <c r="AY174" s="1574"/>
      <c r="AZ174" s="937"/>
    </row>
    <row r="175" spans="4:52" x14ac:dyDescent="0.3">
      <c r="Z175" s="1574"/>
      <c r="AA175" s="937"/>
      <c r="AB175" s="2"/>
      <c r="AJ175" s="1146" t="s">
        <v>1057</v>
      </c>
      <c r="AK175" s="1595" t="s">
        <v>750</v>
      </c>
      <c r="AL175" s="1156">
        <v>3</v>
      </c>
      <c r="AM175" s="1562">
        <v>6802.16</v>
      </c>
      <c r="AN175" s="417">
        <f>AL175*AM175</f>
        <v>20406.48</v>
      </c>
      <c r="AO175" s="1483"/>
      <c r="AP175" s="469"/>
      <c r="AQ175" s="43"/>
      <c r="AR175" s="43"/>
      <c r="AS175" s="43"/>
      <c r="AT175" s="43"/>
      <c r="AU175" s="469"/>
      <c r="AV175" s="43"/>
      <c r="AW175" s="1574"/>
      <c r="AX175" s="1600"/>
      <c r="AY175" s="1574"/>
      <c r="AZ175" s="937"/>
    </row>
    <row r="176" spans="4:52" ht="15" thickBot="1" x14ac:dyDescent="0.35">
      <c r="Z176" s="273"/>
      <c r="AA176" s="274"/>
      <c r="AB176" s="470"/>
      <c r="AJ176" s="1153"/>
      <c r="AK176" s="1605"/>
      <c r="AL176" s="1577"/>
      <c r="AM176" s="1563"/>
      <c r="AN176" s="1559"/>
      <c r="AO176" s="171"/>
      <c r="AP176" s="471"/>
      <c r="AQ176" s="659"/>
      <c r="AR176" s="659"/>
      <c r="AS176" s="659"/>
      <c r="AT176" s="659"/>
      <c r="AU176" s="471"/>
      <c r="AV176" s="659"/>
      <c r="AW176" s="273"/>
      <c r="AX176" s="1606"/>
      <c r="AY176" s="273"/>
      <c r="AZ176" s="274"/>
    </row>
    <row r="177" spans="6:52" ht="18" x14ac:dyDescent="0.35">
      <c r="Z177" s="1098"/>
      <c r="AA177" s="1098"/>
      <c r="AM177" s="33" t="s">
        <v>10</v>
      </c>
      <c r="AN177" s="1564">
        <f>SUM(AN170:AN176)</f>
        <v>2423103.5799999996</v>
      </c>
      <c r="AQ177" s="1098">
        <f>SUM(AQ170:AQ176)</f>
        <v>3952200</v>
      </c>
      <c r="AS177" s="1098">
        <f>SUM(AS170:AS176)</f>
        <v>1930923.8143999998</v>
      </c>
      <c r="AV177" s="1098">
        <f>SUM(AV172:AV176)</f>
        <v>1580000</v>
      </c>
      <c r="AX177" s="1098">
        <f>SUM(AX170:AX176)</f>
        <v>2054000</v>
      </c>
      <c r="AZ177" s="1098">
        <f>SUM(AZ170:AZ176)</f>
        <v>3911422</v>
      </c>
    </row>
    <row r="178" spans="6:52" ht="69.599999999999994" customHeight="1" x14ac:dyDescent="0.3">
      <c r="AJ178" s="1969" t="s">
        <v>1058</v>
      </c>
      <c r="AK178" s="1969"/>
      <c r="AL178" s="1969"/>
      <c r="AM178" s="1969"/>
      <c r="AN178" s="1969"/>
      <c r="AO178" s="1969"/>
      <c r="AP178" s="1969"/>
      <c r="AU178" s="1970" t="s">
        <v>1059</v>
      </c>
      <c r="AV178" s="1970"/>
    </row>
    <row r="181" spans="6:52" ht="15" thickBot="1" x14ac:dyDescent="0.35"/>
    <row r="182" spans="6:52" ht="15" customHeight="1" thickBot="1" x14ac:dyDescent="0.35">
      <c r="F182" s="1977" t="s">
        <v>1060</v>
      </c>
      <c r="G182" s="1978"/>
      <c r="H182" s="1978"/>
      <c r="I182" s="1978"/>
      <c r="J182" s="1978"/>
      <c r="K182" s="1978"/>
      <c r="L182" s="1978"/>
      <c r="M182" s="1978"/>
      <c r="N182" s="1978"/>
      <c r="O182" s="1978"/>
      <c r="P182" s="1978"/>
      <c r="Q182" s="1978"/>
      <c r="R182" s="1978"/>
      <c r="S182" s="1978"/>
      <c r="T182" s="1978"/>
      <c r="U182" s="1978"/>
      <c r="V182" s="1978"/>
      <c r="W182" s="1978"/>
      <c r="X182" s="1979"/>
    </row>
    <row r="183" spans="6:52" ht="15" thickBot="1" x14ac:dyDescent="0.35">
      <c r="F183" s="1974" t="s">
        <v>542</v>
      </c>
      <c r="G183" s="1975"/>
      <c r="H183" s="1489" t="s">
        <v>543</v>
      </c>
      <c r="I183" s="1486" t="s">
        <v>544</v>
      </c>
      <c r="J183" s="1486" t="s">
        <v>545</v>
      </c>
      <c r="K183" s="1486" t="s">
        <v>546</v>
      </c>
      <c r="L183" s="1486" t="s">
        <v>547</v>
      </c>
      <c r="M183" s="1486" t="s">
        <v>548</v>
      </c>
      <c r="N183" s="1486" t="s">
        <v>549</v>
      </c>
      <c r="O183" s="1486" t="s">
        <v>550</v>
      </c>
      <c r="P183" s="1486" t="s">
        <v>551</v>
      </c>
      <c r="Q183" s="1486" t="s">
        <v>552</v>
      </c>
      <c r="R183" s="1486" t="s">
        <v>553</v>
      </c>
      <c r="S183" s="1486" t="s">
        <v>554</v>
      </c>
      <c r="T183" s="1486" t="s">
        <v>556</v>
      </c>
      <c r="U183" s="1486" t="s">
        <v>557</v>
      </c>
      <c r="V183" s="1486" t="s">
        <v>558</v>
      </c>
      <c r="W183" s="1486" t="s">
        <v>563</v>
      </c>
      <c r="X183" s="1607" t="s">
        <v>10</v>
      </c>
    </row>
    <row r="184" spans="6:52" ht="15" thickBot="1" x14ac:dyDescent="0.35">
      <c r="F184" s="1966" t="s">
        <v>1061</v>
      </c>
      <c r="G184" s="1967"/>
      <c r="H184" s="1608">
        <f>(AM170*L155)+(AU172*400)+(AU173*30)+(35*19500)</f>
        <v>1936304.3824</v>
      </c>
      <c r="I184" s="1486"/>
      <c r="J184" s="1486"/>
      <c r="K184" s="1486"/>
      <c r="L184" s="1486"/>
      <c r="M184" s="1486"/>
      <c r="N184" s="1486"/>
      <c r="O184" s="1609">
        <f>(AU172*M153)+(AU173*M154)+AM170*M155</f>
        <v>529878.27274799999</v>
      </c>
      <c r="P184" s="1486"/>
      <c r="Q184" s="1486"/>
      <c r="R184" s="1486"/>
      <c r="S184" s="1486"/>
      <c r="T184" s="555"/>
      <c r="U184" s="555"/>
      <c r="V184" s="555"/>
      <c r="W184" s="556"/>
      <c r="X184" s="1610">
        <f>SUM(H184:W184)</f>
        <v>2466182.655148</v>
      </c>
    </row>
    <row r="185" spans="6:52" ht="15" thickBot="1" x14ac:dyDescent="0.35">
      <c r="F185" s="1948" t="s">
        <v>1062</v>
      </c>
      <c r="G185" s="1949"/>
      <c r="H185" s="1575"/>
      <c r="I185" s="276">
        <f>160*5500</f>
        <v>880000</v>
      </c>
      <c r="J185" s="276">
        <f t="shared" ref="J185:S186" si="3">160*5500</f>
        <v>880000</v>
      </c>
      <c r="K185" s="276">
        <f t="shared" si="3"/>
        <v>880000</v>
      </c>
      <c r="L185" s="276">
        <f t="shared" si="3"/>
        <v>880000</v>
      </c>
      <c r="M185" s="276">
        <f t="shared" si="3"/>
        <v>880000</v>
      </c>
      <c r="N185" s="276">
        <f t="shared" si="3"/>
        <v>880000</v>
      </c>
      <c r="O185" s="276">
        <f t="shared" si="3"/>
        <v>880000</v>
      </c>
      <c r="P185" s="1095">
        <f>49*5500</f>
        <v>269500</v>
      </c>
      <c r="Q185" s="1095"/>
      <c r="R185" s="1095"/>
      <c r="S185" s="1095"/>
      <c r="T185" s="43"/>
      <c r="U185" s="43"/>
      <c r="V185" s="43"/>
      <c r="W185" s="2"/>
      <c r="X185" s="1611">
        <f>SUM(H185:W185)</f>
        <v>6429500</v>
      </c>
    </row>
    <row r="186" spans="6:52" ht="15" thickBot="1" x14ac:dyDescent="0.35">
      <c r="F186" s="1958" t="s">
        <v>1063</v>
      </c>
      <c r="G186" s="1959"/>
      <c r="H186" s="1575"/>
      <c r="I186" s="276"/>
      <c r="J186" s="1095"/>
      <c r="K186" s="1095"/>
      <c r="L186" s="1095"/>
      <c r="M186" s="1095"/>
      <c r="N186" s="1095"/>
      <c r="O186" s="1095"/>
      <c r="P186" s="1095">
        <f>100*5500</f>
        <v>550000</v>
      </c>
      <c r="Q186" s="276">
        <f t="shared" si="3"/>
        <v>880000</v>
      </c>
      <c r="R186" s="276">
        <f t="shared" si="3"/>
        <v>880000</v>
      </c>
      <c r="S186" s="276">
        <f t="shared" si="3"/>
        <v>880000</v>
      </c>
      <c r="T186" s="276">
        <f>56*5500</f>
        <v>308000</v>
      </c>
      <c r="U186" s="43"/>
      <c r="V186" s="43"/>
      <c r="W186" s="2"/>
      <c r="X186" s="1611">
        <f>SUM(H186:W186)</f>
        <v>3498000</v>
      </c>
    </row>
    <row r="187" spans="6:52" ht="15" thickBot="1" x14ac:dyDescent="0.35">
      <c r="F187" s="231" t="s">
        <v>1064</v>
      </c>
      <c r="G187" s="171"/>
      <c r="H187" s="1612"/>
      <c r="I187" s="1119"/>
      <c r="J187" s="1096"/>
      <c r="K187" s="1096"/>
      <c r="L187" s="1096"/>
      <c r="M187" s="1096"/>
      <c r="N187" s="1096"/>
      <c r="O187" s="1096"/>
      <c r="P187" s="1096"/>
      <c r="Q187" s="1103"/>
      <c r="R187" s="1103"/>
      <c r="S187" s="1103"/>
      <c r="T187" s="659"/>
      <c r="U187" s="1119">
        <f>60*5500</f>
        <v>330000</v>
      </c>
      <c r="V187" s="659"/>
      <c r="W187" s="470"/>
      <c r="X187" s="1613">
        <f>SUM(H187:W187)</f>
        <v>330000</v>
      </c>
    </row>
    <row r="188" spans="6:52" ht="16.2" thickBot="1" x14ac:dyDescent="0.35">
      <c r="F188" s="1908" t="s">
        <v>1065</v>
      </c>
      <c r="G188" s="1909"/>
      <c r="H188" s="1571">
        <f>SUM(H184:H187)</f>
        <v>1936304.3824</v>
      </c>
      <c r="I188" s="1571">
        <f t="shared" ref="I188:W188" si="4">SUM(I184:I187)</f>
        <v>880000</v>
      </c>
      <c r="J188" s="1571">
        <f t="shared" si="4"/>
        <v>880000</v>
      </c>
      <c r="K188" s="1571">
        <f t="shared" si="4"/>
        <v>880000</v>
      </c>
      <c r="L188" s="1571">
        <f t="shared" si="4"/>
        <v>880000</v>
      </c>
      <c r="M188" s="1571">
        <f t="shared" si="4"/>
        <v>880000</v>
      </c>
      <c r="N188" s="1571">
        <f t="shared" si="4"/>
        <v>880000</v>
      </c>
      <c r="O188" s="1571">
        <f t="shared" si="4"/>
        <v>1409878.272748</v>
      </c>
      <c r="P188" s="1571">
        <f t="shared" si="4"/>
        <v>819500</v>
      </c>
      <c r="Q188" s="1571">
        <f t="shared" si="4"/>
        <v>880000</v>
      </c>
      <c r="R188" s="1571">
        <f t="shared" si="4"/>
        <v>880000</v>
      </c>
      <c r="S188" s="1571">
        <f t="shared" si="4"/>
        <v>880000</v>
      </c>
      <c r="T188" s="1571">
        <f t="shared" si="4"/>
        <v>308000</v>
      </c>
      <c r="U188" s="1571">
        <f t="shared" si="4"/>
        <v>330000</v>
      </c>
      <c r="V188" s="1571">
        <f t="shared" si="4"/>
        <v>0</v>
      </c>
      <c r="W188" s="1571">
        <f t="shared" si="4"/>
        <v>0</v>
      </c>
      <c r="X188" s="1614">
        <f>SUM(X184:X187)</f>
        <v>12723682.655148</v>
      </c>
    </row>
    <row r="192" spans="6:52" ht="18.600000000000001" thickBot="1" x14ac:dyDescent="0.4">
      <c r="G192" s="54"/>
      <c r="J192" s="1968"/>
      <c r="K192" s="1968"/>
    </row>
    <row r="193" spans="6:15" ht="15" thickBot="1" x14ac:dyDescent="0.35">
      <c r="J193" s="1836" t="s">
        <v>0</v>
      </c>
      <c r="K193" s="1837"/>
      <c r="L193" s="1836" t="s">
        <v>0</v>
      </c>
      <c r="M193" s="1837"/>
      <c r="N193" s="1836" t="s">
        <v>0</v>
      </c>
      <c r="O193" s="1837"/>
    </row>
    <row r="194" spans="6:15" ht="18.600000000000001" thickBot="1" x14ac:dyDescent="0.4">
      <c r="F194" s="54" t="s">
        <v>1066</v>
      </c>
      <c r="J194" s="1615" t="s">
        <v>1067</v>
      </c>
      <c r="K194" s="1616" t="s">
        <v>2</v>
      </c>
      <c r="L194" s="1615" t="s">
        <v>1067</v>
      </c>
      <c r="M194" s="1616" t="s">
        <v>2</v>
      </c>
      <c r="N194" s="1617" t="s">
        <v>1068</v>
      </c>
      <c r="O194" s="1618" t="s">
        <v>4</v>
      </c>
    </row>
    <row r="195" spans="6:15" ht="71.400000000000006" customHeight="1" thickBot="1" x14ac:dyDescent="0.35">
      <c r="G195" s="1619">
        <v>42787</v>
      </c>
      <c r="J195" s="1826" t="s">
        <v>1069</v>
      </c>
      <c r="K195" s="1961"/>
      <c r="L195" s="1962"/>
      <c r="M195" s="1963"/>
      <c r="N195" s="1964"/>
      <c r="O195" s="1965"/>
    </row>
    <row r="196" spans="6:15" ht="16.2" thickBot="1" x14ac:dyDescent="0.35">
      <c r="G196" s="1620" t="s">
        <v>6</v>
      </c>
      <c r="H196" s="1620" t="s">
        <v>7</v>
      </c>
      <c r="I196" s="1621" t="s">
        <v>8</v>
      </c>
      <c r="J196" s="724" t="s">
        <v>9</v>
      </c>
      <c r="K196" s="1622" t="s">
        <v>28</v>
      </c>
      <c r="L196" s="1623"/>
      <c r="M196" s="1624"/>
      <c r="N196" s="1623"/>
      <c r="O196" s="1624"/>
    </row>
    <row r="197" spans="6:15" ht="34.950000000000003" customHeight="1" x14ac:dyDescent="0.3">
      <c r="F197" s="909">
        <v>1</v>
      </c>
      <c r="G197" s="1625" t="s">
        <v>1070</v>
      </c>
      <c r="H197" s="1626" t="s">
        <v>23</v>
      </c>
      <c r="I197" s="1627">
        <v>20</v>
      </c>
      <c r="J197" s="64">
        <v>35000</v>
      </c>
      <c r="K197" s="64">
        <f>+I197*J197</f>
        <v>700000</v>
      </c>
      <c r="L197" s="1491"/>
      <c r="M197" s="452"/>
      <c r="N197" s="1290"/>
      <c r="O197" s="1286"/>
    </row>
    <row r="198" spans="6:15" ht="33" customHeight="1" thickBot="1" x14ac:dyDescent="0.35">
      <c r="F198" s="1628">
        <v>2</v>
      </c>
      <c r="G198" s="1629" t="s">
        <v>1071</v>
      </c>
      <c r="H198" s="1630" t="s">
        <v>306</v>
      </c>
      <c r="I198" s="1631">
        <v>2</v>
      </c>
      <c r="J198" s="64">
        <v>15000</v>
      </c>
      <c r="K198" s="64">
        <f>+I198*J198</f>
        <v>30000</v>
      </c>
      <c r="L198" s="1492"/>
      <c r="M198" s="64"/>
      <c r="N198" s="1306"/>
      <c r="O198" s="1229"/>
    </row>
    <row r="199" spans="6:15" ht="21.6" thickBot="1" x14ac:dyDescent="0.45">
      <c r="J199" s="524" t="s">
        <v>1072</v>
      </c>
      <c r="K199" s="1632">
        <f>+K197+K198</f>
        <v>730000</v>
      </c>
      <c r="L199" s="1633"/>
      <c r="M199" s="1632"/>
      <c r="N199" s="1634"/>
      <c r="O199" s="1573"/>
    </row>
    <row r="200" spans="6:15" ht="15.6" x14ac:dyDescent="0.3">
      <c r="J200" s="469" t="s">
        <v>31</v>
      </c>
      <c r="K200" s="1632">
        <f>K199*0.12</f>
        <v>87600</v>
      </c>
    </row>
    <row r="201" spans="6:15" ht="15" thickBot="1" x14ac:dyDescent="0.35">
      <c r="J201" s="471" t="s">
        <v>10</v>
      </c>
      <c r="K201" s="1635">
        <f>SUM(K199:K200)</f>
        <v>817600</v>
      </c>
    </row>
    <row r="202" spans="6:15" ht="15.6" x14ac:dyDescent="0.3">
      <c r="G202" s="70" t="s">
        <v>1073</v>
      </c>
      <c r="K202" s="313"/>
      <c r="N202" s="313"/>
    </row>
    <row r="208" spans="6:15" ht="15" thickBot="1" x14ac:dyDescent="0.35"/>
    <row r="209" spans="6:11" ht="53.4" customHeight="1" thickBot="1" x14ac:dyDescent="0.35">
      <c r="F209" s="1488"/>
      <c r="G209" s="657"/>
      <c r="H209" s="43"/>
      <c r="I209" s="1958" t="s">
        <v>982</v>
      </c>
      <c r="J209" s="1959"/>
      <c r="K209" s="1960"/>
    </row>
    <row r="210" spans="6:11" ht="15" thickBot="1" x14ac:dyDescent="0.35">
      <c r="F210" s="1560">
        <v>42765</v>
      </c>
      <c r="G210" s="570" t="s">
        <v>7</v>
      </c>
      <c r="H210" s="570" t="s">
        <v>8</v>
      </c>
      <c r="I210" s="1505" t="s">
        <v>9</v>
      </c>
      <c r="J210" s="1505" t="s">
        <v>10</v>
      </c>
      <c r="K210" s="1506" t="s">
        <v>29</v>
      </c>
    </row>
    <row r="211" spans="6:11" x14ac:dyDescent="0.3">
      <c r="F211" s="1151" t="s">
        <v>973</v>
      </c>
      <c r="G211" s="1156" t="s">
        <v>983</v>
      </c>
      <c r="H211" s="1595">
        <v>10</v>
      </c>
      <c r="I211" s="1596">
        <v>110000</v>
      </c>
      <c r="J211" s="1597">
        <f>I211*H211</f>
        <v>1100000</v>
      </c>
      <c r="K211" s="1482"/>
    </row>
    <row r="212" spans="6:11" x14ac:dyDescent="0.3">
      <c r="F212" s="1146" t="s">
        <v>1057</v>
      </c>
      <c r="G212" s="1156" t="s">
        <v>750</v>
      </c>
      <c r="H212" s="1156">
        <v>6</v>
      </c>
      <c r="I212" s="1562">
        <v>6073.36</v>
      </c>
      <c r="J212" s="1301">
        <f>H212*I212</f>
        <v>36440.159999999996</v>
      </c>
      <c r="K212" s="1502"/>
    </row>
    <row r="213" spans="6:11" ht="15" thickBot="1" x14ac:dyDescent="0.35">
      <c r="F213" s="1153"/>
      <c r="G213" s="1154"/>
      <c r="H213" s="1577"/>
      <c r="I213" s="1563"/>
      <c r="J213" s="1559"/>
      <c r="K213" s="201"/>
    </row>
    <row r="214" spans="6:11" ht="18" x14ac:dyDescent="0.35">
      <c r="I214" s="33" t="s">
        <v>10</v>
      </c>
      <c r="J214" s="1564">
        <f>SUM(J211:J213)</f>
        <v>1136440.1599999999</v>
      </c>
    </row>
    <row r="215" spans="6:11" ht="18" x14ac:dyDescent="0.35">
      <c r="I215" s="33" t="s">
        <v>31</v>
      </c>
      <c r="J215" s="1564">
        <f>J214*0.12</f>
        <v>136372.8192</v>
      </c>
    </row>
    <row r="216" spans="6:11" ht="18" x14ac:dyDescent="0.35">
      <c r="I216" s="33" t="s">
        <v>10</v>
      </c>
      <c r="J216" s="1564">
        <f>J214+J215</f>
        <v>1272812.9791999999</v>
      </c>
    </row>
    <row r="217" spans="6:11" ht="15.6" x14ac:dyDescent="0.3">
      <c r="F217" s="313" t="s">
        <v>1074</v>
      </c>
    </row>
    <row r="218" spans="6:11" ht="15" thickBot="1" x14ac:dyDescent="0.35"/>
    <row r="219" spans="6:11" ht="15" thickBot="1" x14ac:dyDescent="0.35">
      <c r="F219" s="649" t="s">
        <v>495</v>
      </c>
    </row>
    <row r="220" spans="6:11" ht="15" thickBot="1" x14ac:dyDescent="0.35">
      <c r="F220" s="1636">
        <v>42804</v>
      </c>
      <c r="G220" s="657"/>
      <c r="H220" s="43"/>
      <c r="I220" s="1958" t="s">
        <v>1075</v>
      </c>
      <c r="J220" s="1959"/>
      <c r="K220" s="1960"/>
    </row>
    <row r="221" spans="6:11" ht="15" thickBot="1" x14ac:dyDescent="0.35">
      <c r="F221" s="785" t="s">
        <v>6</v>
      </c>
      <c r="G221" s="1594" t="s">
        <v>7</v>
      </c>
      <c r="H221" s="570" t="s">
        <v>8</v>
      </c>
      <c r="I221" s="1505" t="s">
        <v>9</v>
      </c>
      <c r="J221" s="1505" t="s">
        <v>10</v>
      </c>
      <c r="K221" s="1506" t="s">
        <v>29</v>
      </c>
    </row>
    <row r="222" spans="6:11" x14ac:dyDescent="0.3">
      <c r="F222" s="1146" t="s">
        <v>985</v>
      </c>
      <c r="G222" s="1156" t="s">
        <v>298</v>
      </c>
      <c r="H222" s="1156">
        <v>247</v>
      </c>
      <c r="I222" s="1561">
        <v>2630</v>
      </c>
      <c r="J222" s="1561">
        <f t="shared" ref="J222:J223" si="5">I222*H222</f>
        <v>649610</v>
      </c>
      <c r="K222" s="1502" t="s">
        <v>1076</v>
      </c>
    </row>
    <row r="223" spans="6:11" x14ac:dyDescent="0.3">
      <c r="F223" s="1146" t="s">
        <v>986</v>
      </c>
      <c r="G223" s="1156" t="s">
        <v>298</v>
      </c>
      <c r="H223" s="1156">
        <v>175</v>
      </c>
      <c r="I223" s="275">
        <v>2630</v>
      </c>
      <c r="J223" s="1561">
        <f t="shared" si="5"/>
        <v>460250</v>
      </c>
      <c r="K223" s="1502" t="s">
        <v>1076</v>
      </c>
    </row>
    <row r="224" spans="6:11" x14ac:dyDescent="0.3">
      <c r="F224" s="1146"/>
      <c r="G224" s="1156"/>
      <c r="H224" s="1156"/>
      <c r="J224" s="1301"/>
      <c r="K224" s="1502"/>
    </row>
    <row r="225" spans="6:15" x14ac:dyDescent="0.3">
      <c r="F225" s="1146"/>
      <c r="G225" s="1156"/>
      <c r="H225" s="1576"/>
      <c r="I225" s="417"/>
      <c r="J225" s="417"/>
      <c r="K225" s="1502"/>
    </row>
    <row r="226" spans="6:15" ht="15" thickBot="1" x14ac:dyDescent="0.35">
      <c r="F226" s="1153"/>
      <c r="G226" s="1154"/>
      <c r="H226" s="1577"/>
      <c r="I226" s="1559"/>
      <c r="J226" s="1559"/>
      <c r="K226" s="201"/>
    </row>
    <row r="227" spans="6:15" ht="18" x14ac:dyDescent="0.35">
      <c r="I227" s="33" t="s">
        <v>10</v>
      </c>
      <c r="J227" s="1564">
        <f>SUM(J222:J226)</f>
        <v>1109860</v>
      </c>
    </row>
    <row r="228" spans="6:15" x14ac:dyDescent="0.3">
      <c r="F228" s="70" t="s">
        <v>1074</v>
      </c>
      <c r="I228" s="40" t="s">
        <v>1077</v>
      </c>
    </row>
    <row r="236" spans="6:15" ht="15" thickBot="1" x14ac:dyDescent="0.35"/>
    <row r="237" spans="6:15" ht="16.2" thickBot="1" x14ac:dyDescent="0.35">
      <c r="F237" s="1937" t="s">
        <v>1078</v>
      </c>
      <c r="G237" s="1938"/>
      <c r="H237" s="1938"/>
      <c r="I237" s="1938"/>
      <c r="J237" s="1938"/>
      <c r="K237" s="1939"/>
      <c r="L237" s="1499"/>
      <c r="M237" s="1499"/>
      <c r="N237" s="1499"/>
      <c r="O237" s="1500"/>
    </row>
    <row r="238" spans="6:15" ht="15" thickBot="1" x14ac:dyDescent="0.35">
      <c r="F238" s="469"/>
      <c r="G238" s="43"/>
      <c r="H238" s="6"/>
      <c r="I238" s="6"/>
      <c r="J238" s="1908" t="s">
        <v>0</v>
      </c>
      <c r="K238" s="1909"/>
      <c r="L238" s="1487"/>
      <c r="M238" s="1493"/>
      <c r="N238" s="1484"/>
      <c r="O238" s="1482"/>
    </row>
    <row r="239" spans="6:15" ht="18.600000000000001" thickBot="1" x14ac:dyDescent="0.4">
      <c r="F239" s="1508" t="s">
        <v>495</v>
      </c>
      <c r="G239" s="43"/>
      <c r="H239" s="6"/>
      <c r="I239" s="6"/>
      <c r="J239" s="197" t="s">
        <v>3</v>
      </c>
      <c r="K239" s="1637" t="s">
        <v>4</v>
      </c>
      <c r="L239" s="171"/>
      <c r="M239" s="199"/>
      <c r="N239" s="200"/>
      <c r="O239" s="201"/>
    </row>
    <row r="240" spans="6:15" ht="39" customHeight="1" thickBot="1" x14ac:dyDescent="0.4">
      <c r="F240" s="1638">
        <v>42809</v>
      </c>
      <c r="G240" s="43"/>
      <c r="H240" s="6"/>
      <c r="I240" s="6"/>
      <c r="J240" s="1933" t="s">
        <v>88</v>
      </c>
      <c r="K240" s="1943"/>
      <c r="L240" s="1495"/>
      <c r="M240" s="1503"/>
      <c r="N240" s="1496"/>
      <c r="O240" s="1497"/>
    </row>
    <row r="241" spans="5:17" ht="16.2" thickBot="1" x14ac:dyDescent="0.35">
      <c r="F241" s="1498" t="s">
        <v>6</v>
      </c>
      <c r="G241" s="1499" t="s">
        <v>7</v>
      </c>
      <c r="H241" s="1639" t="s">
        <v>8</v>
      </c>
      <c r="I241" s="1640"/>
      <c r="J241" s="1641" t="s">
        <v>9</v>
      </c>
      <c r="K241" s="1642" t="s">
        <v>10</v>
      </c>
      <c r="L241" s="22"/>
      <c r="M241" s="21"/>
      <c r="N241" s="19"/>
      <c r="O241" s="20"/>
    </row>
    <row r="242" spans="5:17" ht="57.6" customHeight="1" thickBot="1" x14ac:dyDescent="0.35">
      <c r="E242" s="3">
        <v>1</v>
      </c>
      <c r="F242" s="1509" t="s">
        <v>1079</v>
      </c>
      <c r="G242" s="1507" t="s">
        <v>11</v>
      </c>
      <c r="H242" s="1643">
        <v>2180</v>
      </c>
      <c r="I242" s="35"/>
      <c r="J242" s="1644">
        <v>5200</v>
      </c>
      <c r="K242" s="1645">
        <f>J242*H242</f>
        <v>11336000</v>
      </c>
      <c r="L242" s="194"/>
      <c r="M242" s="189"/>
      <c r="N242" s="22"/>
      <c r="O242" s="21"/>
    </row>
    <row r="243" spans="5:17" ht="18.600000000000001" thickBot="1" x14ac:dyDescent="0.4">
      <c r="E243" s="3"/>
      <c r="F243" s="1646" t="s">
        <v>1080</v>
      </c>
      <c r="G243" s="1507"/>
      <c r="H243" s="35"/>
      <c r="I243" s="35"/>
      <c r="J243" s="1647" t="s">
        <v>27</v>
      </c>
      <c r="K243" s="27">
        <f>SUM(K242)</f>
        <v>11336000</v>
      </c>
      <c r="L243" s="25"/>
      <c r="M243" s="24"/>
      <c r="N243" s="25"/>
      <c r="O243" s="24"/>
    </row>
    <row r="244" spans="5:17" x14ac:dyDescent="0.3">
      <c r="E244" s="3"/>
      <c r="H244" s="4"/>
      <c r="I244" s="4"/>
      <c r="J244" s="6" t="s">
        <v>1077</v>
      </c>
      <c r="K244" s="6"/>
      <c r="L244" s="25"/>
      <c r="M244" s="25"/>
      <c r="N244" s="23"/>
      <c r="O244" s="24"/>
      <c r="P244" s="25"/>
      <c r="Q244" s="24"/>
    </row>
    <row r="245" spans="5:17" ht="15" thickBot="1" x14ac:dyDescent="0.35">
      <c r="J245" s="43"/>
      <c r="K245" s="43"/>
      <c r="L245" s="43"/>
    </row>
    <row r="246" spans="5:17" ht="15" thickBot="1" x14ac:dyDescent="0.35">
      <c r="F246" s="649" t="s">
        <v>495</v>
      </c>
    </row>
    <row r="247" spans="5:17" ht="15" thickBot="1" x14ac:dyDescent="0.35">
      <c r="F247" s="1636">
        <v>42829</v>
      </c>
      <c r="G247" s="657"/>
      <c r="H247" s="43"/>
      <c r="I247" s="1958" t="s">
        <v>1075</v>
      </c>
      <c r="J247" s="1959"/>
      <c r="K247" s="1960"/>
    </row>
    <row r="248" spans="5:17" ht="15" thickBot="1" x14ac:dyDescent="0.35">
      <c r="F248" s="785" t="s">
        <v>6</v>
      </c>
      <c r="G248" s="1594" t="s">
        <v>7</v>
      </c>
      <c r="H248" s="570" t="s">
        <v>8</v>
      </c>
      <c r="I248" s="1505" t="s">
        <v>9</v>
      </c>
      <c r="J248" s="1505" t="s">
        <v>10</v>
      </c>
      <c r="K248" s="1506" t="s">
        <v>29</v>
      </c>
    </row>
    <row r="249" spans="5:17" x14ac:dyDescent="0.3">
      <c r="F249" s="1146" t="s">
        <v>985</v>
      </c>
      <c r="G249" s="1156" t="s">
        <v>298</v>
      </c>
      <c r="H249" s="1156">
        <v>247</v>
      </c>
      <c r="I249" s="1561">
        <v>2630</v>
      </c>
      <c r="J249" s="1561">
        <f>I249*H249</f>
        <v>649610</v>
      </c>
      <c r="K249" s="1502" t="s">
        <v>1076</v>
      </c>
    </row>
    <row r="250" spans="5:17" x14ac:dyDescent="0.3">
      <c r="F250" s="1146" t="s">
        <v>986</v>
      </c>
      <c r="G250" s="1156" t="s">
        <v>298</v>
      </c>
      <c r="H250" s="1156">
        <v>175</v>
      </c>
      <c r="I250" s="275">
        <v>2630</v>
      </c>
      <c r="J250" s="1561">
        <f t="shared" ref="J250" si="6">I250*H250</f>
        <v>460250</v>
      </c>
      <c r="K250" s="1502" t="s">
        <v>1076</v>
      </c>
    </row>
    <row r="251" spans="5:17" x14ac:dyDescent="0.3">
      <c r="F251" s="1146"/>
      <c r="G251" s="1156"/>
      <c r="H251" s="1156"/>
      <c r="J251" s="1301"/>
      <c r="K251" s="1502"/>
    </row>
    <row r="252" spans="5:17" x14ac:dyDescent="0.3">
      <c r="F252" s="1146"/>
      <c r="G252" s="1156"/>
      <c r="H252" s="1576"/>
      <c r="I252" s="417"/>
      <c r="J252" s="417"/>
      <c r="K252" s="1502"/>
    </row>
    <row r="253" spans="5:17" ht="15" thickBot="1" x14ac:dyDescent="0.35">
      <c r="F253" s="1153"/>
      <c r="G253" s="1154"/>
      <c r="H253" s="1577"/>
      <c r="I253" s="1559"/>
      <c r="J253" s="1559"/>
      <c r="K253" s="201"/>
    </row>
    <row r="254" spans="5:17" ht="18" x14ac:dyDescent="0.35">
      <c r="I254" s="33" t="s">
        <v>10</v>
      </c>
      <c r="J254" s="1564">
        <f>SUM(J249:J253)</f>
        <v>1109860</v>
      </c>
    </row>
    <row r="255" spans="5:17" x14ac:dyDescent="0.3">
      <c r="F255" s="70" t="s">
        <v>1081</v>
      </c>
      <c r="I255" s="40" t="s">
        <v>1077</v>
      </c>
    </row>
  </sheetData>
  <mergeCells count="49">
    <mergeCell ref="L17:M17"/>
    <mergeCell ref="N17:O17"/>
    <mergeCell ref="P17:Q17"/>
    <mergeCell ref="E9:Q9"/>
    <mergeCell ref="L14:Q14"/>
    <mergeCell ref="L15:M15"/>
    <mergeCell ref="N15:O15"/>
    <mergeCell ref="P15:Q15"/>
    <mergeCell ref="K43:L43"/>
    <mergeCell ref="I57:K57"/>
    <mergeCell ref="I96:J96"/>
    <mergeCell ref="K108:L108"/>
    <mergeCell ref="I122:K122"/>
    <mergeCell ref="L122:N122"/>
    <mergeCell ref="U122:W122"/>
    <mergeCell ref="X122:Y122"/>
    <mergeCell ref="Z122:AB122"/>
    <mergeCell ref="Z126:AB126"/>
    <mergeCell ref="F183:G183"/>
    <mergeCell ref="L139:O139"/>
    <mergeCell ref="Z168:AB168"/>
    <mergeCell ref="F182:X182"/>
    <mergeCell ref="L138:O138"/>
    <mergeCell ref="O122:Q122"/>
    <mergeCell ref="AM168:AO168"/>
    <mergeCell ref="AP168:AQ168"/>
    <mergeCell ref="AW168:AX168"/>
    <mergeCell ref="AY168:AZ168"/>
    <mergeCell ref="AJ178:AP178"/>
    <mergeCell ref="AU178:AV178"/>
    <mergeCell ref="AR168:AT168"/>
    <mergeCell ref="AU168:AV168"/>
    <mergeCell ref="I209:K209"/>
    <mergeCell ref="F184:G184"/>
    <mergeCell ref="F185:G185"/>
    <mergeCell ref="F186:G186"/>
    <mergeCell ref="F188:G188"/>
    <mergeCell ref="J192:K192"/>
    <mergeCell ref="J193:K193"/>
    <mergeCell ref="L193:M193"/>
    <mergeCell ref="N193:O193"/>
    <mergeCell ref="J195:K195"/>
    <mergeCell ref="L195:M195"/>
    <mergeCell ref="N195:O195"/>
    <mergeCell ref="I220:K220"/>
    <mergeCell ref="F237:K237"/>
    <mergeCell ref="J238:K238"/>
    <mergeCell ref="J240:K240"/>
    <mergeCell ref="I247:K247"/>
  </mergeCells>
  <hyperlinks>
    <hyperlink ref="F165" r:id="rId1"/>
  </hyperlinks>
  <printOptions horizontalCentered="1"/>
  <pageMargins left="0.59055118110236227" right="0.59055118110236227" top="0.74803149606299213" bottom="0.74803149606299213" header="0.31496062992125984" footer="0.31496062992125984"/>
  <pageSetup paperSize="121" scale="95" orientation="landscape"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D6:AJ79"/>
  <sheetViews>
    <sheetView topLeftCell="E10" zoomScaleNormal="100" workbookViewId="0">
      <selection activeCell="K17" sqref="K17"/>
    </sheetView>
  </sheetViews>
  <sheetFormatPr baseColWidth="10" defaultColWidth="11.44140625" defaultRowHeight="14.4" x14ac:dyDescent="0.3"/>
  <cols>
    <col min="1" max="3" width="11.44140625" style="40"/>
    <col min="4" max="4" width="31.88671875" style="40" customWidth="1"/>
    <col min="5" max="5" width="50" style="40" customWidth="1"/>
    <col min="6" max="6" width="15.33203125" style="40" customWidth="1"/>
    <col min="7" max="7" width="17.88671875" style="40" bestFit="1" customWidth="1"/>
    <col min="8" max="8" width="22.33203125" style="40" bestFit="1" customWidth="1"/>
    <col min="9" max="9" width="32.6640625" style="40" bestFit="1" customWidth="1"/>
    <col min="10" max="10" width="16.5546875" style="40" customWidth="1"/>
    <col min="11" max="11" width="24.44140625" style="40" customWidth="1"/>
    <col min="12" max="12" width="19" style="40" bestFit="1" customWidth="1"/>
    <col min="13" max="13" width="25" style="40" customWidth="1"/>
    <col min="14" max="14" width="19.6640625" style="40" customWidth="1"/>
    <col min="15" max="17" width="19.109375" style="40" customWidth="1"/>
    <col min="18" max="18" width="20" style="40" customWidth="1"/>
    <col min="19" max="19" width="21.33203125" style="40" customWidth="1"/>
    <col min="20" max="20" width="19.5546875" style="40" customWidth="1"/>
    <col min="21" max="21" width="21.109375" style="40" customWidth="1"/>
    <col min="22" max="23" width="15.33203125" style="40" customWidth="1"/>
    <col min="24" max="24" width="20.109375" style="40" customWidth="1"/>
    <col min="25" max="26" width="18.44140625" style="40" customWidth="1"/>
    <col min="27" max="27" width="20.6640625" style="40" customWidth="1"/>
    <col min="28" max="28" width="11.44140625" style="40"/>
    <col min="29" max="29" width="18.5546875" style="40" customWidth="1"/>
    <col min="30" max="30" width="17.6640625" style="40" customWidth="1"/>
    <col min="31" max="31" width="11.44140625" style="40"/>
    <col min="32" max="32" width="13.109375" style="40" bestFit="1" customWidth="1"/>
    <col min="33" max="33" width="13.6640625" style="40" customWidth="1"/>
    <col min="34" max="34" width="11.44140625" style="40"/>
    <col min="35" max="35" width="18" style="40" customWidth="1"/>
    <col min="36" max="36" width="16.44140625" style="40" customWidth="1"/>
    <col min="37" max="16384" width="11.44140625" style="40"/>
  </cols>
  <sheetData>
    <row r="6" spans="4:36" ht="15" x14ac:dyDescent="0.25">
      <c r="G6" s="40">
        <v>399.35</v>
      </c>
      <c r="H6" s="40">
        <f>245*2321.45</f>
        <v>568755.25</v>
      </c>
      <c r="I6" s="40">
        <f>H6/G6</f>
        <v>1424.20245398773</v>
      </c>
    </row>
    <row r="8" spans="4:36" ht="15" x14ac:dyDescent="0.25">
      <c r="H8" s="43"/>
      <c r="I8" s="43"/>
    </row>
    <row r="9" spans="4:36" ht="23.25" x14ac:dyDescent="0.35">
      <c r="E9" s="1947" t="s">
        <v>1090</v>
      </c>
      <c r="F9" s="1947"/>
      <c r="G9" s="1947"/>
      <c r="H9" s="1947"/>
      <c r="I9" s="1947"/>
      <c r="J9" s="1947"/>
      <c r="K9" s="1947"/>
      <c r="L9" s="1947"/>
      <c r="M9" s="1947"/>
      <c r="N9" s="1947"/>
      <c r="O9" s="1947"/>
      <c r="P9" s="669"/>
      <c r="Q9" s="669"/>
    </row>
    <row r="10" spans="4:36" ht="15.75" thickBot="1" x14ac:dyDescent="0.3">
      <c r="I10" s="2"/>
      <c r="J10" s="1980" t="s">
        <v>14</v>
      </c>
      <c r="K10" s="1855"/>
      <c r="L10" s="1855"/>
      <c r="M10" s="1855"/>
      <c r="N10" s="1855"/>
      <c r="O10" s="1855"/>
      <c r="P10" s="1855"/>
      <c r="Q10" s="1855"/>
      <c r="R10" s="1855"/>
      <c r="S10" s="1855"/>
      <c r="T10" s="1855"/>
      <c r="U10" s="1855"/>
      <c r="V10" s="1855"/>
      <c r="W10" s="1855"/>
      <c r="X10" s="1855"/>
      <c r="Y10" s="1855"/>
      <c r="Z10" s="1855"/>
    </row>
    <row r="11" spans="4:36" ht="15" x14ac:dyDescent="0.25">
      <c r="I11" s="43"/>
      <c r="J11" s="1836" t="s">
        <v>0</v>
      </c>
      <c r="K11" s="1923"/>
      <c r="L11" s="1836" t="s">
        <v>0</v>
      </c>
      <c r="M11" s="1923"/>
      <c r="N11" s="1836" t="s">
        <v>0</v>
      </c>
      <c r="O11" s="1837"/>
      <c r="P11" s="1836" t="s">
        <v>0</v>
      </c>
      <c r="Q11" s="1837"/>
      <c r="R11" s="1836" t="s">
        <v>0</v>
      </c>
      <c r="S11" s="1837"/>
      <c r="T11" s="1836" t="s">
        <v>0</v>
      </c>
      <c r="U11" s="1923"/>
      <c r="V11" s="1836" t="s">
        <v>0</v>
      </c>
      <c r="W11" s="1923"/>
      <c r="X11" s="1837"/>
      <c r="Y11" s="1836" t="s">
        <v>0</v>
      </c>
      <c r="Z11" s="1923"/>
      <c r="AA11" s="1923"/>
      <c r="AB11" s="1836" t="s">
        <v>0</v>
      </c>
      <c r="AC11" s="1923"/>
      <c r="AD11" s="1923"/>
      <c r="AE11" s="1836" t="s">
        <v>0</v>
      </c>
      <c r="AF11" s="1923"/>
      <c r="AG11" s="1837"/>
      <c r="AH11" s="1836" t="s">
        <v>0</v>
      </c>
      <c r="AI11" s="1923"/>
      <c r="AJ11" s="1837"/>
    </row>
    <row r="12" spans="4:36" ht="19.5" thickBot="1" x14ac:dyDescent="0.35">
      <c r="E12" s="33" t="s">
        <v>85</v>
      </c>
      <c r="F12" s="40">
        <v>950</v>
      </c>
      <c r="I12" s="43"/>
      <c r="J12" s="202" t="s">
        <v>1</v>
      </c>
      <c r="K12" s="203" t="s">
        <v>2</v>
      </c>
      <c r="L12" s="203" t="s">
        <v>3</v>
      </c>
      <c r="M12" s="202" t="s">
        <v>2</v>
      </c>
      <c r="N12" s="205" t="s">
        <v>3</v>
      </c>
      <c r="O12" s="46" t="s">
        <v>4</v>
      </c>
      <c r="P12" s="205" t="s">
        <v>3</v>
      </c>
      <c r="Q12" s="46" t="s">
        <v>4</v>
      </c>
      <c r="R12" s="917" t="s">
        <v>22</v>
      </c>
      <c r="S12" s="203" t="s">
        <v>2</v>
      </c>
      <c r="T12" s="917" t="s">
        <v>3</v>
      </c>
      <c r="U12" s="203" t="s">
        <v>4</v>
      </c>
      <c r="V12" s="916" t="s">
        <v>22</v>
      </c>
      <c r="W12" s="171"/>
      <c r="X12" s="232" t="s">
        <v>2</v>
      </c>
      <c r="Y12" s="201" t="s">
        <v>22</v>
      </c>
      <c r="Z12" s="171"/>
      <c r="AA12" s="978" t="s">
        <v>2</v>
      </c>
      <c r="AB12" s="231" t="s">
        <v>22</v>
      </c>
      <c r="AC12" s="171"/>
      <c r="AD12" s="978" t="s">
        <v>2</v>
      </c>
      <c r="AE12" s="231" t="s">
        <v>22</v>
      </c>
      <c r="AF12" s="171"/>
      <c r="AG12" s="915" t="s">
        <v>2</v>
      </c>
      <c r="AH12" s="231" t="s">
        <v>22</v>
      </c>
      <c r="AI12" s="171"/>
      <c r="AJ12" s="915" t="s">
        <v>2</v>
      </c>
    </row>
    <row r="13" spans="4:36" ht="15" customHeight="1" x14ac:dyDescent="0.3">
      <c r="I13" s="43"/>
      <c r="J13" s="1841" t="s">
        <v>86</v>
      </c>
      <c r="K13" s="1845"/>
      <c r="L13" s="1841"/>
      <c r="M13" s="1845"/>
      <c r="N13" s="1857"/>
      <c r="O13" s="1858"/>
      <c r="P13" s="1857"/>
      <c r="Q13" s="1858"/>
      <c r="R13" s="1948" t="s">
        <v>73</v>
      </c>
      <c r="S13" s="1950"/>
      <c r="T13" s="1948" t="s">
        <v>453</v>
      </c>
      <c r="U13" s="1949"/>
      <c r="V13" s="1857" t="s">
        <v>463</v>
      </c>
      <c r="W13" s="1955"/>
      <c r="X13" s="1858"/>
      <c r="Y13" s="1857" t="s">
        <v>464</v>
      </c>
      <c r="Z13" s="1955"/>
      <c r="AA13" s="1858"/>
      <c r="AB13" s="1857" t="s">
        <v>462</v>
      </c>
      <c r="AC13" s="1955"/>
      <c r="AD13" s="1858"/>
      <c r="AE13" s="1857" t="s">
        <v>503</v>
      </c>
      <c r="AF13" s="1955"/>
      <c r="AG13" s="1858"/>
      <c r="AH13" s="1857" t="s">
        <v>519</v>
      </c>
      <c r="AI13" s="1955"/>
      <c r="AJ13" s="1858"/>
    </row>
    <row r="14" spans="4:36" ht="51.75" customHeight="1" thickBot="1" x14ac:dyDescent="0.35">
      <c r="G14" s="918"/>
      <c r="I14" s="43"/>
      <c r="J14" s="1857"/>
      <c r="K14" s="1955"/>
      <c r="L14" s="1857"/>
      <c r="M14" s="1955"/>
      <c r="N14" s="1857"/>
      <c r="O14" s="1858"/>
      <c r="P14" s="1857"/>
      <c r="Q14" s="1858"/>
      <c r="R14" s="1951"/>
      <c r="S14" s="1953"/>
      <c r="T14" s="1951"/>
      <c r="U14" s="1952"/>
      <c r="V14" s="1951"/>
      <c r="W14" s="1952"/>
      <c r="X14" s="1953"/>
      <c r="Y14" s="1951"/>
      <c r="Z14" s="1952"/>
      <c r="AA14" s="1953"/>
      <c r="AB14" s="1951"/>
      <c r="AC14" s="1952"/>
      <c r="AD14" s="1953"/>
      <c r="AE14" s="1951"/>
      <c r="AF14" s="1952"/>
      <c r="AG14" s="1953"/>
      <c r="AH14" s="1857"/>
      <c r="AI14" s="1955"/>
      <c r="AJ14" s="1858"/>
    </row>
    <row r="15" spans="4:36" x14ac:dyDescent="0.3">
      <c r="D15" s="636" t="s">
        <v>5</v>
      </c>
      <c r="E15" s="649" t="s">
        <v>6</v>
      </c>
      <c r="F15" s="638" t="s">
        <v>7</v>
      </c>
      <c r="G15" s="637" t="s">
        <v>8</v>
      </c>
      <c r="H15" s="43"/>
      <c r="I15" s="43"/>
      <c r="J15" s="588" t="s">
        <v>9</v>
      </c>
      <c r="K15" s="590" t="s">
        <v>10</v>
      </c>
      <c r="L15" s="588" t="s">
        <v>9</v>
      </c>
      <c r="M15" s="590" t="s">
        <v>10</v>
      </c>
      <c r="N15" s="588" t="s">
        <v>9</v>
      </c>
      <c r="O15" s="589" t="s">
        <v>10</v>
      </c>
      <c r="P15" s="671" t="s">
        <v>9</v>
      </c>
      <c r="Q15" s="672" t="s">
        <v>10</v>
      </c>
      <c r="R15" s="899" t="s">
        <v>9</v>
      </c>
      <c r="S15" s="900" t="s">
        <v>10</v>
      </c>
      <c r="T15" s="899" t="s">
        <v>9</v>
      </c>
      <c r="U15" s="901" t="s">
        <v>10</v>
      </c>
      <c r="V15" s="903" t="s">
        <v>9</v>
      </c>
      <c r="W15" s="904" t="s">
        <v>10</v>
      </c>
      <c r="X15" s="914" t="s">
        <v>29</v>
      </c>
      <c r="Y15" s="903" t="s">
        <v>9</v>
      </c>
      <c r="Z15" s="904" t="s">
        <v>10</v>
      </c>
      <c r="AA15" s="914" t="s">
        <v>29</v>
      </c>
      <c r="AB15" s="907" t="s">
        <v>9</v>
      </c>
      <c r="AC15" s="908" t="s">
        <v>10</v>
      </c>
      <c r="AD15" s="914" t="s">
        <v>29</v>
      </c>
      <c r="AE15" s="981" t="s">
        <v>9</v>
      </c>
      <c r="AF15" s="982" t="s">
        <v>10</v>
      </c>
      <c r="AG15" s="983" t="s">
        <v>29</v>
      </c>
      <c r="AH15" s="981" t="s">
        <v>9</v>
      </c>
      <c r="AI15" s="982" t="s">
        <v>10</v>
      </c>
      <c r="AJ15" s="914" t="s">
        <v>29</v>
      </c>
    </row>
    <row r="16" spans="4:36" ht="28.8" x14ac:dyDescent="0.3">
      <c r="D16" s="639">
        <v>3</v>
      </c>
      <c r="E16" s="682" t="s">
        <v>904</v>
      </c>
      <c r="F16" s="216" t="s">
        <v>11</v>
      </c>
      <c r="G16" s="178">
        <f>220*1.2</f>
        <v>264</v>
      </c>
      <c r="H16" s="177"/>
      <c r="I16" s="177"/>
      <c r="J16" s="179">
        <v>113000</v>
      </c>
      <c r="K16" s="180">
        <f>G16*J16</f>
        <v>29832000</v>
      </c>
      <c r="L16" s="179"/>
      <c r="M16" s="178">
        <f>L16*G16</f>
        <v>0</v>
      </c>
      <c r="N16" s="179"/>
      <c r="O16" s="178"/>
      <c r="P16" s="177"/>
      <c r="Q16" s="177"/>
      <c r="R16" s="7"/>
      <c r="S16" s="6"/>
      <c r="T16" s="179"/>
      <c r="U16" s="177">
        <f>T16*G16</f>
        <v>0</v>
      </c>
      <c r="V16" s="179"/>
      <c r="W16" s="177">
        <f>V16*G16</f>
        <v>0</v>
      </c>
      <c r="X16" s="2" t="s">
        <v>454</v>
      </c>
      <c r="Y16" s="469"/>
      <c r="Z16" s="43"/>
      <c r="AA16" s="2"/>
      <c r="AB16" s="177"/>
      <c r="AC16" s="177">
        <f>AB16*G16</f>
        <v>0</v>
      </c>
      <c r="AD16" s="2"/>
      <c r="AE16" s="179"/>
      <c r="AF16" s="177">
        <f>AE16*G16</f>
        <v>0</v>
      </c>
      <c r="AG16" s="177"/>
      <c r="AH16" s="179"/>
      <c r="AI16" s="177">
        <f>AH16*G16</f>
        <v>0</v>
      </c>
      <c r="AJ16" s="2"/>
    </row>
    <row r="17" spans="4:36" x14ac:dyDescent="0.3">
      <c r="D17" s="639">
        <v>4</v>
      </c>
      <c r="E17" s="682" t="s">
        <v>54</v>
      </c>
      <c r="F17" s="216" t="s">
        <v>876</v>
      </c>
      <c r="G17" s="178">
        <f>(G16)*1.5</f>
        <v>396</v>
      </c>
      <c r="H17" s="177"/>
      <c r="I17" s="177"/>
      <c r="J17" s="179">
        <v>26000</v>
      </c>
      <c r="K17" s="180">
        <f>G17*J17</f>
        <v>10296000</v>
      </c>
      <c r="L17" s="179"/>
      <c r="M17" s="178">
        <f>L17*G17</f>
        <v>0</v>
      </c>
      <c r="N17" s="179"/>
      <c r="O17" s="178"/>
      <c r="P17" s="177"/>
      <c r="Q17" s="177">
        <f>P17*I17</f>
        <v>0</v>
      </c>
      <c r="R17" s="7"/>
      <c r="S17" s="6"/>
      <c r="T17" s="179"/>
      <c r="U17" s="177"/>
      <c r="V17" s="179"/>
      <c r="W17" s="177"/>
      <c r="X17" s="2"/>
      <c r="Y17" s="469"/>
      <c r="Z17" s="43"/>
      <c r="AA17" s="2"/>
      <c r="AB17" s="177"/>
      <c r="AC17" s="177"/>
      <c r="AD17" s="2"/>
      <c r="AE17" s="179"/>
      <c r="AF17" s="177"/>
      <c r="AG17" s="177"/>
      <c r="AH17" s="469"/>
      <c r="AI17" s="177"/>
      <c r="AJ17" s="2"/>
    </row>
    <row r="18" spans="4:36" x14ac:dyDescent="0.3">
      <c r="D18" s="639">
        <v>5</v>
      </c>
      <c r="E18" s="682"/>
      <c r="F18" s="216"/>
      <c r="G18" s="178"/>
      <c r="H18" s="177"/>
      <c r="I18" s="177"/>
      <c r="J18" s="179"/>
      <c r="K18" s="180"/>
      <c r="L18" s="179"/>
      <c r="M18" s="178">
        <f>G18*L18</f>
        <v>0</v>
      </c>
      <c r="N18" s="179"/>
      <c r="O18" s="178"/>
      <c r="P18" s="177"/>
      <c r="Q18" s="177"/>
      <c r="R18" s="7"/>
      <c r="S18" s="6"/>
      <c r="T18" s="179"/>
      <c r="U18" s="177">
        <f>G18*T18</f>
        <v>0</v>
      </c>
      <c r="V18" s="179"/>
      <c r="W18" s="177">
        <f>V18*G18</f>
        <v>0</v>
      </c>
      <c r="X18" s="2" t="s">
        <v>454</v>
      </c>
      <c r="Y18" s="469"/>
      <c r="Z18" s="43"/>
      <c r="AA18" s="2"/>
      <c r="AB18" s="177"/>
      <c r="AC18" s="177">
        <f>AB18*G18</f>
        <v>0</v>
      </c>
      <c r="AD18" s="2"/>
      <c r="AE18" s="179"/>
      <c r="AF18" s="177">
        <f>AE18*G18</f>
        <v>0</v>
      </c>
      <c r="AG18" s="177"/>
      <c r="AH18" s="179"/>
      <c r="AI18" s="177">
        <f>AH18*G18</f>
        <v>0</v>
      </c>
      <c r="AJ18" s="2"/>
    </row>
    <row r="19" spans="4:36" x14ac:dyDescent="0.3">
      <c r="D19" s="676">
        <v>6</v>
      </c>
      <c r="E19" s="682"/>
      <c r="F19" s="216"/>
      <c r="G19" s="178"/>
      <c r="H19" s="177"/>
      <c r="I19" s="177"/>
      <c r="J19" s="179"/>
      <c r="K19" s="180"/>
      <c r="L19" s="179"/>
      <c r="M19" s="178"/>
      <c r="N19" s="179"/>
      <c r="O19" s="178"/>
      <c r="P19" s="177"/>
      <c r="Q19" s="177">
        <f>P19*I19</f>
        <v>0</v>
      </c>
      <c r="R19" s="177"/>
      <c r="S19" s="6"/>
      <c r="T19" s="179"/>
      <c r="U19" s="177"/>
      <c r="V19" s="179"/>
      <c r="W19" s="177">
        <f>V19*G19</f>
        <v>0</v>
      </c>
      <c r="X19" s="2"/>
      <c r="Y19" s="179"/>
      <c r="Z19" s="177"/>
      <c r="AA19" s="178"/>
      <c r="AB19" s="177"/>
      <c r="AC19" s="177"/>
      <c r="AD19" s="2"/>
      <c r="AE19" s="179"/>
      <c r="AF19" s="177"/>
      <c r="AG19" s="177"/>
      <c r="AH19" s="469"/>
      <c r="AI19" s="43"/>
      <c r="AJ19" s="2"/>
    </row>
    <row r="20" spans="4:36" x14ac:dyDescent="0.3">
      <c r="D20" s="639">
        <v>6</v>
      </c>
      <c r="E20" s="650"/>
      <c r="F20" s="216"/>
      <c r="G20" s="178"/>
      <c r="H20" s="177"/>
      <c r="I20" s="177"/>
      <c r="J20" s="179"/>
      <c r="K20" s="177"/>
      <c r="L20" s="179"/>
      <c r="M20" s="178"/>
      <c r="N20" s="179"/>
      <c r="O20" s="178"/>
      <c r="P20" s="177"/>
      <c r="Q20" s="177"/>
      <c r="R20" s="179">
        <v>470</v>
      </c>
      <c r="S20" s="177">
        <f>R20*G20</f>
        <v>0</v>
      </c>
      <c r="T20" s="179"/>
      <c r="U20" s="177">
        <f>T20*G20</f>
        <v>0</v>
      </c>
      <c r="V20" s="179"/>
      <c r="W20" s="177"/>
      <c r="X20" s="2"/>
      <c r="Y20" s="179"/>
      <c r="Z20" s="177">
        <f>G20*Y20</f>
        <v>0</v>
      </c>
      <c r="AA20" s="178"/>
      <c r="AB20" s="177"/>
      <c r="AC20" s="177"/>
      <c r="AD20" s="2"/>
      <c r="AE20" s="179"/>
      <c r="AF20" s="177"/>
      <c r="AG20" s="177"/>
      <c r="AH20" s="469"/>
      <c r="AI20" s="43"/>
      <c r="AJ20" s="2"/>
    </row>
    <row r="21" spans="4:36" x14ac:dyDescent="0.3">
      <c r="D21" s="639">
        <v>7</v>
      </c>
      <c r="E21" s="650"/>
      <c r="F21" s="216"/>
      <c r="G21" s="178"/>
      <c r="H21" s="177"/>
      <c r="I21" s="177"/>
      <c r="J21" s="179"/>
      <c r="K21" s="180"/>
      <c r="L21" s="179"/>
      <c r="M21" s="178"/>
      <c r="N21" s="179"/>
      <c r="O21" s="178"/>
      <c r="P21" s="177"/>
      <c r="Q21" s="177"/>
      <c r="R21" s="179"/>
      <c r="S21" s="177"/>
      <c r="T21" s="179"/>
      <c r="U21" s="177"/>
      <c r="V21" s="179"/>
      <c r="W21" s="177"/>
      <c r="X21" s="2"/>
      <c r="Y21" s="179"/>
      <c r="Z21" s="177"/>
      <c r="AA21" s="178"/>
      <c r="AB21" s="177"/>
      <c r="AC21" s="177"/>
      <c r="AD21" s="2"/>
      <c r="AE21" s="179"/>
      <c r="AF21" s="177"/>
      <c r="AG21" s="177"/>
      <c r="AH21" s="469"/>
      <c r="AI21" s="43"/>
      <c r="AJ21" s="2"/>
    </row>
    <row r="22" spans="4:36" x14ac:dyDescent="0.3">
      <c r="D22" s="639">
        <v>8</v>
      </c>
      <c r="E22" s="650"/>
      <c r="F22" s="216"/>
      <c r="G22" s="178"/>
      <c r="H22" s="177"/>
      <c r="I22" s="177"/>
      <c r="J22" s="179"/>
      <c r="K22" s="180"/>
      <c r="L22" s="179"/>
      <c r="M22" s="178"/>
      <c r="N22" s="179"/>
      <c r="O22" s="178"/>
      <c r="P22" s="177"/>
      <c r="Q22" s="177"/>
      <c r="R22" s="179"/>
      <c r="S22" s="177"/>
      <c r="T22" s="179"/>
      <c r="U22" s="177"/>
      <c r="V22" s="179"/>
      <c r="W22" s="177"/>
      <c r="X22" s="2"/>
      <c r="Y22" s="179"/>
      <c r="Z22" s="177"/>
      <c r="AA22" s="178"/>
      <c r="AB22" s="177"/>
      <c r="AC22" s="177"/>
      <c r="AD22" s="2"/>
      <c r="AE22" s="179"/>
      <c r="AF22" s="177"/>
      <c r="AG22" s="177"/>
      <c r="AH22" s="469"/>
      <c r="AI22" s="43"/>
      <c r="AJ22" s="2"/>
    </row>
    <row r="23" spans="4:36" ht="15" thickBot="1" x14ac:dyDescent="0.35">
      <c r="D23" s="640">
        <v>9</v>
      </c>
      <c r="E23" s="651"/>
      <c r="F23" s="220"/>
      <c r="G23" s="644"/>
      <c r="H23" s="177"/>
      <c r="I23" s="177"/>
      <c r="J23" s="591"/>
      <c r="K23" s="181"/>
      <c r="L23" s="591">
        <f>5807.73</f>
        <v>5807.73</v>
      </c>
      <c r="M23" s="644">
        <f>+L23*G23</f>
        <v>0</v>
      </c>
      <c r="N23" s="179"/>
      <c r="O23" s="178"/>
      <c r="P23" s="177"/>
      <c r="Q23" s="177"/>
      <c r="R23" s="7"/>
      <c r="S23" s="6"/>
      <c r="T23" s="179"/>
      <c r="U23" s="177"/>
      <c r="V23" s="179"/>
      <c r="W23" s="177"/>
      <c r="X23" s="2"/>
      <c r="Y23" s="179"/>
      <c r="Z23" s="177">
        <f>G23*Y23</f>
        <v>0</v>
      </c>
      <c r="AA23" s="178"/>
      <c r="AB23" s="177"/>
      <c r="AC23" s="177">
        <f>AB23*G23</f>
        <v>0</v>
      </c>
      <c r="AD23" s="2"/>
      <c r="AE23" s="591"/>
      <c r="AF23" s="181"/>
      <c r="AG23" s="181"/>
      <c r="AH23" s="471"/>
      <c r="AI23" s="659"/>
      <c r="AJ23" s="470"/>
    </row>
    <row r="24" spans="4:36" ht="30.75" customHeight="1" thickBot="1" x14ac:dyDescent="0.35">
      <c r="G24" s="4"/>
      <c r="H24" s="4"/>
      <c r="I24" s="4" t="e">
        <f>SUM(#REF!)</f>
        <v>#REF!</v>
      </c>
      <c r="J24" s="17" t="s">
        <v>10</v>
      </c>
      <c r="K24" s="1418">
        <f>SUM(K16:K23)</f>
        <v>40128000</v>
      </c>
      <c r="L24" s="183"/>
      <c r="M24" s="683">
        <f>SUM(M16:M18)</f>
        <v>0</v>
      </c>
      <c r="N24" s="183"/>
      <c r="O24" s="182" t="e">
        <f>+#REF!</f>
        <v>#REF!</v>
      </c>
      <c r="P24" s="186"/>
      <c r="Q24" s="182">
        <f>SUM(Q17)</f>
        <v>0</v>
      </c>
      <c r="R24" s="182"/>
      <c r="S24" s="182">
        <f>SUM(S20:S23)</f>
        <v>0</v>
      </c>
      <c r="T24" s="182"/>
      <c r="U24" s="182">
        <f>SUM(U16:U19)</f>
        <v>0</v>
      </c>
      <c r="V24" s="182"/>
      <c r="W24" s="182">
        <f>SUM(W16:W18)</f>
        <v>0</v>
      </c>
      <c r="X24" s="182"/>
      <c r="Y24" s="182"/>
      <c r="Z24" s="182"/>
      <c r="AA24" s="186"/>
      <c r="AB24" s="186"/>
      <c r="AC24" s="979">
        <f>SUM(AC16:AC18)</f>
        <v>0</v>
      </c>
      <c r="AD24" s="187"/>
      <c r="AE24" s="224"/>
      <c r="AF24" s="979">
        <f>SUM(AF15:AF23)</f>
        <v>0</v>
      </c>
      <c r="AG24" s="225"/>
      <c r="AH24" s="222"/>
      <c r="AI24" s="979">
        <f>SUM(AI16:AI23)</f>
        <v>0</v>
      </c>
      <c r="AJ24" s="225"/>
    </row>
    <row r="25" spans="4:36" ht="15" customHeight="1" thickBot="1" x14ac:dyDescent="0.35">
      <c r="E25" s="689" t="s">
        <v>384</v>
      </c>
      <c r="G25" s="4"/>
      <c r="H25" s="4"/>
      <c r="I25" s="4"/>
      <c r="J25" s="1826" t="s">
        <v>500</v>
      </c>
      <c r="K25" s="1827"/>
      <c r="L25" s="1826" t="s">
        <v>87</v>
      </c>
      <c r="M25" s="1827"/>
      <c r="N25" s="1828"/>
      <c r="O25" s="1830"/>
      <c r="P25" s="667"/>
      <c r="Q25" s="667"/>
      <c r="R25" s="14"/>
      <c r="S25" s="568"/>
      <c r="AC25" s="918"/>
    </row>
    <row r="26" spans="4:36" ht="90" customHeight="1" thickBot="1" x14ac:dyDescent="0.35">
      <c r="G26" s="4"/>
      <c r="H26" s="4"/>
      <c r="I26" s="4"/>
      <c r="J26" s="1833"/>
      <c r="K26" s="1832"/>
      <c r="L26" s="1833"/>
      <c r="M26" s="1832"/>
      <c r="N26" s="1833"/>
      <c r="O26" s="1831"/>
      <c r="P26" s="668"/>
      <c r="Q26" s="668"/>
      <c r="R26" s="8"/>
      <c r="S26" s="470"/>
      <c r="AE26" s="1981" t="s">
        <v>505</v>
      </c>
      <c r="AF26" s="1982"/>
      <c r="AG26" s="1983"/>
      <c r="AH26" s="1981" t="s">
        <v>501</v>
      </c>
      <c r="AI26" s="1982"/>
      <c r="AJ26" s="1983"/>
    </row>
    <row r="27" spans="4:36" ht="63.75" customHeight="1" thickBot="1" x14ac:dyDescent="0.35">
      <c r="G27" s="4"/>
      <c r="H27" s="4"/>
      <c r="I27" s="4"/>
      <c r="J27" s="1830"/>
      <c r="K27" s="1830"/>
      <c r="L27" s="4"/>
      <c r="M27" s="4"/>
      <c r="N27" s="6"/>
      <c r="O27" s="6"/>
      <c r="P27" s="6"/>
      <c r="Q27" s="6"/>
      <c r="R27" s="6"/>
      <c r="S27" s="6"/>
      <c r="AE27" s="1981" t="s">
        <v>504</v>
      </c>
      <c r="AF27" s="1982"/>
      <c r="AG27" s="1983"/>
      <c r="AH27" s="1981" t="s">
        <v>502</v>
      </c>
      <c r="AI27" s="1982"/>
      <c r="AJ27" s="1983"/>
    </row>
    <row r="28" spans="4:36" x14ac:dyDescent="0.3">
      <c r="G28" s="4"/>
      <c r="H28" s="4"/>
      <c r="I28" s="4"/>
      <c r="J28" s="4"/>
      <c r="K28" s="4"/>
      <c r="L28" s="687" t="s">
        <v>91</v>
      </c>
      <c r="M28" s="34"/>
      <c r="N28" s="687" t="s">
        <v>383</v>
      </c>
      <c r="O28" s="25"/>
      <c r="P28" s="687" t="s">
        <v>54</v>
      </c>
      <c r="Q28" s="6"/>
      <c r="R28" s="6"/>
      <c r="S28" s="6"/>
    </row>
    <row r="29" spans="4:36" ht="23.4" x14ac:dyDescent="0.45">
      <c r="G29" s="4"/>
      <c r="H29" s="4"/>
      <c r="I29" s="4"/>
      <c r="J29" s="4"/>
      <c r="K29" s="208" t="s">
        <v>89</v>
      </c>
      <c r="L29" s="207">
        <f>M24</f>
        <v>0</v>
      </c>
      <c r="M29" s="206" t="s">
        <v>90</v>
      </c>
      <c r="N29" s="207">
        <f>Q24</f>
        <v>0</v>
      </c>
      <c r="O29" s="206" t="s">
        <v>90</v>
      </c>
      <c r="P29" s="207">
        <f>S24</f>
        <v>0</v>
      </c>
      <c r="Q29" s="206" t="s">
        <v>241</v>
      </c>
      <c r="R29" s="207">
        <f>L29+N29+P29</f>
        <v>0</v>
      </c>
      <c r="S29" s="6"/>
    </row>
    <row r="30" spans="4:36" ht="18.600000000000001" thickBot="1" x14ac:dyDescent="0.4"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207"/>
      <c r="S30" s="4"/>
    </row>
    <row r="31" spans="4:36" ht="16.2" thickBot="1" x14ac:dyDescent="0.35">
      <c r="G31" s="4"/>
      <c r="H31" s="4"/>
      <c r="I31" s="4"/>
      <c r="J31" s="1937" t="s">
        <v>17</v>
      </c>
      <c r="K31" s="1938"/>
      <c r="L31" s="1938"/>
      <c r="M31" s="1938"/>
      <c r="N31" s="1938"/>
      <c r="O31" s="1939"/>
      <c r="P31" s="673"/>
      <c r="Q31" s="673"/>
      <c r="R31" s="4"/>
      <c r="S31" s="4"/>
    </row>
    <row r="32" spans="4:36" x14ac:dyDescent="0.3">
      <c r="G32" s="4"/>
      <c r="H32" s="4"/>
      <c r="I32" s="4"/>
      <c r="J32" s="1940" t="s">
        <v>0</v>
      </c>
      <c r="K32" s="1839"/>
      <c r="L32" s="1941" t="s">
        <v>0</v>
      </c>
      <c r="M32" s="1839"/>
      <c r="N32" s="1941" t="s">
        <v>0</v>
      </c>
      <c r="O32" s="1942"/>
      <c r="P32" s="670"/>
      <c r="Q32" s="670"/>
      <c r="R32" s="4"/>
      <c r="S32" s="4"/>
    </row>
    <row r="33" spans="4:19" ht="18.600000000000001" thickBot="1" x14ac:dyDescent="0.4">
      <c r="G33" s="4"/>
      <c r="H33" s="4"/>
      <c r="I33" s="4"/>
      <c r="J33" s="197" t="s">
        <v>3</v>
      </c>
      <c r="K33" s="198" t="s">
        <v>4</v>
      </c>
      <c r="L33" s="198" t="s">
        <v>1</v>
      </c>
      <c r="M33" s="199" t="s">
        <v>2</v>
      </c>
      <c r="N33" s="200" t="s">
        <v>22</v>
      </c>
      <c r="O33" s="201" t="s">
        <v>4</v>
      </c>
      <c r="P33" s="670"/>
      <c r="Q33" s="670"/>
      <c r="R33" s="4"/>
      <c r="S33" s="4"/>
    </row>
    <row r="34" spans="4:19" ht="43.5" customHeight="1" thickBot="1" x14ac:dyDescent="0.35">
      <c r="G34" s="4"/>
      <c r="H34" s="4"/>
      <c r="I34" s="4"/>
      <c r="J34" s="1933" t="s">
        <v>88</v>
      </c>
      <c r="K34" s="1934"/>
      <c r="L34" s="1933"/>
      <c r="M34" s="1934"/>
      <c r="N34" s="1935"/>
      <c r="O34" s="1936"/>
      <c r="P34" s="674"/>
      <c r="Q34" s="674"/>
      <c r="R34" s="688"/>
      <c r="S34" s="4"/>
    </row>
    <row r="35" spans="4:19" ht="15" thickBot="1" x14ac:dyDescent="0.35">
      <c r="D35" s="592"/>
      <c r="E35" s="555"/>
      <c r="F35" s="555" t="s">
        <v>7</v>
      </c>
      <c r="G35" s="568" t="s">
        <v>8</v>
      </c>
      <c r="H35" s="4"/>
      <c r="I35" s="4"/>
      <c r="J35" s="19" t="s">
        <v>9</v>
      </c>
      <c r="K35" s="20" t="s">
        <v>10</v>
      </c>
      <c r="L35" s="22" t="s">
        <v>9</v>
      </c>
      <c r="M35" s="21" t="s">
        <v>10</v>
      </c>
      <c r="N35" s="19" t="s">
        <v>9</v>
      </c>
      <c r="O35" s="20" t="s">
        <v>10</v>
      </c>
      <c r="P35" s="25"/>
      <c r="Q35" s="25"/>
      <c r="S35" s="4"/>
    </row>
    <row r="36" spans="4:19" ht="15" thickBot="1" x14ac:dyDescent="0.35">
      <c r="D36" s="640">
        <v>1</v>
      </c>
      <c r="E36" s="648" t="s">
        <v>1091</v>
      </c>
      <c r="F36" s="641" t="s">
        <v>11</v>
      </c>
      <c r="G36" s="652">
        <f>220</f>
        <v>220</v>
      </c>
      <c r="H36" s="4"/>
      <c r="I36" s="4"/>
      <c r="J36" s="188">
        <v>3000</v>
      </c>
      <c r="K36" s="189">
        <f>J36*G36</f>
        <v>660000</v>
      </c>
      <c r="L36" s="188"/>
      <c r="M36" s="189"/>
      <c r="N36" s="684"/>
      <c r="O36" s="21"/>
      <c r="P36" s="25"/>
      <c r="Q36" s="25"/>
      <c r="S36" s="4"/>
    </row>
    <row r="37" spans="4:19" x14ac:dyDescent="0.3">
      <c r="D37" s="3"/>
      <c r="F37" s="3"/>
      <c r="G37" s="4"/>
      <c r="H37" s="4"/>
      <c r="I37" s="4"/>
      <c r="J37" s="23"/>
      <c r="K37" s="24"/>
      <c r="L37" s="23"/>
      <c r="M37" s="24"/>
      <c r="N37" s="23"/>
      <c r="O37" s="24"/>
      <c r="P37" s="25"/>
      <c r="Q37" s="25"/>
      <c r="S37" s="4"/>
    </row>
    <row r="38" spans="4:19" x14ac:dyDescent="0.3">
      <c r="D38" s="3"/>
      <c r="G38" s="4"/>
      <c r="H38" s="4"/>
      <c r="I38" s="4"/>
      <c r="J38" s="23"/>
      <c r="K38" s="24"/>
      <c r="L38" s="23"/>
      <c r="M38" s="24"/>
      <c r="N38" s="23"/>
      <c r="O38" s="24"/>
      <c r="P38" s="25"/>
      <c r="Q38" s="25"/>
      <c r="S38" s="4"/>
    </row>
    <row r="39" spans="4:19" ht="15" thickBot="1" x14ac:dyDescent="0.35">
      <c r="G39" s="4"/>
      <c r="H39" s="4"/>
      <c r="I39" s="4"/>
      <c r="J39" s="26"/>
      <c r="K39" s="27"/>
      <c r="L39" s="26"/>
      <c r="M39" s="27"/>
      <c r="N39" s="26"/>
      <c r="O39" s="27"/>
      <c r="P39" s="25"/>
      <c r="Q39" s="25"/>
      <c r="S39" s="4"/>
    </row>
    <row r="40" spans="4:19" ht="21" x14ac:dyDescent="0.4">
      <c r="G40" s="4"/>
      <c r="H40" s="4"/>
      <c r="I40" s="4"/>
      <c r="J40" s="14"/>
      <c r="K40" s="192">
        <f>+K36</f>
        <v>660000</v>
      </c>
      <c r="L40" s="193"/>
      <c r="M40" s="192">
        <f>M38+M36</f>
        <v>0</v>
      </c>
      <c r="N40" s="29"/>
      <c r="O40" s="30"/>
      <c r="P40" s="686"/>
      <c r="Q40" s="686"/>
      <c r="R40" s="15"/>
      <c r="S40" s="4"/>
    </row>
    <row r="41" spans="4:19" x14ac:dyDescent="0.3">
      <c r="G41" s="4"/>
      <c r="H41" s="4"/>
      <c r="I41" s="4"/>
      <c r="J41" s="7"/>
      <c r="K41" s="190"/>
      <c r="L41" s="191"/>
      <c r="M41" s="190"/>
      <c r="N41" s="32"/>
      <c r="O41" s="31"/>
      <c r="P41" s="16"/>
      <c r="Q41" s="16"/>
      <c r="R41" s="15"/>
      <c r="S41" s="4"/>
    </row>
    <row r="42" spans="4:19" x14ac:dyDescent="0.3">
      <c r="G42" s="4"/>
      <c r="H42" s="4"/>
      <c r="I42" s="4"/>
      <c r="J42" s="7" t="s">
        <v>13</v>
      </c>
      <c r="K42" s="31"/>
      <c r="L42" s="7" t="s">
        <v>13</v>
      </c>
      <c r="M42" s="31"/>
      <c r="N42" s="7" t="s">
        <v>13</v>
      </c>
      <c r="O42" s="31"/>
      <c r="P42" s="16"/>
      <c r="Q42" s="16"/>
      <c r="R42" s="15"/>
      <c r="S42" s="4"/>
    </row>
    <row r="43" spans="4:19" ht="15.75" customHeight="1" x14ac:dyDescent="0.3">
      <c r="G43" s="4"/>
      <c r="H43" s="4"/>
      <c r="I43" s="4"/>
      <c r="J43" s="7"/>
      <c r="K43" s="5"/>
      <c r="L43" s="7"/>
      <c r="M43" s="5"/>
      <c r="N43" s="7"/>
      <c r="O43" s="5"/>
      <c r="P43" s="6"/>
      <c r="Q43" s="6"/>
      <c r="R43" s="4"/>
      <c r="S43" s="4"/>
    </row>
    <row r="44" spans="4:19" ht="15.75" customHeight="1" x14ac:dyDescent="0.3">
      <c r="G44" s="4"/>
      <c r="H44" s="4"/>
      <c r="I44" s="4"/>
      <c r="J44" s="7"/>
      <c r="K44" s="5"/>
      <c r="L44" s="7"/>
      <c r="M44" s="5"/>
      <c r="N44" s="7"/>
      <c r="O44" s="5"/>
      <c r="P44" s="6"/>
      <c r="Q44" s="6"/>
      <c r="R44" s="4"/>
      <c r="S44" s="4"/>
    </row>
    <row r="45" spans="4:19" ht="15.75" customHeight="1" x14ac:dyDescent="0.3">
      <c r="G45" s="4"/>
      <c r="H45" s="4"/>
      <c r="I45" s="4"/>
      <c r="J45" s="7"/>
      <c r="K45" s="5"/>
      <c r="L45" s="7"/>
      <c r="M45" s="5"/>
      <c r="N45" s="7"/>
      <c r="O45" s="5"/>
      <c r="P45" s="6"/>
      <c r="Q45" s="6"/>
      <c r="R45" s="4"/>
      <c r="S45" s="4"/>
    </row>
    <row r="46" spans="4:19" ht="15.75" customHeight="1" thickBot="1" x14ac:dyDescent="0.35">
      <c r="G46" s="4"/>
      <c r="H46" s="4"/>
      <c r="I46" s="4"/>
      <c r="J46" s="8"/>
      <c r="K46" s="9"/>
      <c r="L46" s="8"/>
      <c r="M46" s="9"/>
      <c r="N46" s="8"/>
      <c r="O46" s="9"/>
      <c r="P46" s="6"/>
      <c r="Q46" s="6"/>
      <c r="R46" s="4"/>
      <c r="S46" s="4"/>
    </row>
    <row r="47" spans="4:19" ht="15.75" customHeight="1" x14ac:dyDescent="0.3"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4:19" ht="15.75" customHeight="1" thickBot="1" x14ac:dyDescent="0.35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4:19" s="1042" customFormat="1" ht="50.4" customHeight="1" x14ac:dyDescent="0.3">
      <c r="D49" s="1045"/>
      <c r="E49" s="1048" t="s">
        <v>527</v>
      </c>
      <c r="F49" s="1046" t="s">
        <v>11</v>
      </c>
      <c r="G49" s="1038">
        <f>106*1.2</f>
        <v>127.19999999999999</v>
      </c>
      <c r="H49" s="1039">
        <v>113859</v>
      </c>
      <c r="I49" s="1040">
        <f>+H49*G49</f>
        <v>14482864.799999999</v>
      </c>
      <c r="J49" s="1040"/>
      <c r="K49" s="1041"/>
      <c r="L49" s="1041"/>
      <c r="M49" s="1041"/>
      <c r="N49" s="1041"/>
      <c r="O49" s="1041"/>
      <c r="P49" s="1041"/>
      <c r="Q49" s="1041"/>
      <c r="R49" s="1041"/>
      <c r="S49" s="1041"/>
    </row>
    <row r="50" spans="4:19" s="1042" customFormat="1" ht="50.4" customHeight="1" x14ac:dyDescent="0.3">
      <c r="D50" s="1045"/>
      <c r="E50" s="1049" t="s">
        <v>54</v>
      </c>
      <c r="F50" s="1046" t="s">
        <v>55</v>
      </c>
      <c r="G50" s="1038">
        <v>150</v>
      </c>
      <c r="H50" s="1039">
        <v>26000</v>
      </c>
      <c r="I50" s="1040">
        <f>+H50*G50</f>
        <v>3900000</v>
      </c>
      <c r="J50" s="1040"/>
      <c r="K50" s="1041"/>
      <c r="L50" s="1041"/>
      <c r="M50" s="1041"/>
      <c r="N50" s="1041"/>
      <c r="O50" s="1041"/>
      <c r="P50" s="1041"/>
      <c r="Q50" s="1041"/>
      <c r="R50" s="1041"/>
      <c r="S50" s="1041"/>
    </row>
    <row r="51" spans="4:19" s="1042" customFormat="1" ht="50.4" customHeight="1" x14ac:dyDescent="0.3">
      <c r="D51" s="1045"/>
      <c r="E51" s="1049" t="s">
        <v>425</v>
      </c>
      <c r="F51" s="1046" t="s">
        <v>11</v>
      </c>
      <c r="G51" s="1038">
        <v>127.2</v>
      </c>
      <c r="H51" s="1039">
        <v>11500</v>
      </c>
      <c r="I51" s="1040">
        <f>+H51*G51</f>
        <v>1462800</v>
      </c>
      <c r="J51" s="1040"/>
      <c r="K51" s="1041"/>
      <c r="L51" s="1041"/>
      <c r="M51" s="1041"/>
      <c r="N51" s="1041"/>
      <c r="O51" s="1041"/>
      <c r="P51" s="1041"/>
      <c r="Q51" s="1041"/>
      <c r="R51" s="1041"/>
      <c r="S51" s="1041"/>
    </row>
    <row r="52" spans="4:19" s="1042" customFormat="1" ht="50.4" customHeight="1" x14ac:dyDescent="0.3">
      <c r="D52" s="1045"/>
      <c r="E52" s="1049"/>
      <c r="F52" s="1046"/>
      <c r="G52" s="1038"/>
      <c r="H52" s="1039"/>
      <c r="I52" s="1040">
        <f>+H52*G52</f>
        <v>0</v>
      </c>
      <c r="J52" s="1040"/>
      <c r="K52" s="1041"/>
      <c r="L52" s="1041"/>
      <c r="M52" s="1041"/>
      <c r="N52" s="1041"/>
      <c r="O52" s="1041"/>
      <c r="P52" s="1041"/>
      <c r="Q52" s="1041"/>
      <c r="R52" s="1041"/>
      <c r="S52" s="1041"/>
    </row>
    <row r="53" spans="4:19" s="1042" customFormat="1" ht="50.4" customHeight="1" thickBot="1" x14ac:dyDescent="0.35">
      <c r="D53" s="1045"/>
      <c r="E53" s="1050"/>
      <c r="F53" s="1047"/>
      <c r="G53" s="1043"/>
      <c r="H53" s="1044"/>
      <c r="I53" s="1040">
        <f>+H53*G53</f>
        <v>0</v>
      </c>
      <c r="J53" s="1040"/>
      <c r="K53" s="1041"/>
      <c r="L53" s="1041"/>
      <c r="M53" s="1041"/>
      <c r="N53" s="1041"/>
      <c r="O53" s="1041"/>
      <c r="P53" s="1041"/>
      <c r="Q53" s="1041"/>
      <c r="R53" s="1041"/>
      <c r="S53" s="1041"/>
    </row>
    <row r="54" spans="4:19" ht="15.75" customHeight="1" x14ac:dyDescent="0.3">
      <c r="G54" s="4"/>
      <c r="H54" s="4"/>
      <c r="I54" s="4">
        <f>SUM(I49:I53)</f>
        <v>19845664.799999997</v>
      </c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4:19" ht="15.75" customHeight="1" x14ac:dyDescent="0.3">
      <c r="G55" s="4"/>
      <c r="H55" s="4"/>
      <c r="I55" s="4"/>
      <c r="J55" s="6"/>
      <c r="K55" s="6"/>
      <c r="L55" s="6"/>
      <c r="M55" s="6"/>
      <c r="N55" s="6"/>
      <c r="O55" s="6"/>
      <c r="P55" s="6"/>
      <c r="Q55" s="6"/>
      <c r="R55" s="4"/>
      <c r="S55" s="4"/>
    </row>
    <row r="56" spans="4:19" ht="15.75" customHeight="1" x14ac:dyDescent="0.3">
      <c r="G56" s="4"/>
      <c r="H56" s="4"/>
      <c r="I56" s="4"/>
      <c r="J56" s="1906"/>
      <c r="K56" s="1906"/>
      <c r="L56" s="1906"/>
      <c r="M56" s="1906"/>
      <c r="N56" s="1906"/>
      <c r="O56" s="1906"/>
      <c r="P56" s="673"/>
      <c r="Q56" s="673"/>
      <c r="R56" s="4"/>
      <c r="S56" s="4"/>
    </row>
    <row r="57" spans="4:19" ht="15.75" customHeight="1" x14ac:dyDescent="0.3">
      <c r="G57" s="4"/>
      <c r="H57" s="4"/>
      <c r="I57" s="4"/>
      <c r="J57" s="1838"/>
      <c r="K57" s="1838"/>
      <c r="L57" s="1838"/>
      <c r="M57" s="1838"/>
      <c r="N57" s="1838"/>
      <c r="O57" s="1838"/>
      <c r="P57" s="670"/>
      <c r="Q57" s="670"/>
      <c r="R57" s="4"/>
      <c r="S57" s="4"/>
    </row>
    <row r="58" spans="4:19" ht="15.75" customHeight="1" x14ac:dyDescent="0.35">
      <c r="G58" s="4"/>
      <c r="H58" s="4"/>
      <c r="I58" s="4"/>
      <c r="J58" s="165"/>
      <c r="K58" s="166"/>
      <c r="L58" s="166"/>
      <c r="M58" s="165"/>
      <c r="N58" s="166"/>
      <c r="O58" s="165"/>
      <c r="P58" s="670"/>
      <c r="Q58" s="670"/>
      <c r="R58" s="4"/>
      <c r="S58" s="4"/>
    </row>
    <row r="59" spans="4:19" ht="18" x14ac:dyDescent="0.35">
      <c r="G59" s="4"/>
      <c r="H59" s="4"/>
      <c r="I59" s="4"/>
      <c r="J59" s="1835"/>
      <c r="K59" s="1835"/>
      <c r="L59" s="1859"/>
      <c r="M59" s="1859"/>
      <c r="N59" s="1859"/>
      <c r="O59" s="1859"/>
      <c r="P59" s="675"/>
      <c r="Q59" s="675"/>
      <c r="R59" s="4"/>
      <c r="S59" s="4"/>
    </row>
    <row r="60" spans="4:19" ht="29.25" customHeight="1" x14ac:dyDescent="0.3">
      <c r="G60" s="4"/>
      <c r="H60" s="4"/>
      <c r="I60" s="4"/>
      <c r="J60" s="1835"/>
      <c r="K60" s="1835"/>
      <c r="L60" s="1835"/>
      <c r="M60" s="1835"/>
      <c r="N60" s="1835"/>
      <c r="O60" s="1835"/>
      <c r="P60" s="674"/>
      <c r="Q60" s="674"/>
      <c r="R60" s="43"/>
      <c r="S60" s="43"/>
    </row>
    <row r="61" spans="4:19" x14ac:dyDescent="0.3">
      <c r="G61" s="4"/>
      <c r="H61" s="4"/>
      <c r="I61" s="4"/>
      <c r="J61" s="25"/>
      <c r="K61" s="25"/>
      <c r="L61" s="25"/>
      <c r="M61" s="25"/>
      <c r="N61" s="25"/>
      <c r="O61" s="25"/>
      <c r="P61" s="25"/>
      <c r="Q61" s="25"/>
      <c r="R61" s="43"/>
      <c r="S61" s="43"/>
    </row>
    <row r="62" spans="4:19" x14ac:dyDescent="0.3">
      <c r="F62" s="33"/>
      <c r="G62" s="34"/>
      <c r="H62" s="34"/>
      <c r="I62" s="34"/>
      <c r="J62" s="6"/>
      <c r="K62" s="25"/>
      <c r="L62" s="50"/>
      <c r="M62" s="25"/>
      <c r="N62" s="25"/>
      <c r="O62" s="25"/>
      <c r="P62" s="25"/>
      <c r="Q62" s="25"/>
      <c r="R62" s="43"/>
      <c r="S62" s="43"/>
    </row>
    <row r="63" spans="4:19" x14ac:dyDescent="0.3">
      <c r="F63" s="33"/>
      <c r="G63" s="34"/>
      <c r="H63" s="4"/>
      <c r="I63" s="4"/>
      <c r="J63" s="6"/>
      <c r="K63" s="25"/>
      <c r="L63" s="25"/>
      <c r="M63" s="25"/>
      <c r="N63" s="25"/>
      <c r="O63" s="25"/>
      <c r="P63" s="25"/>
      <c r="Q63" s="25"/>
      <c r="R63" s="43"/>
      <c r="S63" s="43"/>
    </row>
    <row r="64" spans="4:19" x14ac:dyDescent="0.3">
      <c r="F64" s="33"/>
      <c r="G64" s="34"/>
      <c r="H64" s="4"/>
      <c r="I64" s="4"/>
      <c r="J64" s="6"/>
      <c r="K64" s="25"/>
      <c r="L64" s="25"/>
      <c r="M64" s="25"/>
      <c r="N64" s="25"/>
      <c r="O64" s="25"/>
      <c r="P64" s="25"/>
      <c r="Q64" s="25"/>
      <c r="R64" s="43"/>
      <c r="S64" s="43"/>
    </row>
    <row r="65" spans="6:19" x14ac:dyDescent="0.3">
      <c r="F65" s="33"/>
      <c r="G65" s="34"/>
      <c r="H65" s="4"/>
      <c r="I65" s="4"/>
      <c r="J65" s="6"/>
      <c r="K65" s="25"/>
      <c r="L65" s="25"/>
      <c r="M65" s="25"/>
      <c r="N65" s="25"/>
      <c r="O65" s="25"/>
      <c r="P65" s="25"/>
      <c r="Q65" s="25"/>
      <c r="R65" s="43"/>
      <c r="S65" s="43"/>
    </row>
    <row r="66" spans="6:19" x14ac:dyDescent="0.3">
      <c r="F66" s="33"/>
      <c r="G66" s="34"/>
      <c r="H66" s="4"/>
      <c r="I66" s="4"/>
      <c r="J66" s="6"/>
      <c r="K66" s="25"/>
      <c r="L66" s="25"/>
      <c r="M66" s="25"/>
      <c r="N66" s="25"/>
      <c r="O66" s="25"/>
      <c r="P66" s="25"/>
      <c r="Q66" s="25"/>
      <c r="R66" s="43"/>
      <c r="S66" s="43"/>
    </row>
    <row r="67" spans="6:19" x14ac:dyDescent="0.3">
      <c r="G67" s="4"/>
      <c r="H67" s="4"/>
      <c r="I67" s="4"/>
      <c r="J67" s="6"/>
      <c r="K67" s="6"/>
      <c r="L67" s="6"/>
      <c r="M67" s="6"/>
      <c r="N67" s="6"/>
      <c r="O67" s="6"/>
      <c r="P67" s="6"/>
      <c r="Q67" s="6"/>
      <c r="R67" s="43"/>
      <c r="S67" s="43"/>
    </row>
    <row r="68" spans="6:19" ht="18" x14ac:dyDescent="0.35">
      <c r="G68" s="4"/>
      <c r="H68" s="4"/>
      <c r="I68" s="4"/>
      <c r="J68" s="6"/>
      <c r="K68" s="36"/>
      <c r="L68" s="51"/>
      <c r="M68" s="52"/>
      <c r="N68" s="51"/>
      <c r="O68" s="53"/>
      <c r="P68" s="53"/>
      <c r="Q68" s="53"/>
      <c r="S68" s="37"/>
    </row>
    <row r="69" spans="6:19" x14ac:dyDescent="0.3">
      <c r="J69" s="43"/>
      <c r="K69" s="43"/>
      <c r="L69" s="43"/>
      <c r="M69" s="43"/>
      <c r="N69" s="43"/>
      <c r="O69" s="43"/>
      <c r="P69" s="43"/>
      <c r="Q69" s="43"/>
    </row>
    <row r="70" spans="6:19" x14ac:dyDescent="0.3">
      <c r="J70" s="43"/>
      <c r="K70" s="43"/>
      <c r="L70" s="43"/>
      <c r="M70" s="43"/>
      <c r="N70" s="43"/>
      <c r="O70" s="43"/>
      <c r="P70" s="43"/>
      <c r="Q70" s="43"/>
    </row>
    <row r="71" spans="6:19" ht="15.6" x14ac:dyDescent="0.3">
      <c r="J71" s="43"/>
      <c r="K71" s="43"/>
      <c r="L71" s="1834"/>
      <c r="M71" s="1834"/>
      <c r="N71" s="43"/>
      <c r="O71" s="43"/>
      <c r="P71" s="43"/>
      <c r="Q71" s="43"/>
    </row>
    <row r="72" spans="6:19" x14ac:dyDescent="0.3">
      <c r="J72" s="43"/>
      <c r="K72" s="43"/>
      <c r="L72" s="43"/>
      <c r="M72" s="43"/>
      <c r="N72" s="43"/>
      <c r="O72" s="43"/>
      <c r="P72" s="43"/>
      <c r="Q72" s="43"/>
    </row>
    <row r="73" spans="6:19" ht="15.6" x14ac:dyDescent="0.3">
      <c r="J73" s="43"/>
      <c r="K73" s="43"/>
      <c r="L73" s="1834"/>
      <c r="M73" s="1834"/>
      <c r="N73" s="43"/>
      <c r="O73" s="43"/>
      <c r="P73" s="43"/>
      <c r="Q73" s="43"/>
    </row>
    <row r="74" spans="6:19" x14ac:dyDescent="0.3">
      <c r="J74" s="43"/>
      <c r="K74" s="43"/>
      <c r="L74" s="43"/>
      <c r="M74" s="43"/>
      <c r="N74" s="43"/>
      <c r="O74" s="43"/>
      <c r="P74" s="43"/>
      <c r="Q74" s="43"/>
    </row>
    <row r="75" spans="6:19" x14ac:dyDescent="0.3">
      <c r="J75" s="43"/>
      <c r="K75" s="43"/>
      <c r="L75" s="43"/>
      <c r="M75" s="43"/>
      <c r="N75" s="43"/>
      <c r="O75" s="43"/>
      <c r="P75" s="43"/>
      <c r="Q75" s="43"/>
    </row>
    <row r="76" spans="6:19" x14ac:dyDescent="0.3">
      <c r="J76" s="43"/>
      <c r="K76" s="43"/>
      <c r="L76" s="43"/>
      <c r="M76" s="43"/>
      <c r="N76" s="43"/>
      <c r="O76" s="43"/>
      <c r="P76" s="43"/>
      <c r="Q76" s="43"/>
    </row>
    <row r="77" spans="6:19" x14ac:dyDescent="0.3">
      <c r="J77" s="43"/>
      <c r="K77" s="43"/>
      <c r="L77" s="43"/>
      <c r="M77" s="43"/>
      <c r="N77" s="43"/>
      <c r="O77" s="43"/>
      <c r="P77" s="43"/>
      <c r="Q77" s="43"/>
    </row>
    <row r="78" spans="6:19" x14ac:dyDescent="0.3">
      <c r="J78" s="43"/>
      <c r="K78" s="43"/>
      <c r="L78" s="43"/>
      <c r="M78" s="43"/>
      <c r="N78" s="43"/>
      <c r="O78" s="43"/>
      <c r="P78" s="43"/>
      <c r="Q78" s="43"/>
    </row>
    <row r="79" spans="6:19" x14ac:dyDescent="0.3">
      <c r="J79" s="43"/>
      <c r="K79" s="43"/>
      <c r="L79" s="43"/>
      <c r="M79" s="43"/>
      <c r="N79" s="43"/>
      <c r="O79" s="43"/>
      <c r="P79" s="43"/>
      <c r="Q79" s="43"/>
    </row>
  </sheetData>
  <mergeCells count="49">
    <mergeCell ref="AE13:AG14"/>
    <mergeCell ref="AE11:AG11"/>
    <mergeCell ref="AE26:AG26"/>
    <mergeCell ref="AE27:AG27"/>
    <mergeCell ref="AH11:AJ11"/>
    <mergeCell ref="AH13:AJ14"/>
    <mergeCell ref="AH26:AJ26"/>
    <mergeCell ref="AH27:AJ27"/>
    <mergeCell ref="AB11:AD11"/>
    <mergeCell ref="AB13:AD14"/>
    <mergeCell ref="J34:K34"/>
    <mergeCell ref="L34:M34"/>
    <mergeCell ref="N34:O34"/>
    <mergeCell ref="J27:K27"/>
    <mergeCell ref="J32:K32"/>
    <mergeCell ref="L32:M32"/>
    <mergeCell ref="N32:O32"/>
    <mergeCell ref="J31:O31"/>
    <mergeCell ref="J25:K26"/>
    <mergeCell ref="L25:M26"/>
    <mergeCell ref="N25:O26"/>
    <mergeCell ref="J13:K14"/>
    <mergeCell ref="L13:M14"/>
    <mergeCell ref="N13:O14"/>
    <mergeCell ref="L71:M71"/>
    <mergeCell ref="L73:M73"/>
    <mergeCell ref="J56:O56"/>
    <mergeCell ref="J57:K57"/>
    <mergeCell ref="L57:M57"/>
    <mergeCell ref="N57:O57"/>
    <mergeCell ref="J59:K60"/>
    <mergeCell ref="L59:O59"/>
    <mergeCell ref="L60:M60"/>
    <mergeCell ref="N60:O60"/>
    <mergeCell ref="J10:Z10"/>
    <mergeCell ref="Y11:AA11"/>
    <mergeCell ref="Y13:AA14"/>
    <mergeCell ref="E9:O9"/>
    <mergeCell ref="J11:K11"/>
    <mergeCell ref="L11:M11"/>
    <mergeCell ref="N11:O11"/>
    <mergeCell ref="R11:S11"/>
    <mergeCell ref="V13:X14"/>
    <mergeCell ref="V11:X11"/>
    <mergeCell ref="T11:U11"/>
    <mergeCell ref="T13:U14"/>
    <mergeCell ref="R13:S14"/>
    <mergeCell ref="P11:Q11"/>
    <mergeCell ref="P13:Q1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0000"/>
  </sheetPr>
  <dimension ref="A2:AD233"/>
  <sheetViews>
    <sheetView topLeftCell="C13" zoomScaleNormal="100" workbookViewId="0">
      <selection activeCell="J22" sqref="J22"/>
    </sheetView>
  </sheetViews>
  <sheetFormatPr baseColWidth="10" defaultColWidth="11.44140625" defaultRowHeight="15" x14ac:dyDescent="0.25"/>
  <cols>
    <col min="1" max="1" width="7.44140625" style="58" customWidth="1"/>
    <col min="2" max="2" width="63" style="58" customWidth="1"/>
    <col min="3" max="3" width="9.33203125" style="58" customWidth="1"/>
    <col min="4" max="4" width="15.109375" style="58" customWidth="1"/>
    <col min="5" max="5" width="22" style="58" customWidth="1"/>
    <col min="6" max="6" width="42.109375" style="58" customWidth="1"/>
    <col min="7" max="8" width="20.44140625" style="58" customWidth="1"/>
    <col min="9" max="9" width="12.6640625" style="58" customWidth="1"/>
    <col min="10" max="10" width="29.6640625" style="58" customWidth="1"/>
    <col min="11" max="11" width="12" style="58" customWidth="1"/>
    <col min="12" max="12" width="12.6640625" style="58" customWidth="1"/>
    <col min="13" max="13" width="7.109375" style="58" customWidth="1"/>
    <col min="14" max="14" width="11.33203125" style="58" customWidth="1"/>
    <col min="15" max="15" width="16" style="58" customWidth="1"/>
    <col min="16" max="19" width="29" style="58" customWidth="1"/>
    <col min="20" max="20" width="21" style="58" customWidth="1"/>
    <col min="21" max="22" width="20.5546875" style="58" customWidth="1"/>
    <col min="23" max="16384" width="11.44140625" style="58"/>
  </cols>
  <sheetData>
    <row r="2" spans="1:22" ht="15.6" x14ac:dyDescent="0.3">
      <c r="A2" s="57"/>
      <c r="B2" s="57"/>
    </row>
    <row r="4" spans="1:22" ht="15.75" customHeight="1" x14ac:dyDescent="0.25"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</row>
    <row r="5" spans="1:22" ht="15.75" customHeight="1" thickBot="1" x14ac:dyDescent="0.3">
      <c r="B5" s="62"/>
      <c r="C5" s="62"/>
      <c r="D5" s="61"/>
      <c r="E5" s="60"/>
      <c r="F5" s="60"/>
      <c r="G5" s="60"/>
      <c r="H5" s="60"/>
      <c r="I5" s="60"/>
      <c r="J5" s="60"/>
      <c r="K5" s="60"/>
      <c r="L5" s="60"/>
      <c r="M5" s="60"/>
      <c r="N5" s="60"/>
    </row>
    <row r="6" spans="1:22" ht="24" customHeight="1" thickBot="1" x14ac:dyDescent="0.3">
      <c r="B6" s="92"/>
      <c r="C6" s="92"/>
      <c r="D6" s="92"/>
      <c r="E6" s="2015" t="s">
        <v>56</v>
      </c>
      <c r="F6" s="2016"/>
      <c r="G6" s="2016"/>
      <c r="H6" s="2016"/>
      <c r="I6" s="2016"/>
      <c r="J6" s="2016"/>
      <c r="K6" s="2016"/>
      <c r="L6" s="2016"/>
      <c r="M6" s="2016"/>
      <c r="N6" s="2016"/>
      <c r="O6" s="2016"/>
      <c r="P6" s="2016"/>
      <c r="Q6" s="2016"/>
      <c r="R6" s="2016"/>
      <c r="S6" s="2016"/>
      <c r="T6" s="2017"/>
    </row>
    <row r="7" spans="1:22" ht="15.75" customHeight="1" x14ac:dyDescent="0.3">
      <c r="B7" s="56"/>
      <c r="C7" s="56"/>
      <c r="D7" s="56"/>
      <c r="E7" s="2002" t="s">
        <v>0</v>
      </c>
      <c r="F7" s="2013"/>
      <c r="G7" s="2003"/>
      <c r="H7" s="2002" t="s">
        <v>0</v>
      </c>
      <c r="I7" s="2013"/>
      <c r="J7" s="2013"/>
      <c r="K7" s="2002" t="s">
        <v>0</v>
      </c>
      <c r="L7" s="2013"/>
      <c r="M7" s="2003"/>
      <c r="N7" s="2002" t="s">
        <v>0</v>
      </c>
      <c r="O7" s="2013"/>
      <c r="P7" s="2013"/>
      <c r="Q7" s="2013"/>
      <c r="R7" s="2013"/>
      <c r="S7" s="2013"/>
      <c r="T7" s="2003"/>
    </row>
    <row r="8" spans="1:22" ht="39.75" customHeight="1" thickBot="1" x14ac:dyDescent="0.45">
      <c r="B8" s="56"/>
      <c r="C8" s="56"/>
      <c r="D8" s="56"/>
      <c r="E8" s="119" t="s">
        <v>1</v>
      </c>
      <c r="F8" s="87"/>
      <c r="G8" s="237" t="s">
        <v>2</v>
      </c>
      <c r="H8" s="122" t="s">
        <v>3</v>
      </c>
      <c r="I8" s="87"/>
      <c r="J8" s="312" t="s">
        <v>65</v>
      </c>
      <c r="K8" s="119" t="s">
        <v>1</v>
      </c>
      <c r="L8" s="87"/>
      <c r="M8" s="237" t="s">
        <v>2</v>
      </c>
      <c r="N8" s="119" t="s">
        <v>1</v>
      </c>
      <c r="O8" s="87"/>
      <c r="P8" s="312"/>
      <c r="Q8" s="312"/>
      <c r="R8" s="312"/>
      <c r="S8" s="312"/>
      <c r="T8" s="237" t="s">
        <v>2</v>
      </c>
    </row>
    <row r="9" spans="1:22" ht="25.5" customHeight="1" thickBot="1" x14ac:dyDescent="0.35">
      <c r="B9" s="56"/>
      <c r="C9" s="56"/>
      <c r="D9" s="56"/>
      <c r="E9" s="2020" t="s">
        <v>1095</v>
      </c>
      <c r="F9" s="2021"/>
      <c r="G9" s="2022"/>
      <c r="H9" s="1798" t="s">
        <v>1186</v>
      </c>
      <c r="I9" s="1799"/>
      <c r="J9" s="1799"/>
      <c r="K9" s="2023" t="s">
        <v>159</v>
      </c>
      <c r="L9" s="2024"/>
      <c r="M9" s="2024"/>
      <c r="N9" s="1802" t="s">
        <v>362</v>
      </c>
      <c r="O9" s="1803"/>
      <c r="P9" s="1803"/>
      <c r="Q9" s="1803"/>
      <c r="R9" s="1803"/>
      <c r="S9" s="1803"/>
      <c r="T9" s="1804"/>
    </row>
    <row r="10" spans="1:22" ht="27" customHeight="1" thickBot="1" x14ac:dyDescent="0.3">
      <c r="B10" s="84" t="s">
        <v>6</v>
      </c>
      <c r="C10" s="84" t="s">
        <v>7</v>
      </c>
      <c r="D10" s="84" t="s">
        <v>8</v>
      </c>
      <c r="E10" s="107" t="s">
        <v>8</v>
      </c>
      <c r="F10" s="101" t="s">
        <v>9</v>
      </c>
      <c r="G10" s="102" t="s">
        <v>10</v>
      </c>
      <c r="H10" s="90" t="s">
        <v>51</v>
      </c>
      <c r="I10" s="80" t="s">
        <v>9</v>
      </c>
      <c r="J10" s="310" t="s">
        <v>10</v>
      </c>
      <c r="K10" s="90" t="s">
        <v>51</v>
      </c>
      <c r="L10" s="80" t="s">
        <v>9</v>
      </c>
      <c r="M10" s="310" t="s">
        <v>10</v>
      </c>
      <c r="N10" s="655" t="s">
        <v>51</v>
      </c>
      <c r="O10" s="653" t="s">
        <v>9</v>
      </c>
      <c r="P10" s="1114"/>
      <c r="Q10" s="1114"/>
      <c r="R10" s="1114"/>
      <c r="S10" s="1114"/>
      <c r="T10" s="656" t="s">
        <v>10</v>
      </c>
      <c r="U10" s="62"/>
      <c r="V10" s="62"/>
    </row>
    <row r="11" spans="1:22" ht="27" customHeight="1" thickBot="1" x14ac:dyDescent="0.3">
      <c r="B11" s="93" t="s">
        <v>155</v>
      </c>
      <c r="C11" s="109"/>
      <c r="D11" s="94"/>
      <c r="E11" s="303"/>
      <c r="F11" s="304"/>
      <c r="G11" s="304"/>
      <c r="H11" s="2025" t="s">
        <v>155</v>
      </c>
      <c r="I11" s="2026"/>
      <c r="J11" s="2026"/>
      <c r="K11" s="2027" t="s">
        <v>155</v>
      </c>
      <c r="L11" s="2028"/>
      <c r="M11" s="2028"/>
      <c r="N11" s="112"/>
      <c r="O11" s="253"/>
      <c r="P11" s="253"/>
      <c r="Q11" s="253"/>
      <c r="R11" s="253"/>
      <c r="S11" s="253"/>
      <c r="T11" s="113"/>
      <c r="U11" s="62"/>
      <c r="V11" s="62"/>
    </row>
    <row r="12" spans="1:22" ht="57.75" customHeight="1" x14ac:dyDescent="0.25">
      <c r="A12" s="59">
        <v>1</v>
      </c>
      <c r="B12" s="484" t="s">
        <v>1093</v>
      </c>
      <c r="C12" s="77" t="s">
        <v>11</v>
      </c>
      <c r="D12" s="174">
        <f>1130.7+82.86</f>
        <v>1213.56</v>
      </c>
      <c r="E12" s="108"/>
      <c r="F12" s="130">
        <v>15000</v>
      </c>
      <c r="G12" s="106">
        <f>+F12*D12</f>
        <v>18203400</v>
      </c>
      <c r="H12" s="238"/>
      <c r="I12" s="106"/>
      <c r="J12" s="679">
        <f>+H12*I12</f>
        <v>0</v>
      </c>
      <c r="K12" s="106"/>
      <c r="L12" s="106"/>
      <c r="M12" s="106">
        <f>K12*L12</f>
        <v>0</v>
      </c>
      <c r="N12" s="115"/>
      <c r="O12" s="62"/>
      <c r="P12" s="62"/>
      <c r="Q12" s="62"/>
      <c r="R12" s="62"/>
      <c r="S12" s="62"/>
      <c r="T12" s="103"/>
      <c r="U12" s="62"/>
      <c r="V12" s="62"/>
    </row>
    <row r="13" spans="1:22" ht="46.5" customHeight="1" x14ac:dyDescent="0.25">
      <c r="A13" s="59">
        <v>2</v>
      </c>
      <c r="B13" s="484" t="s">
        <v>1094</v>
      </c>
      <c r="C13" s="77" t="s">
        <v>11</v>
      </c>
      <c r="D13" s="174">
        <f>55.63*6+58.13*3.2*2+58.13*1.5*2</f>
        <v>880.20200000000011</v>
      </c>
      <c r="E13" s="173"/>
      <c r="F13" s="78">
        <v>15000</v>
      </c>
      <c r="G13" s="89">
        <f t="shared" ref="G13" si="0">+F13*D13</f>
        <v>13203030.000000002</v>
      </c>
      <c r="H13" s="239"/>
      <c r="I13" s="89"/>
      <c r="J13" s="129">
        <f t="shared" ref="J13:J15" si="1">+H13*I13</f>
        <v>0</v>
      </c>
      <c r="K13" s="89"/>
      <c r="L13" s="89"/>
      <c r="M13" s="89">
        <f t="shared" ref="M13:M14" si="2">K13*L13</f>
        <v>0</v>
      </c>
      <c r="N13" s="115"/>
      <c r="O13" s="62"/>
      <c r="P13" s="62"/>
      <c r="Q13" s="62"/>
      <c r="R13" s="62"/>
      <c r="S13" s="62"/>
      <c r="T13" s="103"/>
      <c r="U13" s="62"/>
      <c r="V13" s="62"/>
    </row>
    <row r="14" spans="1:22" ht="43.5" customHeight="1" x14ac:dyDescent="0.25">
      <c r="A14" s="59">
        <v>3</v>
      </c>
      <c r="B14" s="484"/>
      <c r="C14" s="77"/>
      <c r="D14" s="174"/>
      <c r="E14" s="173"/>
      <c r="F14" s="78"/>
      <c r="G14" s="89"/>
      <c r="H14" s="239"/>
      <c r="I14" s="89"/>
      <c r="J14" s="129">
        <f t="shared" si="1"/>
        <v>0</v>
      </c>
      <c r="K14" s="89"/>
      <c r="L14" s="89"/>
      <c r="M14" s="89">
        <f t="shared" si="2"/>
        <v>0</v>
      </c>
      <c r="N14" s="115"/>
      <c r="O14" s="62"/>
      <c r="P14" s="62"/>
      <c r="Q14" s="62"/>
      <c r="R14" s="62"/>
      <c r="S14" s="62"/>
      <c r="T14" s="103"/>
      <c r="U14" s="62"/>
      <c r="V14" s="62"/>
    </row>
    <row r="15" spans="1:22" ht="54" customHeight="1" x14ac:dyDescent="0.25">
      <c r="A15" s="59">
        <v>4</v>
      </c>
      <c r="B15" s="484"/>
      <c r="C15" s="77"/>
      <c r="D15" s="174"/>
      <c r="E15" s="665"/>
      <c r="F15" s="78"/>
      <c r="G15" s="89"/>
      <c r="H15" s="239"/>
      <c r="I15" s="89"/>
      <c r="J15" s="129">
        <f t="shared" si="1"/>
        <v>0</v>
      </c>
      <c r="K15" s="89"/>
      <c r="L15" s="89"/>
      <c r="M15" s="89"/>
      <c r="N15" s="115"/>
      <c r="O15" s="62"/>
      <c r="P15" s="62"/>
      <c r="Q15" s="62"/>
      <c r="R15" s="62"/>
      <c r="S15" s="62"/>
      <c r="T15" s="103"/>
      <c r="U15" s="62"/>
      <c r="V15" s="62"/>
    </row>
    <row r="16" spans="1:22" ht="43.5" customHeight="1" thickBot="1" x14ac:dyDescent="0.3">
      <c r="A16" s="59">
        <v>5</v>
      </c>
      <c r="B16" s="484" t="s">
        <v>906</v>
      </c>
      <c r="C16" s="77" t="s">
        <v>11</v>
      </c>
      <c r="D16" s="174">
        <f>(D12+D13)*1.2</f>
        <v>2512.5144</v>
      </c>
      <c r="E16" s="664"/>
      <c r="F16" s="78"/>
      <c r="G16" s="89"/>
      <c r="H16" s="239"/>
      <c r="I16" s="89"/>
      <c r="J16" s="129"/>
      <c r="K16" s="89"/>
      <c r="L16" s="89"/>
      <c r="M16" s="89"/>
      <c r="N16" s="115"/>
      <c r="O16" s="62"/>
      <c r="P16" s="62"/>
      <c r="Q16" s="62"/>
      <c r="R16" s="62"/>
      <c r="S16" s="62"/>
      <c r="T16" s="103"/>
      <c r="U16" s="62"/>
      <c r="V16" s="62"/>
    </row>
    <row r="17" spans="1:22" ht="43.5" customHeight="1" thickBot="1" x14ac:dyDescent="0.3">
      <c r="A17" s="59">
        <v>6</v>
      </c>
      <c r="B17" s="484" t="s">
        <v>385</v>
      </c>
      <c r="C17" s="77" t="s">
        <v>41</v>
      </c>
      <c r="D17" s="480">
        <v>4</v>
      </c>
      <c r="E17" s="266"/>
      <c r="F17" s="78"/>
      <c r="G17" s="89"/>
      <c r="H17" s="2029"/>
      <c r="I17" s="1995"/>
      <c r="J17" s="680">
        <f>2743280*3</f>
        <v>8229840</v>
      </c>
      <c r="K17" s="89"/>
      <c r="L17" s="89"/>
      <c r="M17" s="654">
        <f>SUM(M12:M14)</f>
        <v>0</v>
      </c>
      <c r="N17" s="115"/>
      <c r="O17" s="62"/>
      <c r="P17" s="62"/>
      <c r="Q17" s="62"/>
      <c r="R17" s="62"/>
      <c r="S17" s="62"/>
      <c r="T17" s="103"/>
      <c r="U17" s="62"/>
      <c r="V17" s="62"/>
    </row>
    <row r="18" spans="1:22" ht="26.25" customHeight="1" x14ac:dyDescent="0.25">
      <c r="A18" s="59">
        <v>7</v>
      </c>
      <c r="B18" s="484" t="s">
        <v>47</v>
      </c>
      <c r="C18" s="77" t="s">
        <v>16</v>
      </c>
      <c r="D18" s="480">
        <v>2</v>
      </c>
      <c r="E18" s="173"/>
      <c r="F18" s="78"/>
      <c r="G18" s="89"/>
      <c r="H18" s="239"/>
      <c r="I18" s="89"/>
      <c r="J18" s="129">
        <f>2359250*2</f>
        <v>4718500</v>
      </c>
      <c r="K18" s="89"/>
      <c r="L18" s="89"/>
      <c r="M18" s="89">
        <f t="shared" ref="M18:M22" si="3">+L18*K18</f>
        <v>0</v>
      </c>
      <c r="N18" s="115"/>
      <c r="O18" s="62"/>
      <c r="P18" s="62"/>
      <c r="Q18" s="62"/>
      <c r="R18" s="62"/>
      <c r="S18" s="62"/>
      <c r="T18" s="103"/>
      <c r="U18" s="62"/>
      <c r="V18" s="62"/>
    </row>
    <row r="19" spans="1:22" ht="27.75" customHeight="1" x14ac:dyDescent="0.25">
      <c r="A19" s="59">
        <v>8</v>
      </c>
      <c r="B19" s="484" t="s">
        <v>48</v>
      </c>
      <c r="C19" s="77" t="s">
        <v>41</v>
      </c>
      <c r="D19" s="480">
        <v>3</v>
      </c>
      <c r="E19" s="173"/>
      <c r="F19" s="78"/>
      <c r="G19" s="89"/>
      <c r="H19" s="239"/>
      <c r="I19" s="89"/>
      <c r="J19" s="129">
        <f>813520*3</f>
        <v>2440560</v>
      </c>
      <c r="K19" s="89"/>
      <c r="L19" s="89"/>
      <c r="M19" s="89">
        <f t="shared" si="3"/>
        <v>0</v>
      </c>
      <c r="N19" s="115"/>
      <c r="O19" s="62"/>
      <c r="P19" s="62"/>
      <c r="Q19" s="62"/>
      <c r="R19" s="62"/>
      <c r="S19" s="62"/>
      <c r="T19" s="103"/>
      <c r="U19" s="62"/>
      <c r="V19" s="62"/>
    </row>
    <row r="20" spans="1:22" ht="29.25" customHeight="1" x14ac:dyDescent="0.25">
      <c r="A20" s="59">
        <v>9</v>
      </c>
      <c r="B20" s="484" t="s">
        <v>52</v>
      </c>
      <c r="C20" s="77" t="s">
        <v>41</v>
      </c>
      <c r="D20" s="480">
        <v>2</v>
      </c>
      <c r="E20" s="173"/>
      <c r="F20" s="78"/>
      <c r="G20" s="89"/>
      <c r="H20" s="239"/>
      <c r="I20" s="89"/>
      <c r="J20" s="129">
        <f>1500000*2</f>
        <v>3000000</v>
      </c>
      <c r="K20" s="89"/>
      <c r="L20" s="89"/>
      <c r="M20" s="89">
        <f t="shared" si="3"/>
        <v>0</v>
      </c>
      <c r="N20" s="115"/>
      <c r="O20" s="62"/>
      <c r="P20" s="62"/>
      <c r="Q20" s="62"/>
      <c r="R20" s="62"/>
      <c r="S20" s="62"/>
      <c r="T20" s="103"/>
      <c r="U20" s="62"/>
      <c r="V20" s="62"/>
    </row>
    <row r="21" spans="1:22" ht="29.25" customHeight="1" x14ac:dyDescent="0.25">
      <c r="A21" s="59">
        <v>10</v>
      </c>
      <c r="B21" s="484" t="s">
        <v>156</v>
      </c>
      <c r="C21" s="77" t="s">
        <v>16</v>
      </c>
      <c r="D21" s="480">
        <v>40</v>
      </c>
      <c r="E21" s="266"/>
      <c r="F21" s="78"/>
      <c r="G21" s="89"/>
      <c r="H21" s="239"/>
      <c r="I21" s="89"/>
      <c r="J21" s="129">
        <f>1200000*1</f>
        <v>1200000</v>
      </c>
      <c r="K21" s="89"/>
      <c r="L21" s="89"/>
      <c r="M21" s="89">
        <f>+L21*K21</f>
        <v>0</v>
      </c>
      <c r="N21" s="239">
        <v>10</v>
      </c>
      <c r="O21" s="89">
        <v>8920</v>
      </c>
      <c r="P21" s="89"/>
      <c r="Q21" s="89"/>
      <c r="R21" s="89"/>
      <c r="S21" s="89"/>
      <c r="T21" s="129">
        <f>N21*O21</f>
        <v>89200</v>
      </c>
      <c r="U21" s="62"/>
      <c r="V21" s="62"/>
    </row>
    <row r="22" spans="1:22" ht="29.25" customHeight="1" thickBot="1" x14ac:dyDescent="0.3">
      <c r="A22" s="59">
        <v>11</v>
      </c>
      <c r="B22" s="485" t="s">
        <v>53</v>
      </c>
      <c r="C22" s="486" t="s">
        <v>41</v>
      </c>
      <c r="D22" s="100">
        <v>5</v>
      </c>
      <c r="E22" s="86"/>
      <c r="F22" s="110"/>
      <c r="G22" s="105"/>
      <c r="H22" s="240"/>
      <c r="I22" s="105"/>
      <c r="J22" s="681">
        <f>D22*1688647.2</f>
        <v>8443236</v>
      </c>
      <c r="K22" s="105"/>
      <c r="L22" s="105"/>
      <c r="M22" s="105">
        <f t="shared" si="3"/>
        <v>0</v>
      </c>
      <c r="N22" s="509"/>
      <c r="O22" s="117"/>
      <c r="P22" s="117"/>
      <c r="Q22" s="117"/>
      <c r="R22" s="117"/>
      <c r="S22" s="117"/>
      <c r="T22" s="116"/>
      <c r="U22" s="62"/>
      <c r="V22" s="62"/>
    </row>
    <row r="23" spans="1:22" ht="29.25" customHeight="1" thickBot="1" x14ac:dyDescent="0.35">
      <c r="B23" s="76"/>
      <c r="C23" s="77"/>
      <c r="D23" s="78"/>
      <c r="E23" s="108"/>
      <c r="F23" s="306"/>
      <c r="G23" s="309">
        <f>SUM(G12:G22)</f>
        <v>31406430</v>
      </c>
      <c r="H23" s="2018" t="s">
        <v>157</v>
      </c>
      <c r="I23" s="2019"/>
      <c r="J23" s="307">
        <f>SUM(J12:J22)</f>
        <v>28032136</v>
      </c>
      <c r="K23" s="311"/>
      <c r="L23" s="97"/>
      <c r="M23" s="308"/>
      <c r="N23" s="96"/>
      <c r="O23" s="96"/>
      <c r="P23" s="96"/>
      <c r="Q23" s="96"/>
      <c r="R23" s="96"/>
      <c r="S23" s="96"/>
      <c r="T23" s="305">
        <f>SUM(T11:T22)</f>
        <v>89200</v>
      </c>
      <c r="U23" s="62"/>
      <c r="V23" s="62"/>
    </row>
    <row r="24" spans="1:22" ht="29.25" customHeight="1" x14ac:dyDescent="0.3">
      <c r="B24" s="76"/>
      <c r="C24" s="77"/>
      <c r="D24" s="78"/>
      <c r="E24" s="2030"/>
      <c r="F24" s="2031"/>
      <c r="G24" s="2032"/>
      <c r="H24" s="2030" t="s">
        <v>158</v>
      </c>
      <c r="I24" s="2031"/>
      <c r="J24" s="2031"/>
      <c r="K24" s="2030" t="s">
        <v>160</v>
      </c>
      <c r="L24" s="2031"/>
      <c r="M24" s="2032"/>
      <c r="N24" s="96"/>
      <c r="O24" s="96"/>
      <c r="P24" s="96"/>
      <c r="Q24" s="96"/>
      <c r="R24" s="96"/>
      <c r="S24" s="96"/>
      <c r="T24" s="97"/>
      <c r="U24" s="62"/>
      <c r="V24" s="62"/>
    </row>
    <row r="25" spans="1:22" ht="29.25" customHeight="1" thickBot="1" x14ac:dyDescent="0.35">
      <c r="B25" s="76"/>
      <c r="C25" s="77"/>
      <c r="D25" s="78"/>
      <c r="E25" s="2018"/>
      <c r="F25" s="2033"/>
      <c r="G25" s="2019"/>
      <c r="H25" s="2018"/>
      <c r="I25" s="2033"/>
      <c r="J25" s="2033"/>
      <c r="K25" s="2018"/>
      <c r="L25" s="2033"/>
      <c r="M25" s="2019"/>
      <c r="N25" s="96"/>
      <c r="O25" s="96"/>
      <c r="P25" s="96"/>
      <c r="Q25" s="96"/>
      <c r="R25" s="96"/>
      <c r="S25" s="96"/>
      <c r="T25" s="97"/>
      <c r="U25" s="62"/>
      <c r="V25" s="62"/>
    </row>
    <row r="26" spans="1:22" ht="29.25" customHeight="1" x14ac:dyDescent="0.3">
      <c r="B26" s="76"/>
      <c r="C26" s="77"/>
      <c r="D26" s="78"/>
      <c r="E26" s="78"/>
      <c r="F26" s="79"/>
      <c r="G26" s="97"/>
      <c r="H26" s="97"/>
      <c r="I26" s="97"/>
      <c r="J26" s="305"/>
      <c r="K26" s="97"/>
      <c r="L26" s="97"/>
      <c r="M26" s="97"/>
      <c r="N26" s="96"/>
      <c r="O26" s="57"/>
      <c r="P26" s="57"/>
      <c r="Q26" s="57"/>
      <c r="R26" s="57"/>
      <c r="S26" s="57"/>
      <c r="T26" s="97"/>
      <c r="U26" s="62"/>
      <c r="V26" s="62"/>
    </row>
    <row r="27" spans="1:22" ht="29.25" customHeight="1" x14ac:dyDescent="0.3">
      <c r="B27" s="76"/>
      <c r="C27" s="77"/>
      <c r="D27" s="78"/>
      <c r="E27" s="78"/>
      <c r="F27" s="79"/>
      <c r="G27" s="97"/>
      <c r="H27" s="97"/>
      <c r="I27" s="97"/>
      <c r="J27" s="305"/>
      <c r="K27" s="97"/>
      <c r="L27" s="97"/>
      <c r="M27" s="97"/>
      <c r="N27" s="96"/>
      <c r="O27" s="57"/>
      <c r="P27" s="57"/>
      <c r="Q27" s="57"/>
      <c r="R27" s="57"/>
      <c r="S27" s="57"/>
      <c r="T27" s="97"/>
      <c r="U27" s="62"/>
      <c r="V27" s="62"/>
    </row>
    <row r="28" spans="1:22" ht="29.25" customHeight="1" x14ac:dyDescent="0.3">
      <c r="B28" s="76"/>
      <c r="C28" s="77"/>
      <c r="D28" s="78"/>
      <c r="E28" s="78"/>
      <c r="F28" s="79"/>
      <c r="G28" s="97"/>
      <c r="H28" s="97"/>
      <c r="I28" s="97"/>
      <c r="J28" s="305"/>
      <c r="K28" s="97"/>
      <c r="L28" s="97"/>
      <c r="M28" s="97"/>
      <c r="N28" s="96"/>
      <c r="O28" s="57"/>
      <c r="P28" s="57"/>
      <c r="Q28" s="57"/>
      <c r="R28" s="57"/>
      <c r="S28" s="57"/>
      <c r="T28" s="97"/>
      <c r="U28" s="62"/>
      <c r="V28" s="62"/>
    </row>
    <row r="29" spans="1:22" ht="29.25" customHeight="1" x14ac:dyDescent="0.3">
      <c r="B29" s="984" t="s">
        <v>506</v>
      </c>
      <c r="C29" s="985"/>
      <c r="D29" s="986" t="s">
        <v>12</v>
      </c>
      <c r="E29" s="987">
        <v>700</v>
      </c>
      <c r="F29" s="987">
        <v>120</v>
      </c>
      <c r="G29" s="988">
        <f t="shared" ref="G29:G30" si="4">+E29*F29</f>
        <v>84000</v>
      </c>
      <c r="H29" s="97"/>
      <c r="I29" s="97">
        <v>84000</v>
      </c>
      <c r="J29" s="305"/>
      <c r="K29" s="97"/>
      <c r="L29" s="97"/>
      <c r="M29" s="97"/>
      <c r="N29" s="96"/>
      <c r="O29" s="57"/>
      <c r="P29" s="57"/>
      <c r="Q29" s="57"/>
      <c r="R29" s="57"/>
      <c r="S29" s="57"/>
      <c r="T29" s="97"/>
      <c r="U29" s="62"/>
      <c r="V29" s="62"/>
    </row>
    <row r="30" spans="1:22" ht="29.25" customHeight="1" x14ac:dyDescent="0.3">
      <c r="B30" s="984" t="s">
        <v>507</v>
      </c>
      <c r="C30" s="985"/>
      <c r="D30" s="986" t="s">
        <v>12</v>
      </c>
      <c r="E30" s="987">
        <v>40</v>
      </c>
      <c r="F30" s="987">
        <v>1200</v>
      </c>
      <c r="G30" s="988">
        <f t="shared" si="4"/>
        <v>48000</v>
      </c>
      <c r="H30" s="97"/>
      <c r="I30" s="97">
        <v>48000</v>
      </c>
      <c r="J30" s="97"/>
      <c r="K30" s="97"/>
      <c r="L30" s="97"/>
      <c r="M30" s="97"/>
      <c r="N30" s="96"/>
      <c r="O30" s="57"/>
      <c r="P30" s="57"/>
      <c r="Q30" s="57"/>
      <c r="R30" s="57"/>
      <c r="S30" s="57"/>
      <c r="T30" s="97"/>
      <c r="U30" s="62"/>
      <c r="V30" s="62"/>
    </row>
    <row r="31" spans="1:22" ht="29.25" customHeight="1" x14ac:dyDescent="0.25">
      <c r="B31" s="76"/>
      <c r="C31" s="77"/>
      <c r="D31" s="78"/>
      <c r="E31" s="78"/>
      <c r="F31" s="79"/>
      <c r="G31" s="72"/>
      <c r="H31" s="72"/>
      <c r="I31" s="72"/>
      <c r="J31" s="72"/>
      <c r="K31" s="72"/>
      <c r="L31" s="72"/>
      <c r="M31" s="72"/>
      <c r="N31" s="62"/>
      <c r="U31" s="62"/>
      <c r="V31" s="62"/>
    </row>
    <row r="32" spans="1:22" ht="29.25" customHeight="1" thickBot="1" x14ac:dyDescent="0.45">
      <c r="E32" s="2039" t="s">
        <v>63</v>
      </c>
      <c r="F32" s="2040"/>
      <c r="G32" s="2040"/>
      <c r="H32" s="2040"/>
      <c r="I32" s="2040"/>
      <c r="J32" s="2040"/>
      <c r="K32" s="2040"/>
      <c r="L32" s="2040"/>
      <c r="M32" s="2040"/>
      <c r="N32" s="2040"/>
      <c r="O32" s="2040"/>
      <c r="P32" s="2040"/>
      <c r="Q32" s="2040"/>
      <c r="R32" s="2040"/>
      <c r="S32" s="2040"/>
      <c r="T32" s="2040"/>
      <c r="U32" s="62"/>
      <c r="V32" s="62"/>
    </row>
    <row r="33" spans="1:22" ht="29.25" customHeight="1" x14ac:dyDescent="0.25">
      <c r="E33" s="2002" t="s">
        <v>0</v>
      </c>
      <c r="F33" s="2013"/>
      <c r="G33" s="2002" t="s">
        <v>0</v>
      </c>
      <c r="H33" s="2013"/>
      <c r="I33" s="2002" t="s">
        <v>0</v>
      </c>
      <c r="J33" s="2013"/>
      <c r="K33" s="2002" t="s">
        <v>0</v>
      </c>
      <c r="L33" s="2003"/>
      <c r="M33" s="2002" t="s">
        <v>0</v>
      </c>
      <c r="N33" s="2003"/>
      <c r="O33" s="2002" t="s">
        <v>0</v>
      </c>
      <c r="P33" s="2013"/>
      <c r="Q33" s="2013"/>
      <c r="R33" s="2013"/>
      <c r="S33" s="2013"/>
      <c r="T33" s="2003"/>
      <c r="U33" s="2002" t="s">
        <v>0</v>
      </c>
      <c r="V33" s="2003"/>
    </row>
    <row r="34" spans="1:22" ht="29.25" customHeight="1" thickBot="1" x14ac:dyDescent="0.45">
      <c r="E34" s="120" t="s">
        <v>3</v>
      </c>
      <c r="F34" s="87" t="s">
        <v>62</v>
      </c>
      <c r="G34" s="119" t="s">
        <v>1</v>
      </c>
      <c r="H34" s="123" t="s">
        <v>2</v>
      </c>
      <c r="I34" s="119" t="s">
        <v>1</v>
      </c>
      <c r="J34" s="123" t="s">
        <v>2</v>
      </c>
      <c r="K34" s="119" t="s">
        <v>1</v>
      </c>
      <c r="L34" s="123" t="s">
        <v>2</v>
      </c>
      <c r="M34" s="119" t="s">
        <v>1</v>
      </c>
      <c r="N34" s="123" t="s">
        <v>2</v>
      </c>
      <c r="O34" s="119" t="s">
        <v>1</v>
      </c>
      <c r="P34" s="1115"/>
      <c r="Q34" s="1115"/>
      <c r="R34" s="1115"/>
      <c r="S34" s="1115"/>
      <c r="T34" s="123" t="s">
        <v>2</v>
      </c>
      <c r="U34" s="119" t="s">
        <v>1</v>
      </c>
      <c r="V34" s="123" t="s">
        <v>2</v>
      </c>
    </row>
    <row r="35" spans="1:22" ht="40.5" customHeight="1" thickBot="1" x14ac:dyDescent="0.3">
      <c r="E35" s="1993" t="s">
        <v>57</v>
      </c>
      <c r="F35" s="1994"/>
      <c r="G35" s="1993" t="s">
        <v>58</v>
      </c>
      <c r="H35" s="1994"/>
      <c r="I35" s="1993" t="s">
        <v>59</v>
      </c>
      <c r="J35" s="1994"/>
      <c r="K35" s="1993" t="s">
        <v>61</v>
      </c>
      <c r="L35" s="1994"/>
      <c r="M35" s="2010" t="s">
        <v>441</v>
      </c>
      <c r="N35" s="2011"/>
      <c r="O35" s="2010" t="s">
        <v>442</v>
      </c>
      <c r="P35" s="2012"/>
      <c r="Q35" s="2012"/>
      <c r="R35" s="2012"/>
      <c r="S35" s="2012"/>
      <c r="T35" s="2011"/>
      <c r="U35" s="2010" t="s">
        <v>442</v>
      </c>
      <c r="V35" s="2011"/>
    </row>
    <row r="36" spans="1:22" ht="29.25" customHeight="1" thickBot="1" x14ac:dyDescent="0.3">
      <c r="B36" s="861" t="s">
        <v>6</v>
      </c>
      <c r="C36" s="856" t="s">
        <v>7</v>
      </c>
      <c r="D36" s="862" t="s">
        <v>8</v>
      </c>
      <c r="E36" s="857" t="s">
        <v>9</v>
      </c>
      <c r="F36" s="857" t="s">
        <v>10</v>
      </c>
      <c r="G36" s="858" t="s">
        <v>9</v>
      </c>
      <c r="H36" s="859" t="s">
        <v>10</v>
      </c>
      <c r="I36" s="857" t="s">
        <v>9</v>
      </c>
      <c r="J36" s="857" t="s">
        <v>10</v>
      </c>
      <c r="K36" s="857" t="s">
        <v>9</v>
      </c>
      <c r="L36" s="858" t="s">
        <v>10</v>
      </c>
      <c r="M36" s="858" t="s">
        <v>9</v>
      </c>
      <c r="N36" s="859" t="s">
        <v>10</v>
      </c>
      <c r="O36" s="506" t="s">
        <v>9</v>
      </c>
      <c r="P36" s="304"/>
      <c r="Q36" s="304"/>
      <c r="R36" s="304"/>
      <c r="S36" s="304"/>
      <c r="T36" s="507" t="s">
        <v>10</v>
      </c>
      <c r="U36" s="506" t="s">
        <v>9</v>
      </c>
      <c r="V36" s="507" t="s">
        <v>10</v>
      </c>
    </row>
    <row r="37" spans="1:22" ht="42.75" customHeight="1" x14ac:dyDescent="0.25">
      <c r="A37" s="59">
        <v>1</v>
      </c>
      <c r="B37" s="481" t="str">
        <f>B12</f>
        <v xml:space="preserve"> REVESTIMIENTO EN COLUMNAS Y PAREDES ACABADO CON FRISO COLOMBIANO</v>
      </c>
      <c r="C37" s="482" t="s">
        <v>11</v>
      </c>
      <c r="D37" s="483">
        <v>685</v>
      </c>
      <c r="E37" s="98">
        <v>320</v>
      </c>
      <c r="F37" s="98">
        <f>+D37*E37</f>
        <v>219200</v>
      </c>
      <c r="G37" s="749"/>
      <c r="H37" s="750"/>
      <c r="I37" s="98"/>
      <c r="J37" s="98"/>
      <c r="K37" s="98">
        <v>575</v>
      </c>
      <c r="L37" s="665">
        <f>+K37*D37</f>
        <v>393875</v>
      </c>
      <c r="M37" s="665">
        <v>520</v>
      </c>
      <c r="N37" s="78">
        <f>M37*D37</f>
        <v>356200</v>
      </c>
      <c r="O37" s="108">
        <v>300</v>
      </c>
      <c r="P37" s="130"/>
      <c r="Q37" s="130"/>
      <c r="R37" s="130"/>
      <c r="S37" s="130"/>
      <c r="T37" s="130">
        <f>O37*D37</f>
        <v>205500</v>
      </c>
      <c r="U37" s="108">
        <v>400</v>
      </c>
      <c r="V37" s="483">
        <f>U37*D37</f>
        <v>274000</v>
      </c>
    </row>
    <row r="38" spans="1:22" ht="42.75" customHeight="1" x14ac:dyDescent="0.25">
      <c r="A38" s="59">
        <f>+A37+1</f>
        <v>2</v>
      </c>
      <c r="B38" s="484" t="str">
        <f>B13</f>
        <v xml:space="preserve"> REVESTIMIENTO EN MURO PERIMETRAL ACABADO ACABADO CON FRISO COLOMBIANO</v>
      </c>
      <c r="C38" s="77" t="s">
        <v>11</v>
      </c>
      <c r="D38" s="480">
        <v>2421</v>
      </c>
      <c r="E38" s="98">
        <v>320</v>
      </c>
      <c r="F38" s="98">
        <f t="shared" ref="F38:F40" si="5">+D38*E38</f>
        <v>774720</v>
      </c>
      <c r="G38" s="85"/>
      <c r="H38" s="99"/>
      <c r="I38" s="98"/>
      <c r="J38" s="98"/>
      <c r="K38" s="98">
        <v>575</v>
      </c>
      <c r="L38" s="665">
        <f t="shared" ref="L38:L39" si="6">+K38*D38</f>
        <v>1392075</v>
      </c>
      <c r="M38" s="665">
        <v>520</v>
      </c>
      <c r="N38" s="78">
        <f t="shared" ref="N38:N40" si="7">M38*D38</f>
        <v>1258920</v>
      </c>
      <c r="O38" s="665">
        <v>300</v>
      </c>
      <c r="P38" s="78"/>
      <c r="Q38" s="78"/>
      <c r="R38" s="78"/>
      <c r="S38" s="78"/>
      <c r="T38" s="78">
        <f t="shared" ref="T38:T40" si="8">O38*D38</f>
        <v>726300</v>
      </c>
      <c r="U38" s="665">
        <v>400</v>
      </c>
      <c r="V38" s="480">
        <f t="shared" ref="V38:V40" si="9">U38*D38</f>
        <v>968400</v>
      </c>
    </row>
    <row r="39" spans="1:22" ht="42.75" customHeight="1" x14ac:dyDescent="0.25">
      <c r="A39" s="59">
        <f t="shared" ref="A39" si="10">+A38+1</f>
        <v>3</v>
      </c>
      <c r="B39" s="484" t="s">
        <v>92</v>
      </c>
      <c r="C39" s="77" t="s">
        <v>11</v>
      </c>
      <c r="D39" s="480">
        <v>1090</v>
      </c>
      <c r="E39" s="98">
        <v>320</v>
      </c>
      <c r="F39" s="98">
        <f t="shared" si="5"/>
        <v>348800</v>
      </c>
      <c r="G39" s="85"/>
      <c r="H39" s="99"/>
      <c r="I39" s="98"/>
      <c r="J39" s="98"/>
      <c r="K39" s="98">
        <v>575</v>
      </c>
      <c r="L39" s="665">
        <f t="shared" si="6"/>
        <v>626750</v>
      </c>
      <c r="M39" s="665">
        <v>520</v>
      </c>
      <c r="N39" s="78">
        <f t="shared" si="7"/>
        <v>566800</v>
      </c>
      <c r="O39" s="665">
        <v>300</v>
      </c>
      <c r="P39" s="78"/>
      <c r="Q39" s="78"/>
      <c r="R39" s="78"/>
      <c r="S39" s="78"/>
      <c r="T39" s="78">
        <f t="shared" si="8"/>
        <v>327000</v>
      </c>
      <c r="U39" s="665">
        <v>400</v>
      </c>
      <c r="V39" s="480">
        <f t="shared" si="9"/>
        <v>436000</v>
      </c>
    </row>
    <row r="40" spans="1:22" ht="57.75" customHeight="1" x14ac:dyDescent="0.25">
      <c r="A40" s="59">
        <f>+A39+1</f>
        <v>4</v>
      </c>
      <c r="B40" s="484" t="s">
        <v>46</v>
      </c>
      <c r="C40" s="77" t="s">
        <v>11</v>
      </c>
      <c r="D40" s="480">
        <v>867.03</v>
      </c>
      <c r="E40" s="98">
        <v>320</v>
      </c>
      <c r="F40" s="98">
        <f t="shared" si="5"/>
        <v>277449.59999999998</v>
      </c>
      <c r="G40" s="85"/>
      <c r="H40" s="99"/>
      <c r="I40" s="98"/>
      <c r="J40" s="98"/>
      <c r="K40" s="98">
        <v>575</v>
      </c>
      <c r="L40" s="665">
        <f>+K40*D40</f>
        <v>498542.25</v>
      </c>
      <c r="M40" s="665">
        <v>520</v>
      </c>
      <c r="N40" s="78">
        <f t="shared" si="7"/>
        <v>450855.6</v>
      </c>
      <c r="O40" s="665">
        <v>300</v>
      </c>
      <c r="P40" s="78"/>
      <c r="Q40" s="78"/>
      <c r="R40" s="78"/>
      <c r="S40" s="78"/>
      <c r="T40" s="78">
        <f t="shared" si="8"/>
        <v>260109</v>
      </c>
      <c r="U40" s="665">
        <v>400</v>
      </c>
      <c r="V40" s="480">
        <f t="shared" si="9"/>
        <v>346812</v>
      </c>
    </row>
    <row r="41" spans="1:22" ht="42.75" customHeight="1" thickBot="1" x14ac:dyDescent="0.3">
      <c r="A41" s="172"/>
      <c r="B41" s="485" t="s">
        <v>60</v>
      </c>
      <c r="C41" s="486" t="s">
        <v>11</v>
      </c>
      <c r="D41" s="587">
        <f>SUM(D37:D40)</f>
        <v>5063.03</v>
      </c>
      <c r="E41" s="98"/>
      <c r="F41" s="98"/>
      <c r="G41" s="665">
        <v>430</v>
      </c>
      <c r="H41" s="480">
        <f>D41*G41</f>
        <v>2177102.9</v>
      </c>
      <c r="I41" s="98">
        <v>400</v>
      </c>
      <c r="J41" s="98">
        <f>+I41*D41</f>
        <v>2025212</v>
      </c>
      <c r="K41" s="98"/>
      <c r="L41" s="665"/>
      <c r="M41" s="665"/>
      <c r="N41" s="78"/>
      <c r="O41" s="509"/>
      <c r="P41" s="117"/>
      <c r="Q41" s="117"/>
      <c r="R41" s="117"/>
      <c r="S41" s="117"/>
      <c r="T41" s="117"/>
      <c r="U41" s="86"/>
      <c r="V41" s="100"/>
    </row>
    <row r="42" spans="1:22" ht="29.25" customHeight="1" thickBot="1" x14ac:dyDescent="0.3">
      <c r="B42" s="76"/>
      <c r="C42" s="77"/>
      <c r="D42" s="78"/>
      <c r="E42" s="863"/>
      <c r="F42" s="114">
        <f>SUM(F37:F41)</f>
        <v>1620169.6</v>
      </c>
      <c r="G42" s="867"/>
      <c r="H42" s="866">
        <f>H41</f>
        <v>2177102.9</v>
      </c>
      <c r="I42" s="865"/>
      <c r="J42" s="866">
        <f>SUM(J36:J41)</f>
        <v>2025212</v>
      </c>
      <c r="K42" s="865"/>
      <c r="L42" s="868">
        <f>SUM(L37:L41)</f>
        <v>2911242.25</v>
      </c>
      <c r="M42" s="864"/>
      <c r="N42" s="866">
        <f>SUM(N37:N41)</f>
        <v>2632775.6</v>
      </c>
      <c r="T42" s="869">
        <f>SUM(T37:T41)</f>
        <v>1518909</v>
      </c>
      <c r="U42" s="509"/>
      <c r="V42" s="880">
        <f>SUM(V37:V41)</f>
        <v>2025212</v>
      </c>
    </row>
    <row r="43" spans="1:22" ht="29.25" customHeight="1" x14ac:dyDescent="0.25">
      <c r="B43" s="76"/>
      <c r="C43" s="77"/>
      <c r="D43" s="78"/>
      <c r="E43" s="2004" t="s">
        <v>407</v>
      </c>
      <c r="F43" s="2005"/>
      <c r="G43" s="2004" t="s">
        <v>407</v>
      </c>
      <c r="H43" s="2005"/>
      <c r="I43" s="2004" t="s">
        <v>436</v>
      </c>
      <c r="J43" s="2005"/>
      <c r="K43" s="2014" t="s">
        <v>436</v>
      </c>
      <c r="L43" s="2005"/>
      <c r="M43" s="873"/>
      <c r="N43" s="871"/>
      <c r="O43" s="870"/>
      <c r="P43" s="104"/>
      <c r="Q43" s="104"/>
      <c r="R43" s="104"/>
      <c r="S43" s="104"/>
      <c r="T43" s="871"/>
      <c r="U43" s="62"/>
      <c r="V43" s="62"/>
    </row>
    <row r="44" spans="1:22" ht="29.25" customHeight="1" x14ac:dyDescent="0.25">
      <c r="B44" s="76"/>
      <c r="C44" s="77"/>
      <c r="D44" s="78"/>
      <c r="E44" s="2004"/>
      <c r="F44" s="2005"/>
      <c r="G44" s="2004"/>
      <c r="H44" s="2005"/>
      <c r="I44" s="2004"/>
      <c r="J44" s="2005"/>
      <c r="K44" s="2004"/>
      <c r="L44" s="2005"/>
      <c r="M44" s="874"/>
      <c r="N44" s="103"/>
      <c r="O44" s="115"/>
      <c r="P44" s="62"/>
      <c r="Q44" s="62"/>
      <c r="R44" s="62"/>
      <c r="S44" s="62"/>
      <c r="T44" s="103"/>
      <c r="U44" s="62"/>
      <c r="V44" s="62"/>
    </row>
    <row r="45" spans="1:22" ht="29.25" customHeight="1" x14ac:dyDescent="0.25">
      <c r="B45" s="76"/>
      <c r="C45" s="77"/>
      <c r="D45" s="78"/>
      <c r="E45" s="2004"/>
      <c r="F45" s="2005"/>
      <c r="G45" s="2004"/>
      <c r="H45" s="2005"/>
      <c r="I45" s="2004"/>
      <c r="J45" s="2005"/>
      <c r="K45" s="2004"/>
      <c r="L45" s="2005"/>
      <c r="M45" s="874"/>
      <c r="N45" s="103"/>
      <c r="O45" s="115"/>
      <c r="P45" s="62"/>
      <c r="Q45" s="62"/>
      <c r="R45" s="62"/>
      <c r="S45" s="62"/>
      <c r="T45" s="872" t="s">
        <v>443</v>
      </c>
      <c r="U45" s="62"/>
      <c r="V45" s="62"/>
    </row>
    <row r="46" spans="1:22" ht="29.25" customHeight="1" thickBot="1" x14ac:dyDescent="0.3">
      <c r="B46" s="76"/>
      <c r="C46" s="77"/>
      <c r="D46" s="78"/>
      <c r="E46" s="2006"/>
      <c r="F46" s="2007"/>
      <c r="G46" s="2006"/>
      <c r="H46" s="2007"/>
      <c r="I46" s="2006"/>
      <c r="J46" s="2007"/>
      <c r="K46" s="2006"/>
      <c r="L46" s="2007"/>
      <c r="M46" s="875"/>
      <c r="N46" s="116"/>
      <c r="O46" s="509"/>
      <c r="P46" s="117"/>
      <c r="Q46" s="117"/>
      <c r="R46" s="117"/>
      <c r="S46" s="117"/>
      <c r="T46" s="116"/>
      <c r="U46" s="62"/>
      <c r="V46" s="62"/>
    </row>
    <row r="47" spans="1:22" ht="29.25" customHeight="1" thickBot="1" x14ac:dyDescent="0.3">
      <c r="B47" s="76"/>
      <c r="C47" s="132"/>
      <c r="D47" s="130"/>
      <c r="E47" s="104"/>
      <c r="F47" s="104"/>
      <c r="G47" s="104"/>
      <c r="H47" s="104"/>
      <c r="I47" s="104"/>
      <c r="J47" s="104"/>
      <c r="K47" s="91"/>
      <c r="L47" s="91"/>
      <c r="M47" s="81"/>
      <c r="N47" s="62"/>
      <c r="U47" s="62"/>
      <c r="V47" s="62"/>
    </row>
    <row r="48" spans="1:22" ht="29.25" customHeight="1" thickBot="1" x14ac:dyDescent="0.45">
      <c r="C48" s="115"/>
      <c r="D48" s="62"/>
      <c r="E48" s="124" t="s">
        <v>64</v>
      </c>
      <c r="F48" s="125"/>
      <c r="G48" s="126"/>
      <c r="H48" s="128">
        <f>+F42</f>
        <v>1620169.6</v>
      </c>
      <c r="I48" s="133" t="s">
        <v>66</v>
      </c>
      <c r="J48" s="128">
        <f>+J23</f>
        <v>28032136</v>
      </c>
      <c r="K48" s="121" t="s">
        <v>67</v>
      </c>
      <c r="L48" s="127">
        <f>+J48+H48</f>
        <v>29652305.600000001</v>
      </c>
      <c r="M48" s="81"/>
      <c r="N48" s="62"/>
      <c r="U48" s="62"/>
      <c r="V48" s="62"/>
    </row>
    <row r="49" spans="2:22" ht="29.25" customHeight="1" thickBot="1" x14ac:dyDescent="0.3">
      <c r="B49" s="76"/>
      <c r="C49" s="111"/>
      <c r="D49" s="110"/>
      <c r="E49" s="110"/>
      <c r="F49" s="83"/>
      <c r="G49" s="88"/>
      <c r="H49" s="88"/>
      <c r="I49" s="88"/>
      <c r="J49" s="88"/>
      <c r="K49" s="88"/>
      <c r="L49" s="88"/>
      <c r="M49" s="82"/>
      <c r="N49" s="62"/>
      <c r="U49" s="62"/>
      <c r="V49" s="62"/>
    </row>
    <row r="50" spans="2:22" x14ac:dyDescent="0.25">
      <c r="F50" s="62"/>
    </row>
    <row r="51" spans="2:22" x14ac:dyDescent="0.25">
      <c r="F51" s="62"/>
    </row>
    <row r="52" spans="2:22" x14ac:dyDescent="0.25">
      <c r="F52" s="62"/>
    </row>
    <row r="53" spans="2:22" x14ac:dyDescent="0.25">
      <c r="F53" s="62"/>
    </row>
    <row r="54" spans="2:22" x14ac:dyDescent="0.25">
      <c r="F54" s="62"/>
    </row>
    <row r="55" spans="2:22" x14ac:dyDescent="0.25">
      <c r="F55" s="62"/>
    </row>
    <row r="56" spans="2:22" x14ac:dyDescent="0.25">
      <c r="F56" s="62"/>
    </row>
    <row r="57" spans="2:22" x14ac:dyDescent="0.25">
      <c r="F57" s="62"/>
    </row>
    <row r="58" spans="2:22" x14ac:dyDescent="0.25">
      <c r="F58" s="62"/>
    </row>
    <row r="59" spans="2:22" x14ac:dyDescent="0.25">
      <c r="F59" s="62"/>
    </row>
    <row r="60" spans="2:22" x14ac:dyDescent="0.25">
      <c r="F60" s="62"/>
    </row>
    <row r="61" spans="2:22" x14ac:dyDescent="0.25">
      <c r="F61" s="62"/>
    </row>
    <row r="62" spans="2:22" ht="34.5" customHeight="1" x14ac:dyDescent="0.25">
      <c r="D62" s="95"/>
    </row>
    <row r="63" spans="2:22" ht="34.5" customHeight="1" x14ac:dyDescent="0.25">
      <c r="B63" s="2041" t="s">
        <v>470</v>
      </c>
      <c r="C63" s="2041"/>
      <c r="D63" s="2041"/>
      <c r="G63" s="2034"/>
      <c r="H63" s="2034"/>
      <c r="I63" s="2034"/>
    </row>
    <row r="64" spans="2:22" ht="34.5" customHeight="1" x14ac:dyDescent="0.25">
      <c r="B64" s="919" t="s">
        <v>6</v>
      </c>
      <c r="C64" s="919" t="s">
        <v>7</v>
      </c>
      <c r="D64" s="919" t="s">
        <v>8</v>
      </c>
      <c r="G64" s="922"/>
      <c r="H64" s="922"/>
      <c r="I64" s="922"/>
    </row>
    <row r="65" spans="2:9" ht="34.5" customHeight="1" x14ac:dyDescent="0.25">
      <c r="B65" s="71" t="s">
        <v>471</v>
      </c>
      <c r="C65" s="73" t="s">
        <v>19</v>
      </c>
      <c r="D65" s="921">
        <v>20</v>
      </c>
      <c r="E65" s="58">
        <v>20</v>
      </c>
      <c r="F65" s="58">
        <v>865.42</v>
      </c>
      <c r="G65" s="76">
        <f>E65*F65</f>
        <v>17308.399999999998</v>
      </c>
      <c r="H65" s="77"/>
      <c r="I65" s="923"/>
    </row>
    <row r="66" spans="2:9" ht="34.5" customHeight="1" x14ac:dyDescent="0.25">
      <c r="B66" s="71" t="s">
        <v>467</v>
      </c>
      <c r="C66" s="73" t="s">
        <v>19</v>
      </c>
      <c r="D66" s="921">
        <v>15</v>
      </c>
      <c r="E66" s="58">
        <v>10</v>
      </c>
      <c r="F66" s="58">
        <v>537.21</v>
      </c>
      <c r="G66" s="76">
        <f t="shared" ref="G66:G70" si="11">E66*F66</f>
        <v>5372.1</v>
      </c>
      <c r="H66" s="77"/>
      <c r="I66" s="923"/>
    </row>
    <row r="67" spans="2:9" ht="34.5" customHeight="1" x14ac:dyDescent="0.25">
      <c r="B67" s="71" t="s">
        <v>467</v>
      </c>
      <c r="C67" s="73" t="s">
        <v>19</v>
      </c>
      <c r="D67" s="921"/>
      <c r="E67" s="58">
        <v>5</v>
      </c>
      <c r="F67" s="58">
        <v>537.21</v>
      </c>
      <c r="G67" s="76">
        <f t="shared" si="11"/>
        <v>2686.05</v>
      </c>
      <c r="H67" s="77"/>
      <c r="I67" s="923"/>
    </row>
    <row r="68" spans="2:9" ht="34.5" customHeight="1" x14ac:dyDescent="0.25">
      <c r="B68" s="71" t="s">
        <v>468</v>
      </c>
      <c r="C68" s="73" t="s">
        <v>19</v>
      </c>
      <c r="D68" s="921">
        <v>10</v>
      </c>
      <c r="E68" s="58">
        <v>5</v>
      </c>
      <c r="F68" s="58">
        <v>750.88</v>
      </c>
      <c r="G68" s="76">
        <f t="shared" si="11"/>
        <v>3754.4</v>
      </c>
      <c r="H68" s="77"/>
      <c r="I68" s="923"/>
    </row>
    <row r="69" spans="2:9" ht="34.5" customHeight="1" x14ac:dyDescent="0.25">
      <c r="B69" s="71" t="s">
        <v>469</v>
      </c>
      <c r="C69" s="73" t="s">
        <v>19</v>
      </c>
      <c r="D69" s="921">
        <v>10</v>
      </c>
      <c r="E69" s="58">
        <v>4</v>
      </c>
      <c r="F69" s="58">
        <v>250</v>
      </c>
      <c r="G69" s="76">
        <f t="shared" si="11"/>
        <v>1000</v>
      </c>
      <c r="H69" s="77"/>
      <c r="I69" s="923"/>
    </row>
    <row r="70" spans="2:9" ht="34.5" customHeight="1" x14ac:dyDescent="0.25">
      <c r="B70" s="71" t="s">
        <v>472</v>
      </c>
      <c r="C70" s="73" t="s">
        <v>19</v>
      </c>
      <c r="D70" s="921">
        <v>10</v>
      </c>
      <c r="E70" s="62">
        <v>3</v>
      </c>
      <c r="F70" s="58">
        <v>1269.49</v>
      </c>
      <c r="G70" s="76">
        <f t="shared" si="11"/>
        <v>3808.4700000000003</v>
      </c>
      <c r="H70" s="77"/>
      <c r="I70" s="923"/>
    </row>
    <row r="71" spans="2:9" ht="34.5" customHeight="1" x14ac:dyDescent="0.25">
      <c r="B71" s="71" t="s">
        <v>465</v>
      </c>
      <c r="C71" s="73" t="s">
        <v>466</v>
      </c>
      <c r="D71" s="921">
        <v>10</v>
      </c>
      <c r="E71" s="62"/>
      <c r="G71" s="924">
        <f>SUM(G65:G70)</f>
        <v>33929.42</v>
      </c>
      <c r="H71" s="922"/>
      <c r="I71" s="922"/>
    </row>
    <row r="72" spans="2:9" ht="34.5" customHeight="1" x14ac:dyDescent="0.25">
      <c r="B72" s="76"/>
      <c r="C72" s="77"/>
      <c r="D72" s="78"/>
      <c r="E72" s="62"/>
      <c r="G72" s="76"/>
      <c r="H72" s="77"/>
      <c r="I72" s="78"/>
    </row>
    <row r="73" spans="2:9" ht="34.5" customHeight="1" x14ac:dyDescent="0.25">
      <c r="B73" s="76"/>
      <c r="C73" s="77"/>
      <c r="D73" s="78"/>
      <c r="E73" s="62"/>
      <c r="G73" s="76"/>
      <c r="H73" s="77"/>
      <c r="I73" s="78"/>
    </row>
    <row r="74" spans="2:9" ht="34.5" customHeight="1" x14ac:dyDescent="0.25">
      <c r="B74" s="62"/>
      <c r="C74" s="62"/>
      <c r="D74" s="920"/>
      <c r="E74" s="62"/>
      <c r="G74" s="76"/>
      <c r="H74" s="77"/>
      <c r="I74" s="78"/>
    </row>
    <row r="75" spans="2:9" ht="34.5" customHeight="1" x14ac:dyDescent="0.25">
      <c r="B75" s="62"/>
      <c r="C75" s="62"/>
      <c r="D75" s="920"/>
      <c r="E75" s="62"/>
      <c r="G75" s="76"/>
      <c r="H75" s="77"/>
      <c r="I75" s="78"/>
    </row>
    <row r="76" spans="2:9" ht="34.5" customHeight="1" x14ac:dyDescent="0.25">
      <c r="D76" s="95"/>
      <c r="G76" s="76"/>
      <c r="H76" s="77"/>
      <c r="I76" s="78"/>
    </row>
    <row r="77" spans="2:9" ht="17.399999999999999" x14ac:dyDescent="0.25">
      <c r="G77" s="76"/>
      <c r="H77" s="77"/>
      <c r="I77" s="78"/>
    </row>
    <row r="78" spans="2:9" ht="17.399999999999999" x14ac:dyDescent="0.25">
      <c r="G78" s="76"/>
      <c r="H78" s="77"/>
      <c r="I78" s="78"/>
    </row>
    <row r="79" spans="2:9" ht="17.399999999999999" x14ac:dyDescent="0.25">
      <c r="B79" s="75" t="s">
        <v>6</v>
      </c>
      <c r="C79" s="75" t="s">
        <v>7</v>
      </c>
      <c r="D79" s="75" t="s">
        <v>8</v>
      </c>
      <c r="G79" s="76"/>
      <c r="H79" s="77"/>
      <c r="I79" s="78"/>
    </row>
    <row r="80" spans="2:9" ht="17.399999999999999" x14ac:dyDescent="0.25">
      <c r="B80" s="71" t="s">
        <v>54</v>
      </c>
      <c r="C80" s="73" t="s">
        <v>11</v>
      </c>
      <c r="D80" s="74">
        <v>1191.81</v>
      </c>
      <c r="G80" s="76"/>
      <c r="H80" s="77"/>
      <c r="I80" s="78"/>
    </row>
    <row r="81" spans="2:19" ht="30" x14ac:dyDescent="0.25">
      <c r="B81" s="71" t="s">
        <v>42</v>
      </c>
      <c r="C81" s="73" t="s">
        <v>50</v>
      </c>
      <c r="D81" s="74">
        <v>92.43</v>
      </c>
    </row>
    <row r="82" spans="2:19" ht="30" x14ac:dyDescent="0.25">
      <c r="B82" s="71" t="s">
        <v>43</v>
      </c>
      <c r="C82" s="73" t="s">
        <v>50</v>
      </c>
      <c r="D82" s="74">
        <v>564.83000000000004</v>
      </c>
    </row>
    <row r="83" spans="2:19" ht="30" x14ac:dyDescent="0.25">
      <c r="B83" s="71" t="s">
        <v>44</v>
      </c>
      <c r="C83" s="73" t="s">
        <v>50</v>
      </c>
      <c r="D83" s="74">
        <v>1787.58</v>
      </c>
    </row>
    <row r="84" spans="2:19" ht="30" x14ac:dyDescent="0.25">
      <c r="B84" s="71" t="s">
        <v>45</v>
      </c>
      <c r="C84" s="73" t="s">
        <v>50</v>
      </c>
      <c r="D84" s="74">
        <v>95.88</v>
      </c>
    </row>
    <row r="85" spans="2:19" ht="45" x14ac:dyDescent="0.25">
      <c r="B85" s="71" t="s">
        <v>46</v>
      </c>
      <c r="C85" s="73" t="s">
        <v>50</v>
      </c>
      <c r="D85" s="74">
        <v>867.03</v>
      </c>
    </row>
    <row r="86" spans="2:19" ht="17.399999999999999" x14ac:dyDescent="0.25">
      <c r="B86" s="71" t="s">
        <v>47</v>
      </c>
      <c r="C86" s="73" t="s">
        <v>50</v>
      </c>
      <c r="D86" s="74">
        <v>631.42999999999995</v>
      </c>
    </row>
    <row r="87" spans="2:19" ht="17.399999999999999" x14ac:dyDescent="0.25">
      <c r="B87" s="71" t="s">
        <v>48</v>
      </c>
      <c r="C87" s="73" t="s">
        <v>50</v>
      </c>
      <c r="D87" s="74">
        <v>38.799999999999997</v>
      </c>
    </row>
    <row r="88" spans="2:19" ht="17.399999999999999" x14ac:dyDescent="0.25">
      <c r="B88" s="71" t="s">
        <v>49</v>
      </c>
      <c r="C88" s="73" t="s">
        <v>50</v>
      </c>
      <c r="D88" s="74">
        <v>83.67</v>
      </c>
    </row>
    <row r="91" spans="2:19" ht="33" customHeight="1" x14ac:dyDescent="0.25">
      <c r="I91" s="2034" t="s">
        <v>492</v>
      </c>
      <c r="J91" s="2034"/>
      <c r="K91" s="2034"/>
      <c r="L91" s="2034"/>
      <c r="M91" s="2034"/>
      <c r="N91" s="2034"/>
      <c r="O91" s="2034"/>
      <c r="P91" s="1070"/>
      <c r="Q91" s="1070"/>
      <c r="R91" s="1070"/>
      <c r="S91" s="1070"/>
    </row>
    <row r="92" spans="2:19" ht="30" customHeight="1" x14ac:dyDescent="0.25">
      <c r="I92" s="172" t="s">
        <v>497</v>
      </c>
      <c r="J92" s="933" t="s">
        <v>6</v>
      </c>
      <c r="K92" s="933" t="s">
        <v>7</v>
      </c>
      <c r="L92" s="933" t="s">
        <v>8</v>
      </c>
      <c r="M92" s="933" t="s">
        <v>9</v>
      </c>
      <c r="N92" s="933" t="s">
        <v>10</v>
      </c>
      <c r="O92" s="933" t="s">
        <v>499</v>
      </c>
      <c r="P92" s="1073"/>
      <c r="Q92" s="1073"/>
      <c r="R92" s="1073"/>
      <c r="S92" s="1073"/>
    </row>
    <row r="93" spans="2:19" ht="30" customHeight="1" x14ac:dyDescent="0.25">
      <c r="I93" s="172">
        <v>1</v>
      </c>
      <c r="J93" s="71" t="s">
        <v>471</v>
      </c>
      <c r="K93" s="73" t="s">
        <v>15</v>
      </c>
      <c r="L93" s="921">
        <v>30</v>
      </c>
      <c r="M93" s="74">
        <v>865.42</v>
      </c>
      <c r="N93" s="74">
        <f>M93*L93</f>
        <v>25962.6</v>
      </c>
      <c r="O93" s="2042" t="s">
        <v>495</v>
      </c>
      <c r="P93" s="923"/>
      <c r="Q93" s="923"/>
      <c r="R93" s="923"/>
      <c r="S93" s="923"/>
    </row>
    <row r="94" spans="2:19" ht="30" customHeight="1" x14ac:dyDescent="0.25">
      <c r="I94" s="172"/>
      <c r="J94" s="971"/>
      <c r="K94" s="972"/>
      <c r="L94" s="973"/>
      <c r="M94" s="934" t="s">
        <v>498</v>
      </c>
      <c r="N94" s="965">
        <f>N93*0.12</f>
        <v>3115.5119999999997</v>
      </c>
      <c r="O94" s="2043"/>
      <c r="P94" s="923"/>
      <c r="Q94" s="923"/>
      <c r="R94" s="923"/>
      <c r="S94" s="923"/>
    </row>
    <row r="95" spans="2:19" ht="30" customHeight="1" x14ac:dyDescent="0.3">
      <c r="I95" s="172"/>
      <c r="J95" s="974"/>
      <c r="K95" s="975"/>
      <c r="L95" s="976"/>
      <c r="M95" s="977" t="s">
        <v>27</v>
      </c>
      <c r="N95" s="967">
        <f>N93+N94</f>
        <v>29078.111999999997</v>
      </c>
      <c r="O95" s="2044"/>
      <c r="P95" s="923"/>
      <c r="Q95" s="923"/>
      <c r="R95" s="923"/>
      <c r="S95" s="923"/>
    </row>
    <row r="96" spans="2:19" ht="30" customHeight="1" x14ac:dyDescent="0.25">
      <c r="I96" s="172" t="s">
        <v>497</v>
      </c>
      <c r="J96" s="933" t="s">
        <v>6</v>
      </c>
      <c r="K96" s="933" t="s">
        <v>7</v>
      </c>
      <c r="L96" s="933" t="s">
        <v>8</v>
      </c>
      <c r="M96" s="933" t="s">
        <v>9</v>
      </c>
      <c r="N96" s="933" t="s">
        <v>10</v>
      </c>
      <c r="O96" s="933" t="s">
        <v>499</v>
      </c>
      <c r="P96" s="1073"/>
      <c r="Q96" s="1073"/>
      <c r="R96" s="1073"/>
      <c r="S96" s="1073"/>
    </row>
    <row r="97" spans="9:19" ht="30" customHeight="1" x14ac:dyDescent="0.25">
      <c r="I97" s="172">
        <v>2</v>
      </c>
      <c r="J97" s="968" t="s">
        <v>493</v>
      </c>
      <c r="K97" s="969" t="s">
        <v>19</v>
      </c>
      <c r="L97" s="966">
        <v>3</v>
      </c>
      <c r="M97" s="970">
        <v>1229.71</v>
      </c>
      <c r="N97" s="74">
        <f>M97*L97</f>
        <v>3689.13</v>
      </c>
      <c r="O97" s="921" t="s">
        <v>496</v>
      </c>
      <c r="P97" s="923"/>
      <c r="Q97" s="923"/>
      <c r="R97" s="923"/>
      <c r="S97" s="923"/>
    </row>
    <row r="98" spans="9:19" ht="30" customHeight="1" x14ac:dyDescent="0.25">
      <c r="I98" s="172">
        <v>3</v>
      </c>
      <c r="J98" s="71" t="s">
        <v>494</v>
      </c>
      <c r="K98" s="73" t="s">
        <v>19</v>
      </c>
      <c r="L98" s="921">
        <v>3</v>
      </c>
      <c r="M98" s="74">
        <v>5608.27</v>
      </c>
      <c r="N98" s="74">
        <f>M98*L98</f>
        <v>16824.810000000001</v>
      </c>
      <c r="O98" s="921" t="s">
        <v>496</v>
      </c>
      <c r="P98" s="923"/>
      <c r="Q98" s="923"/>
      <c r="R98" s="923"/>
      <c r="S98" s="923"/>
    </row>
    <row r="99" spans="9:19" ht="17.399999999999999" x14ac:dyDescent="0.25">
      <c r="N99" s="78">
        <f>SUM(N97:N98)</f>
        <v>20513.940000000002</v>
      </c>
    </row>
    <row r="100" spans="9:19" ht="17.399999999999999" x14ac:dyDescent="0.25">
      <c r="M100" s="58" t="s">
        <v>498</v>
      </c>
      <c r="N100" s="78">
        <f>N99*0.12</f>
        <v>2461.6728000000003</v>
      </c>
    </row>
    <row r="101" spans="9:19" ht="17.399999999999999" x14ac:dyDescent="0.25">
      <c r="M101" s="58" t="s">
        <v>27</v>
      </c>
      <c r="N101" s="889">
        <f>SUM(N99:N100)</f>
        <v>22975.612800000003</v>
      </c>
    </row>
    <row r="109" spans="9:19" ht="30" customHeight="1" x14ac:dyDescent="0.25">
      <c r="N109" s="74">
        <f>N97+N98</f>
        <v>20513.940000000002</v>
      </c>
    </row>
    <row r="110" spans="9:19" ht="30" customHeight="1" x14ac:dyDescent="0.25">
      <c r="N110" s="74">
        <f>N109*1.12</f>
        <v>22975.612800000006</v>
      </c>
    </row>
    <row r="111" spans="9:19" ht="30" customHeight="1" x14ac:dyDescent="0.25">
      <c r="N111" s="74">
        <f>N93*1.12</f>
        <v>29078.112000000001</v>
      </c>
    </row>
    <row r="112" spans="9:19" ht="17.399999999999999" x14ac:dyDescent="0.25">
      <c r="N112" s="74"/>
    </row>
    <row r="127" spans="2:22" ht="15.6" thickBot="1" x14ac:dyDescent="0.3"/>
    <row r="128" spans="2:22" ht="51" customHeight="1" thickBot="1" x14ac:dyDescent="0.45">
      <c r="B128" s="1078" t="s">
        <v>495</v>
      </c>
      <c r="E128" s="1984" t="s">
        <v>585</v>
      </c>
      <c r="F128" s="1985"/>
      <c r="G128" s="1140"/>
      <c r="H128" s="1140"/>
      <c r="I128" s="1140"/>
      <c r="J128" s="1140"/>
      <c r="K128" s="1140"/>
      <c r="L128" s="1140"/>
      <c r="M128" s="1140"/>
      <c r="N128" s="1140"/>
      <c r="O128" s="1140"/>
      <c r="P128" s="1140"/>
      <c r="Q128" s="1140"/>
      <c r="R128" s="1140"/>
      <c r="S128" s="1140"/>
      <c r="T128" s="1141"/>
      <c r="U128" s="62"/>
      <c r="V128" s="62"/>
    </row>
    <row r="129" spans="1:22" ht="29.25" customHeight="1" x14ac:dyDescent="0.25">
      <c r="E129" s="2002" t="s">
        <v>0</v>
      </c>
      <c r="F129" s="2013"/>
      <c r="G129" s="2002" t="s">
        <v>0</v>
      </c>
      <c r="H129" s="2013"/>
      <c r="I129" s="2002" t="s">
        <v>0</v>
      </c>
      <c r="J129" s="2013"/>
      <c r="K129" s="2002" t="s">
        <v>0</v>
      </c>
      <c r="L129" s="2003"/>
      <c r="M129" s="2002" t="s">
        <v>0</v>
      </c>
      <c r="N129" s="2003"/>
      <c r="O129" s="2002" t="s">
        <v>0</v>
      </c>
      <c r="P129" s="2013"/>
      <c r="Q129" s="2013"/>
      <c r="R129" s="2013"/>
      <c r="S129" s="2013"/>
      <c r="T129" s="2003"/>
      <c r="U129" s="2002" t="s">
        <v>0</v>
      </c>
      <c r="V129" s="2003"/>
    </row>
    <row r="130" spans="1:22" ht="29.25" customHeight="1" thickBot="1" x14ac:dyDescent="0.45">
      <c r="E130" s="123" t="s">
        <v>452</v>
      </c>
      <c r="F130" s="87" t="s">
        <v>4</v>
      </c>
      <c r="G130" s="119" t="s">
        <v>1</v>
      </c>
      <c r="H130" s="123" t="s">
        <v>2</v>
      </c>
      <c r="I130" s="123" t="s">
        <v>452</v>
      </c>
      <c r="J130" s="119" t="s">
        <v>4</v>
      </c>
      <c r="K130" s="119" t="s">
        <v>1</v>
      </c>
      <c r="L130" s="123" t="s">
        <v>2</v>
      </c>
      <c r="M130" s="119" t="s">
        <v>1</v>
      </c>
      <c r="N130" s="123" t="s">
        <v>2</v>
      </c>
      <c r="O130" s="119" t="s">
        <v>1</v>
      </c>
      <c r="P130" s="1115"/>
      <c r="Q130" s="1115"/>
      <c r="R130" s="1115"/>
      <c r="S130" s="1115"/>
      <c r="T130" s="123" t="s">
        <v>2</v>
      </c>
      <c r="U130" s="119" t="s">
        <v>1</v>
      </c>
      <c r="V130" s="123" t="s">
        <v>2</v>
      </c>
    </row>
    <row r="131" spans="1:22" ht="40.5" customHeight="1" thickBot="1" x14ac:dyDescent="0.3">
      <c r="E131" s="1993" t="s">
        <v>584</v>
      </c>
      <c r="F131" s="1994"/>
      <c r="G131" s="1993" t="s">
        <v>538</v>
      </c>
      <c r="H131" s="1994"/>
      <c r="I131" s="1993" t="s">
        <v>537</v>
      </c>
      <c r="J131" s="1994"/>
      <c r="K131" s="1993" t="s">
        <v>61</v>
      </c>
      <c r="L131" s="1994"/>
      <c r="M131" s="2010" t="s">
        <v>566</v>
      </c>
      <c r="N131" s="2011"/>
      <c r="O131" s="2010"/>
      <c r="P131" s="2012"/>
      <c r="Q131" s="2012"/>
      <c r="R131" s="2012"/>
      <c r="S131" s="2012"/>
      <c r="T131" s="2011"/>
      <c r="U131" s="2010"/>
      <c r="V131" s="2011"/>
    </row>
    <row r="132" spans="1:22" ht="29.25" customHeight="1" thickBot="1" x14ac:dyDescent="0.3">
      <c r="B132" s="1071" t="s">
        <v>6</v>
      </c>
      <c r="C132" s="1077" t="s">
        <v>7</v>
      </c>
      <c r="D132" s="1072" t="s">
        <v>8</v>
      </c>
      <c r="E132" s="857" t="s">
        <v>9</v>
      </c>
      <c r="F132" s="857" t="s">
        <v>10</v>
      </c>
      <c r="G132" s="506" t="s">
        <v>9</v>
      </c>
      <c r="H132" s="507" t="s">
        <v>10</v>
      </c>
      <c r="I132" s="884" t="s">
        <v>9</v>
      </c>
      <c r="J132" s="884" t="s">
        <v>10</v>
      </c>
      <c r="K132" s="857" t="s">
        <v>9</v>
      </c>
      <c r="L132" s="858" t="s">
        <v>10</v>
      </c>
      <c r="M132" s="857" t="s">
        <v>9</v>
      </c>
      <c r="N132" s="858" t="s">
        <v>10</v>
      </c>
      <c r="O132" s="506"/>
      <c r="P132" s="304"/>
      <c r="Q132" s="304"/>
      <c r="R132" s="304"/>
      <c r="S132" s="304"/>
      <c r="T132" s="507"/>
      <c r="U132" s="506"/>
      <c r="V132" s="507"/>
    </row>
    <row r="133" spans="1:22" ht="67.2" customHeight="1" x14ac:dyDescent="0.25">
      <c r="A133" s="59">
        <v>1</v>
      </c>
      <c r="B133" s="481" t="s">
        <v>531</v>
      </c>
      <c r="C133" s="482" t="s">
        <v>11</v>
      </c>
      <c r="D133" s="483">
        <v>648</v>
      </c>
      <c r="E133" s="98">
        <v>450</v>
      </c>
      <c r="F133" s="98">
        <f>+D133*E133</f>
        <v>291600</v>
      </c>
      <c r="G133" s="108">
        <v>490</v>
      </c>
      <c r="H133" s="1127">
        <f>G133*D133</f>
        <v>317520</v>
      </c>
      <c r="I133" s="130">
        <v>450</v>
      </c>
      <c r="J133" s="483">
        <f>D133*I133</f>
        <v>291600</v>
      </c>
      <c r="K133" s="480">
        <v>750</v>
      </c>
      <c r="L133" s="665">
        <f>+K133*D133</f>
        <v>486000</v>
      </c>
      <c r="M133" s="665">
        <v>570</v>
      </c>
      <c r="N133" s="78">
        <f>M133*D133</f>
        <v>369360</v>
      </c>
      <c r="O133" s="108"/>
      <c r="P133" s="130"/>
      <c r="Q133" s="130"/>
      <c r="R133" s="130"/>
      <c r="S133" s="130"/>
      <c r="T133" s="130"/>
      <c r="U133" s="108"/>
      <c r="V133" s="483"/>
    </row>
    <row r="134" spans="1:22" ht="88.95" customHeight="1" x14ac:dyDescent="0.25">
      <c r="A134" s="59">
        <f>+A133+1</f>
        <v>2</v>
      </c>
      <c r="B134" s="484" t="s">
        <v>532</v>
      </c>
      <c r="C134" s="77" t="s">
        <v>11</v>
      </c>
      <c r="D134" s="480">
        <v>1170</v>
      </c>
      <c r="E134" s="98">
        <v>450</v>
      </c>
      <c r="F134" s="98">
        <f>+D134*E134</f>
        <v>526500</v>
      </c>
      <c r="G134" s="665">
        <v>490</v>
      </c>
      <c r="H134" s="1129">
        <f>D134*G134</f>
        <v>573300</v>
      </c>
      <c r="I134" s="78">
        <v>450</v>
      </c>
      <c r="J134" s="480">
        <f t="shared" ref="J134:J135" si="12">D134*I134</f>
        <v>526500</v>
      </c>
      <c r="K134" s="480">
        <v>750</v>
      </c>
      <c r="L134" s="665">
        <f t="shared" ref="L134:L135" si="13">+K134*D134</f>
        <v>877500</v>
      </c>
      <c r="M134" s="665">
        <v>570</v>
      </c>
      <c r="N134" s="78">
        <f>M134*D134</f>
        <v>666900</v>
      </c>
      <c r="O134" s="665"/>
      <c r="P134" s="78"/>
      <c r="Q134" s="78"/>
      <c r="R134" s="78"/>
      <c r="S134" s="78"/>
      <c r="T134" s="78"/>
      <c r="U134" s="665"/>
      <c r="V134" s="480"/>
    </row>
    <row r="135" spans="1:22" ht="64.95" customHeight="1" thickBot="1" x14ac:dyDescent="0.3">
      <c r="A135" s="59">
        <f t="shared" ref="A135" si="14">+A134+1</f>
        <v>3</v>
      </c>
      <c r="B135" s="484" t="s">
        <v>533</v>
      </c>
      <c r="C135" s="77" t="s">
        <v>11</v>
      </c>
      <c r="D135" s="480">
        <v>2777</v>
      </c>
      <c r="E135" s="98">
        <v>450</v>
      </c>
      <c r="F135" s="98">
        <f>+D135*E135</f>
        <v>1249650</v>
      </c>
      <c r="G135" s="86">
        <v>490</v>
      </c>
      <c r="H135" s="1130">
        <f>G135*D135</f>
        <v>1360730</v>
      </c>
      <c r="I135" s="110">
        <v>450</v>
      </c>
      <c r="J135" s="100">
        <f t="shared" si="12"/>
        <v>1249650</v>
      </c>
      <c r="K135" s="480">
        <v>750</v>
      </c>
      <c r="L135" s="665">
        <f t="shared" si="13"/>
        <v>2082750</v>
      </c>
      <c r="M135" s="665">
        <v>570</v>
      </c>
      <c r="N135" s="78">
        <f>M135*D135</f>
        <v>1582890</v>
      </c>
      <c r="O135" s="665"/>
      <c r="P135" s="78"/>
      <c r="Q135" s="78"/>
      <c r="R135" s="78"/>
      <c r="S135" s="78"/>
      <c r="T135" s="78"/>
      <c r="U135" s="665"/>
      <c r="V135" s="480"/>
    </row>
    <row r="136" spans="1:22" ht="29.25" customHeight="1" thickBot="1" x14ac:dyDescent="0.3">
      <c r="B136" s="485" t="s">
        <v>535</v>
      </c>
      <c r="C136" s="486"/>
      <c r="D136" s="100">
        <f>SUM(D133:D135)</f>
        <v>4595</v>
      </c>
      <c r="E136" s="863"/>
      <c r="F136" s="114">
        <f>SUM(F133:F135)</f>
        <v>2067750</v>
      </c>
      <c r="G136" s="1128"/>
      <c r="H136" s="587">
        <f>SUM(H133:H135)</f>
        <v>2251550</v>
      </c>
      <c r="I136" s="110"/>
      <c r="J136" s="587">
        <f>SUM(J133:J135)</f>
        <v>2067750</v>
      </c>
      <c r="K136" s="1076"/>
      <c r="L136" s="868">
        <f>SUM(L133:L135)</f>
        <v>3446250</v>
      </c>
      <c r="M136" s="1075"/>
      <c r="N136" s="866">
        <f>SUM(N133:N135)</f>
        <v>2619150</v>
      </c>
      <c r="T136" s="869"/>
      <c r="U136" s="509"/>
      <c r="V136" s="880"/>
    </row>
    <row r="137" spans="1:22" ht="29.25" customHeight="1" x14ac:dyDescent="0.25">
      <c r="B137" s="76"/>
      <c r="C137" s="77"/>
      <c r="D137" s="78"/>
      <c r="E137" s="2004" t="s">
        <v>534</v>
      </c>
      <c r="F137" s="2005"/>
      <c r="G137" s="2004" t="s">
        <v>534</v>
      </c>
      <c r="H137" s="2005"/>
      <c r="I137" s="2004" t="s">
        <v>534</v>
      </c>
      <c r="J137" s="2005"/>
      <c r="K137" s="2004" t="s">
        <v>534</v>
      </c>
      <c r="L137" s="2005"/>
      <c r="M137" s="873"/>
      <c r="N137" s="871"/>
      <c r="O137" s="870"/>
      <c r="P137" s="104"/>
      <c r="Q137" s="104"/>
      <c r="R137" s="104"/>
      <c r="S137" s="104"/>
      <c r="T137" s="871"/>
      <c r="U137" s="62"/>
      <c r="V137" s="62"/>
    </row>
    <row r="138" spans="1:22" ht="29.25" customHeight="1" x14ac:dyDescent="0.25">
      <c r="B138" s="76"/>
      <c r="C138" s="77"/>
      <c r="D138" s="78"/>
      <c r="E138" s="2004"/>
      <c r="F138" s="2005"/>
      <c r="G138" s="2004"/>
      <c r="H138" s="2005"/>
      <c r="I138" s="2004"/>
      <c r="J138" s="2005"/>
      <c r="K138" s="2004"/>
      <c r="L138" s="2005"/>
      <c r="M138" s="874"/>
      <c r="N138" s="103"/>
      <c r="O138" s="115"/>
      <c r="P138" s="62"/>
      <c r="Q138" s="62"/>
      <c r="R138" s="62"/>
      <c r="S138" s="62"/>
      <c r="T138" s="103"/>
      <c r="U138" s="62"/>
      <c r="V138" s="62"/>
    </row>
    <row r="139" spans="1:22" ht="29.25" customHeight="1" x14ac:dyDescent="0.25">
      <c r="B139" s="76"/>
      <c r="C139" s="77"/>
      <c r="D139" s="78"/>
      <c r="E139" s="2004"/>
      <c r="F139" s="2005"/>
      <c r="G139" s="2004"/>
      <c r="H139" s="2005"/>
      <c r="I139" s="2004"/>
      <c r="J139" s="2005"/>
      <c r="K139" s="2004"/>
      <c r="L139" s="2005"/>
      <c r="M139" s="874"/>
      <c r="N139" s="103"/>
      <c r="O139" s="115"/>
      <c r="P139" s="62"/>
      <c r="Q139" s="62"/>
      <c r="R139" s="62"/>
      <c r="S139" s="62"/>
      <c r="T139" s="872" t="s">
        <v>443</v>
      </c>
      <c r="U139" s="62"/>
      <c r="V139" s="62"/>
    </row>
    <row r="140" spans="1:22" ht="29.25" customHeight="1" thickBot="1" x14ac:dyDescent="0.3">
      <c r="B140" s="76"/>
      <c r="C140" s="77"/>
      <c r="D140" s="78"/>
      <c r="E140" s="2006"/>
      <c r="F140" s="2007"/>
      <c r="G140" s="2006"/>
      <c r="H140" s="2007"/>
      <c r="I140" s="2006"/>
      <c r="J140" s="2007"/>
      <c r="K140" s="2006"/>
      <c r="L140" s="2007"/>
      <c r="M140" s="875"/>
      <c r="N140" s="116"/>
      <c r="O140" s="509"/>
      <c r="P140" s="117"/>
      <c r="Q140" s="117"/>
      <c r="R140" s="117"/>
      <c r="S140" s="117"/>
      <c r="T140" s="116"/>
      <c r="U140" s="62"/>
      <c r="V140" s="62"/>
    </row>
    <row r="141" spans="1:22" ht="29.25" customHeight="1" thickBot="1" x14ac:dyDescent="0.3">
      <c r="B141" s="76"/>
      <c r="C141" s="132"/>
      <c r="D141" s="130"/>
      <c r="E141" s="104"/>
      <c r="F141" s="104"/>
      <c r="G141" s="104"/>
      <c r="H141" s="104"/>
      <c r="I141" s="104"/>
      <c r="J141" s="104"/>
      <c r="K141" s="91"/>
      <c r="L141" s="91"/>
      <c r="M141" s="81"/>
      <c r="N141" s="62"/>
      <c r="U141" s="62"/>
      <c r="V141" s="62"/>
    </row>
    <row r="142" spans="1:22" ht="29.25" customHeight="1" thickBot="1" x14ac:dyDescent="0.45">
      <c r="C142" s="115"/>
      <c r="D142" s="62"/>
      <c r="E142" s="124" t="s">
        <v>64</v>
      </c>
      <c r="F142" s="125"/>
      <c r="G142" s="126"/>
      <c r="H142" s="1142">
        <f>J136</f>
        <v>2067750</v>
      </c>
      <c r="I142" s="133" t="s">
        <v>66</v>
      </c>
      <c r="J142" s="128">
        <f>+J119</f>
        <v>0</v>
      </c>
      <c r="K142" s="121" t="s">
        <v>67</v>
      </c>
      <c r="L142" s="127">
        <f>+J142+H142</f>
        <v>2067750</v>
      </c>
      <c r="M142" s="81"/>
      <c r="N142" s="62"/>
      <c r="U142" s="62"/>
      <c r="V142" s="62"/>
    </row>
    <row r="143" spans="1:22" ht="29.25" customHeight="1" thickBot="1" x14ac:dyDescent="0.3">
      <c r="B143" s="76"/>
      <c r="C143" s="111"/>
      <c r="D143" s="110"/>
      <c r="E143" s="110"/>
      <c r="F143" s="83"/>
      <c r="G143" s="88"/>
      <c r="H143" s="88"/>
      <c r="I143" s="88"/>
      <c r="J143" s="88"/>
      <c r="K143" s="88"/>
      <c r="L143" s="88"/>
      <c r="M143" s="82"/>
      <c r="N143" s="62"/>
      <c r="U143" s="62"/>
      <c r="V143" s="62"/>
    </row>
    <row r="151" spans="2:30" ht="22.8" x14ac:dyDescent="0.4">
      <c r="B151" s="1078"/>
    </row>
    <row r="155" spans="2:30" ht="15.6" thickBot="1" x14ac:dyDescent="0.3"/>
    <row r="156" spans="2:30" ht="29.25" customHeight="1" thickBot="1" x14ac:dyDescent="0.45">
      <c r="E156" s="2045" t="s">
        <v>539</v>
      </c>
      <c r="F156" s="2046"/>
      <c r="G156" s="2046"/>
      <c r="H156" s="2047"/>
      <c r="I156" s="1079"/>
      <c r="J156" s="1079"/>
      <c r="K156" s="1079"/>
      <c r="L156" s="1079"/>
      <c r="M156" s="1079"/>
      <c r="N156" s="1079"/>
      <c r="O156" s="1079"/>
      <c r="P156" s="1079"/>
      <c r="Q156" s="1079"/>
      <c r="R156" s="1079"/>
      <c r="S156" s="1079"/>
      <c r="T156" s="1079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</row>
    <row r="157" spans="2:30" ht="30.6" customHeight="1" x14ac:dyDescent="0.25">
      <c r="E157" s="2002" t="s">
        <v>0</v>
      </c>
      <c r="F157" s="2003"/>
      <c r="G157" s="2002" t="s">
        <v>0</v>
      </c>
      <c r="H157" s="2003"/>
      <c r="I157" s="1874"/>
      <c r="J157" s="1874"/>
      <c r="K157" s="1874"/>
      <c r="L157" s="1874"/>
      <c r="M157" s="1874"/>
      <c r="N157" s="1874"/>
      <c r="O157" s="1874"/>
      <c r="P157" s="1874"/>
      <c r="Q157" s="1874"/>
      <c r="R157" s="1874"/>
      <c r="S157" s="1874"/>
      <c r="T157" s="1874"/>
      <c r="U157" s="1874"/>
      <c r="V157" s="1874"/>
      <c r="W157" s="62"/>
      <c r="X157" s="62"/>
      <c r="Y157" s="62"/>
      <c r="Z157" s="62"/>
      <c r="AA157" s="62"/>
      <c r="AB157" s="62"/>
      <c r="AC157" s="62"/>
      <c r="AD157" s="62"/>
    </row>
    <row r="158" spans="2:30" ht="29.25" customHeight="1" thickBot="1" x14ac:dyDescent="0.45">
      <c r="E158" s="120" t="s">
        <v>3</v>
      </c>
      <c r="F158" s="1082" t="s">
        <v>62</v>
      </c>
      <c r="G158" s="120" t="s">
        <v>3</v>
      </c>
      <c r="H158" s="1082" t="s">
        <v>62</v>
      </c>
      <c r="I158" s="817"/>
      <c r="J158" s="133"/>
      <c r="K158" s="817"/>
      <c r="L158" s="133"/>
      <c r="M158" s="817"/>
      <c r="N158" s="133"/>
      <c r="O158" s="817"/>
      <c r="P158" s="817"/>
      <c r="Q158" s="817"/>
      <c r="R158" s="817"/>
      <c r="S158" s="817"/>
      <c r="T158" s="133"/>
      <c r="U158" s="817"/>
      <c r="V158" s="133"/>
      <c r="W158" s="62"/>
      <c r="X158" s="62"/>
      <c r="Y158" s="62"/>
      <c r="Z158" s="62"/>
      <c r="AA158" s="62"/>
      <c r="AB158" s="62"/>
      <c r="AC158" s="62"/>
      <c r="AD158" s="62"/>
    </row>
    <row r="159" spans="2:30" ht="40.5" customHeight="1" thickBot="1" x14ac:dyDescent="0.45">
      <c r="B159" s="1090" t="s">
        <v>536</v>
      </c>
      <c r="C159" s="1091"/>
      <c r="D159" s="1092"/>
      <c r="E159" s="1993" t="s">
        <v>540</v>
      </c>
      <c r="F159" s="1994"/>
      <c r="G159" s="1993" t="s">
        <v>541</v>
      </c>
      <c r="H159" s="1994"/>
      <c r="I159" s="1995"/>
      <c r="J159" s="1995"/>
      <c r="K159" s="1995"/>
      <c r="L159" s="1995"/>
      <c r="M159" s="1995"/>
      <c r="N159" s="1995"/>
      <c r="O159" s="1995"/>
      <c r="P159" s="1995"/>
      <c r="Q159" s="1995"/>
      <c r="R159" s="1995"/>
      <c r="S159" s="1995"/>
      <c r="T159" s="1995"/>
      <c r="U159" s="1995"/>
      <c r="V159" s="1995"/>
      <c r="W159" s="62"/>
      <c r="X159" s="62"/>
      <c r="Y159" s="62"/>
      <c r="Z159" s="62"/>
      <c r="AA159" s="62"/>
      <c r="AB159" s="62"/>
      <c r="AC159" s="62"/>
      <c r="AD159" s="62"/>
    </row>
    <row r="160" spans="2:30" ht="29.25" customHeight="1" thickBot="1" x14ac:dyDescent="0.3">
      <c r="B160" s="1071" t="s">
        <v>6</v>
      </c>
      <c r="C160" s="1077" t="s">
        <v>7</v>
      </c>
      <c r="D160" s="1077" t="s">
        <v>8</v>
      </c>
      <c r="E160" s="857" t="s">
        <v>9</v>
      </c>
      <c r="F160" s="857" t="s">
        <v>10</v>
      </c>
      <c r="G160" s="857" t="s">
        <v>9</v>
      </c>
      <c r="H160" s="857" t="s">
        <v>10</v>
      </c>
      <c r="I160" s="253"/>
      <c r="J160" s="253"/>
      <c r="K160" s="253"/>
      <c r="L160" s="253"/>
      <c r="M160" s="253"/>
      <c r="N160" s="253"/>
      <c r="O160" s="253"/>
      <c r="P160" s="253"/>
      <c r="Q160" s="253"/>
      <c r="R160" s="253"/>
      <c r="S160" s="253"/>
      <c r="T160" s="253"/>
      <c r="U160" s="253"/>
      <c r="V160" s="253"/>
      <c r="W160" s="62"/>
      <c r="X160" s="62"/>
      <c r="Y160" s="62"/>
      <c r="Z160" s="62"/>
      <c r="AA160" s="62"/>
      <c r="AB160" s="62"/>
      <c r="AC160" s="62"/>
      <c r="AD160" s="62"/>
    </row>
    <row r="161" spans="1:30" ht="42.75" customHeight="1" x14ac:dyDescent="0.25">
      <c r="A161" s="59">
        <v>1</v>
      </c>
      <c r="B161" s="481" t="s">
        <v>531</v>
      </c>
      <c r="C161" s="1087" t="s">
        <v>16</v>
      </c>
      <c r="D161" s="1084">
        <f>(645.14/30)*1.15</f>
        <v>24.730366666666662</v>
      </c>
      <c r="E161" s="98">
        <v>48650</v>
      </c>
      <c r="F161" s="98">
        <f>+D161*E161</f>
        <v>1203132.3383333331</v>
      </c>
      <c r="G161" s="108">
        <v>25260</v>
      </c>
      <c r="H161" s="483">
        <f>G161*D161</f>
        <v>624689.06199999992</v>
      </c>
      <c r="I161" s="2008"/>
      <c r="J161" s="200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62"/>
      <c r="X161" s="62"/>
      <c r="Y161" s="62"/>
      <c r="Z161" s="62"/>
      <c r="AA161" s="62"/>
      <c r="AB161" s="62"/>
      <c r="AC161" s="62"/>
      <c r="AD161" s="62"/>
    </row>
    <row r="162" spans="1:30" ht="42.75" customHeight="1" x14ac:dyDescent="0.25">
      <c r="A162" s="59">
        <f>+A161+1</f>
        <v>2</v>
      </c>
      <c r="B162" s="484" t="s">
        <v>532</v>
      </c>
      <c r="C162" s="1088" t="s">
        <v>16</v>
      </c>
      <c r="D162" s="1085">
        <f>(1180.98/30)*1.15</f>
        <v>45.270899999999997</v>
      </c>
      <c r="E162" s="98">
        <v>48650</v>
      </c>
      <c r="F162" s="98">
        <f t="shared" ref="F162:F163" si="15">+D162*E162</f>
        <v>2202429.2849999997</v>
      </c>
      <c r="G162" s="665">
        <v>25260</v>
      </c>
      <c r="H162" s="480">
        <f t="shared" ref="H162:H163" si="16">G162*D162</f>
        <v>1143542.9339999999</v>
      </c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62"/>
      <c r="X162" s="62"/>
      <c r="Y162" s="62"/>
      <c r="Z162" s="62"/>
      <c r="AA162" s="62"/>
      <c r="AB162" s="62"/>
      <c r="AC162" s="62"/>
      <c r="AD162" s="62"/>
    </row>
    <row r="163" spans="1:30" ht="42.75" customHeight="1" thickBot="1" x14ac:dyDescent="0.3">
      <c r="A163" s="59">
        <f t="shared" ref="A163" si="17">+A162+1</f>
        <v>3</v>
      </c>
      <c r="B163" s="484" t="s">
        <v>533</v>
      </c>
      <c r="C163" s="1088" t="s">
        <v>16</v>
      </c>
      <c r="D163" s="1085">
        <f>(2784.06/30)*1.15</f>
        <v>106.72229999999999</v>
      </c>
      <c r="E163" s="98">
        <v>48650</v>
      </c>
      <c r="F163" s="98">
        <f t="shared" si="15"/>
        <v>5192039.8949999996</v>
      </c>
      <c r="G163" s="86">
        <v>25260</v>
      </c>
      <c r="H163" s="100">
        <f t="shared" si="16"/>
        <v>2695805.298</v>
      </c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62"/>
      <c r="X163" s="62"/>
      <c r="Y163" s="62"/>
      <c r="Z163" s="62"/>
      <c r="AA163" s="62"/>
      <c r="AB163" s="62"/>
      <c r="AC163" s="62"/>
      <c r="AD163" s="62"/>
    </row>
    <row r="164" spans="1:30" ht="29.25" customHeight="1" thickBot="1" x14ac:dyDescent="0.3">
      <c r="B164" s="485" t="s">
        <v>535</v>
      </c>
      <c r="C164" s="1089"/>
      <c r="D164" s="1086">
        <f>SUM(D161:D163)</f>
        <v>176.72356666666664</v>
      </c>
      <c r="E164" s="863"/>
      <c r="F164" s="114">
        <f>SUM(F161:F163)</f>
        <v>8597601.5183333326</v>
      </c>
      <c r="G164" s="79"/>
      <c r="H164" s="114">
        <f>SUM(H161:H163)</f>
        <v>4464037.2939999998</v>
      </c>
      <c r="I164" s="78"/>
      <c r="J164" s="889"/>
      <c r="K164" s="78"/>
      <c r="L164" s="889"/>
      <c r="M164" s="78"/>
      <c r="N164" s="889"/>
      <c r="O164" s="62"/>
      <c r="P164" s="62"/>
      <c r="Q164" s="62"/>
      <c r="R164" s="62"/>
      <c r="S164" s="62"/>
      <c r="T164" s="889"/>
      <c r="U164" s="62"/>
      <c r="V164" s="920"/>
      <c r="W164" s="62"/>
      <c r="X164" s="62"/>
      <c r="Y164" s="62"/>
      <c r="Z164" s="62"/>
      <c r="AA164" s="62"/>
      <c r="AB164" s="62"/>
      <c r="AC164" s="62"/>
      <c r="AD164" s="62"/>
    </row>
    <row r="165" spans="1:30" ht="29.25" customHeight="1" x14ac:dyDescent="0.25">
      <c r="B165" s="76"/>
      <c r="C165" s="77"/>
      <c r="D165" s="78"/>
      <c r="E165" s="2004"/>
      <c r="F165" s="2005"/>
      <c r="G165" s="1093"/>
      <c r="H165" s="860"/>
      <c r="I165" s="2009"/>
      <c r="J165" s="2009"/>
      <c r="K165" s="2009"/>
      <c r="L165" s="2009"/>
      <c r="M165" s="7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</row>
    <row r="166" spans="1:30" ht="29.25" customHeight="1" x14ac:dyDescent="0.25">
      <c r="B166" s="76"/>
      <c r="C166" s="77"/>
      <c r="D166" s="78"/>
      <c r="E166" s="2004"/>
      <c r="F166" s="2005"/>
      <c r="G166" s="1093"/>
      <c r="H166" s="860"/>
      <c r="I166" s="2009"/>
      <c r="J166" s="2009"/>
      <c r="K166" s="2009"/>
      <c r="L166" s="2009"/>
      <c r="M166" s="7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</row>
    <row r="167" spans="1:30" ht="29.25" customHeight="1" x14ac:dyDescent="0.25">
      <c r="B167" s="76"/>
      <c r="C167" s="77"/>
      <c r="D167" s="78"/>
      <c r="E167" s="2004"/>
      <c r="F167" s="2005"/>
      <c r="G167" s="1093"/>
      <c r="H167" s="860"/>
      <c r="I167" s="2009"/>
      <c r="J167" s="2009"/>
      <c r="K167" s="2009"/>
      <c r="L167" s="2009"/>
      <c r="M167" s="72"/>
      <c r="N167" s="62"/>
      <c r="O167" s="62"/>
      <c r="P167" s="62"/>
      <c r="Q167" s="62"/>
      <c r="R167" s="62"/>
      <c r="S167" s="62"/>
      <c r="T167" s="920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</row>
    <row r="168" spans="1:30" ht="29.25" customHeight="1" thickBot="1" x14ac:dyDescent="0.3">
      <c r="B168" s="76"/>
      <c r="C168" s="77"/>
      <c r="D168" s="78"/>
      <c r="E168" s="2006"/>
      <c r="F168" s="2007"/>
      <c r="G168" s="1093"/>
      <c r="H168" s="860"/>
      <c r="I168" s="2009"/>
      <c r="J168" s="2009"/>
      <c r="K168" s="2009"/>
      <c r="L168" s="2009"/>
      <c r="M168" s="7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</row>
    <row r="169" spans="1:30" ht="29.25" customHeight="1" thickBot="1" x14ac:dyDescent="0.3">
      <c r="B169" s="76"/>
      <c r="C169" s="132"/>
      <c r="D169" s="130"/>
      <c r="E169" s="870"/>
      <c r="F169" s="871"/>
      <c r="G169" s="62"/>
      <c r="H169" s="62"/>
      <c r="I169" s="62"/>
      <c r="J169" s="62"/>
      <c r="K169" s="72"/>
      <c r="L169" s="72"/>
      <c r="M169" s="7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</row>
    <row r="170" spans="1:30" ht="29.25" customHeight="1" thickBot="1" x14ac:dyDescent="0.45">
      <c r="C170" s="115"/>
      <c r="D170" s="62"/>
      <c r="E170" s="124" t="s">
        <v>64</v>
      </c>
      <c r="F170" s="126"/>
      <c r="G170" s="1083">
        <f>H164+F136</f>
        <v>6531787.2939999998</v>
      </c>
      <c r="H170" s="1080"/>
      <c r="I170" s="133"/>
      <c r="J170" s="1080"/>
      <c r="K170" s="121"/>
      <c r="L170" s="1081"/>
      <c r="M170" s="7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</row>
    <row r="171" spans="1:30" ht="29.25" customHeight="1" thickBot="1" x14ac:dyDescent="0.3">
      <c r="B171" s="76"/>
      <c r="C171" s="111"/>
      <c r="D171" s="110"/>
      <c r="E171" s="110"/>
      <c r="F171" s="83"/>
      <c r="G171" s="88"/>
      <c r="H171" s="88"/>
      <c r="I171" s="88"/>
      <c r="J171" s="88"/>
      <c r="K171" s="88"/>
      <c r="L171" s="88"/>
      <c r="M171" s="82"/>
      <c r="N171" s="62"/>
      <c r="U171" s="62"/>
      <c r="V171" s="62"/>
    </row>
    <row r="175" spans="1:30" ht="15.6" thickBot="1" x14ac:dyDescent="0.3"/>
    <row r="176" spans="1:30" ht="21" x14ac:dyDescent="0.4">
      <c r="A176" s="870"/>
      <c r="B176" s="1131" t="s">
        <v>567</v>
      </c>
      <c r="C176" s="1131"/>
      <c r="D176" s="1132"/>
    </row>
    <row r="177" spans="1:26" ht="21" x14ac:dyDescent="0.4">
      <c r="A177" s="115"/>
      <c r="B177" s="1133"/>
      <c r="C177" s="1133" t="s">
        <v>19</v>
      </c>
      <c r="D177" s="1134" t="s">
        <v>8</v>
      </c>
    </row>
    <row r="178" spans="1:26" ht="21" x14ac:dyDescent="0.4">
      <c r="A178" s="1135">
        <v>1</v>
      </c>
      <c r="B178" s="1133" t="s">
        <v>568</v>
      </c>
      <c r="C178" s="1133" t="s">
        <v>20</v>
      </c>
      <c r="D178" s="1138">
        <v>7</v>
      </c>
    </row>
    <row r="179" spans="1:26" ht="21" x14ac:dyDescent="0.4">
      <c r="A179" s="1135">
        <v>2</v>
      </c>
      <c r="B179" s="1133" t="s">
        <v>569</v>
      </c>
      <c r="C179" s="1133" t="s">
        <v>570</v>
      </c>
      <c r="D179" s="1138">
        <v>20</v>
      </c>
    </row>
    <row r="180" spans="1:26" ht="21" x14ac:dyDescent="0.4">
      <c r="A180" s="1135">
        <v>3</v>
      </c>
      <c r="B180" s="1133"/>
      <c r="C180" s="1133"/>
      <c r="D180" s="1138"/>
    </row>
    <row r="181" spans="1:26" ht="21.6" thickBot="1" x14ac:dyDescent="0.45">
      <c r="A181" s="509"/>
      <c r="B181" s="1136" t="s">
        <v>465</v>
      </c>
      <c r="C181" s="1136"/>
      <c r="D181" s="1137"/>
    </row>
    <row r="187" spans="1:26" s="40" customFormat="1" ht="25.5" customHeight="1" thickBot="1" x14ac:dyDescent="0.35"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s="40" customFormat="1" ht="25.5" customHeight="1" thickBot="1" x14ac:dyDescent="0.35">
      <c r="C188" s="1977" t="s">
        <v>562</v>
      </c>
      <c r="D188" s="1978"/>
      <c r="E188" s="1978"/>
      <c r="F188" s="1978"/>
      <c r="G188" s="1978"/>
      <c r="H188" s="1978"/>
      <c r="I188" s="1978"/>
      <c r="J188" s="1978"/>
      <c r="K188" s="1978"/>
      <c r="L188" s="1978"/>
      <c r="M188" s="1978"/>
      <c r="N188" s="1978"/>
      <c r="O188" s="1978"/>
      <c r="P188" s="1978"/>
      <c r="Q188" s="1978"/>
      <c r="R188" s="1978"/>
      <c r="S188" s="1978"/>
      <c r="T188" s="1978"/>
      <c r="U188" s="1979"/>
      <c r="V188" s="1094"/>
      <c r="W188" s="1094"/>
      <c r="X188" s="1094"/>
      <c r="Y188" s="41"/>
      <c r="Z188" s="41"/>
    </row>
    <row r="189" spans="1:26" s="40" customFormat="1" ht="25.5" customHeight="1" thickBot="1" x14ac:dyDescent="0.35">
      <c r="C189" s="1989" t="s">
        <v>542</v>
      </c>
      <c r="D189" s="1990"/>
      <c r="E189" s="1074" t="s">
        <v>543</v>
      </c>
      <c r="F189" s="1069" t="s">
        <v>544</v>
      </c>
      <c r="G189" s="1069" t="s">
        <v>545</v>
      </c>
      <c r="H189" s="1069" t="s">
        <v>546</v>
      </c>
      <c r="I189" s="1069" t="s">
        <v>547</v>
      </c>
      <c r="J189" s="1069" t="s">
        <v>548</v>
      </c>
      <c r="K189" s="1069" t="s">
        <v>549</v>
      </c>
      <c r="L189" s="1069" t="s">
        <v>550</v>
      </c>
      <c r="M189" s="1069" t="s">
        <v>551</v>
      </c>
      <c r="N189" s="1069" t="s">
        <v>552</v>
      </c>
      <c r="O189" s="1069" t="s">
        <v>553</v>
      </c>
      <c r="P189" s="1069" t="s">
        <v>554</v>
      </c>
      <c r="Q189" s="1069" t="s">
        <v>556</v>
      </c>
      <c r="R189" s="1069" t="s">
        <v>557</v>
      </c>
      <c r="S189" s="1069" t="s">
        <v>558</v>
      </c>
      <c r="T189" s="1069" t="s">
        <v>563</v>
      </c>
      <c r="U189" s="1068" t="s">
        <v>10</v>
      </c>
      <c r="V189" s="1067"/>
      <c r="W189" s="1067"/>
      <c r="X189" s="1067"/>
      <c r="Y189" s="41"/>
      <c r="Z189" s="41"/>
    </row>
    <row r="190" spans="1:26" s="40" customFormat="1" ht="55.95" customHeight="1" thickBot="1" x14ac:dyDescent="0.35">
      <c r="B190" s="1109" t="s">
        <v>559</v>
      </c>
      <c r="C190" s="1991">
        <v>645.14</v>
      </c>
      <c r="D190" s="1992"/>
      <c r="E190" s="1116">
        <v>20</v>
      </c>
      <c r="F190" s="1100"/>
      <c r="G190" s="1117">
        <v>5</v>
      </c>
      <c r="H190" s="1101"/>
      <c r="I190" s="1101"/>
      <c r="J190" s="1101"/>
      <c r="K190" s="1101"/>
      <c r="L190" s="1101"/>
      <c r="M190" s="1101"/>
      <c r="N190" s="1101"/>
      <c r="O190" s="1101"/>
      <c r="P190" s="1101"/>
      <c r="Q190" s="1101"/>
      <c r="R190" s="1101"/>
      <c r="S190" s="1101"/>
      <c r="T190" s="1101"/>
      <c r="U190" s="1102">
        <f>SUM(E190:T190)</f>
        <v>25</v>
      </c>
      <c r="V190" s="1095"/>
      <c r="W190" s="1095"/>
      <c r="X190" s="1095"/>
      <c r="Y190" s="41"/>
      <c r="Z190" s="41"/>
    </row>
    <row r="191" spans="1:26" s="40" customFormat="1" ht="61.2" customHeight="1" thickBot="1" x14ac:dyDescent="0.35">
      <c r="B191" s="1110" t="s">
        <v>560</v>
      </c>
      <c r="C191" s="1991">
        <v>1180.98</v>
      </c>
      <c r="D191" s="1992"/>
      <c r="E191" s="1112">
        <v>25</v>
      </c>
      <c r="F191" s="276"/>
      <c r="G191" s="276">
        <v>20</v>
      </c>
      <c r="H191" s="1095"/>
      <c r="I191" s="1095"/>
      <c r="J191" s="1095"/>
      <c r="K191" s="1095"/>
      <c r="L191" s="1095"/>
      <c r="M191" s="1095"/>
      <c r="N191" s="1098"/>
      <c r="O191" s="1098"/>
      <c r="P191" s="1098"/>
      <c r="Q191" s="1098"/>
      <c r="R191" s="1098"/>
      <c r="S191" s="1098"/>
      <c r="T191" s="1098"/>
      <c r="U191" s="1097">
        <f t="shared" ref="U191:U193" si="18">SUM(E191:T191)</f>
        <v>45</v>
      </c>
      <c r="V191" s="1095"/>
      <c r="W191" s="1095"/>
      <c r="X191" s="1095"/>
      <c r="Y191" s="41"/>
      <c r="Z191" s="41"/>
    </row>
    <row r="192" spans="1:26" s="40" customFormat="1" ht="40.950000000000003" customHeight="1" thickBot="1" x14ac:dyDescent="0.35">
      <c r="B192" s="1111" t="s">
        <v>561</v>
      </c>
      <c r="C192" s="1991">
        <v>2784.06</v>
      </c>
      <c r="D192" s="1992"/>
      <c r="E192" s="1112">
        <v>50</v>
      </c>
      <c r="F192" s="276"/>
      <c r="G192" s="276"/>
      <c r="H192" s="1095">
        <v>20</v>
      </c>
      <c r="I192" s="1095"/>
      <c r="J192" s="1095">
        <v>20</v>
      </c>
      <c r="K192" s="1095"/>
      <c r="L192" s="1095">
        <v>20</v>
      </c>
      <c r="M192" s="1095"/>
      <c r="N192" s="1098">
        <v>20</v>
      </c>
      <c r="O192" s="1098"/>
      <c r="P192" s="1098">
        <v>20</v>
      </c>
      <c r="Q192" s="1098"/>
      <c r="R192" s="1098"/>
      <c r="S192" s="1098"/>
      <c r="T192" s="1098"/>
      <c r="U192" s="1097">
        <f t="shared" si="18"/>
        <v>150</v>
      </c>
      <c r="V192" s="1095"/>
      <c r="W192" s="1095"/>
      <c r="X192" s="1095"/>
      <c r="Y192" s="41"/>
      <c r="Z192" s="41"/>
    </row>
    <row r="193" spans="1:26" s="40" customFormat="1" ht="41.25" customHeight="1" thickBot="1" x14ac:dyDescent="0.35">
      <c r="B193" s="1113" t="s">
        <v>10</v>
      </c>
      <c r="C193" s="1908">
        <f>SUM(C190:D192)</f>
        <v>4610.18</v>
      </c>
      <c r="D193" s="1910"/>
      <c r="E193" s="1118">
        <f>SUM(E190:E192)</f>
        <v>95</v>
      </c>
      <c r="F193" s="1119">
        <f>SUM(F190:F191)</f>
        <v>0</v>
      </c>
      <c r="G193" s="1096"/>
      <c r="H193" s="1096"/>
      <c r="I193" s="1096"/>
      <c r="J193" s="1096"/>
      <c r="K193" s="1096"/>
      <c r="L193" s="1096"/>
      <c r="M193" s="1096"/>
      <c r="N193" s="1103"/>
      <c r="O193" s="1103"/>
      <c r="P193" s="1103"/>
      <c r="Q193" s="1103"/>
      <c r="R193" s="1103"/>
      <c r="S193" s="1103"/>
      <c r="T193" s="1103"/>
      <c r="U193" s="1104">
        <f t="shared" si="18"/>
        <v>95</v>
      </c>
      <c r="V193" s="1099"/>
      <c r="W193" s="1099"/>
      <c r="X193" s="1099"/>
      <c r="Y193" s="41"/>
      <c r="Z193" s="41"/>
    </row>
    <row r="194" spans="1:26" s="40" customFormat="1" ht="25.5" customHeight="1" thickBot="1" x14ac:dyDescent="0.35">
      <c r="C194" s="1977" t="s">
        <v>555</v>
      </c>
      <c r="D194" s="1978"/>
      <c r="E194" s="1998"/>
      <c r="F194" s="1998"/>
      <c r="G194" s="1998"/>
      <c r="H194" s="1998"/>
      <c r="I194" s="1998"/>
      <c r="J194" s="1998"/>
      <c r="K194" s="1998"/>
      <c r="L194" s="1998"/>
      <c r="M194" s="1998"/>
      <c r="N194" s="1998"/>
      <c r="O194" s="1998"/>
      <c r="P194" s="1998"/>
      <c r="Q194" s="1998"/>
      <c r="R194" s="1998"/>
      <c r="S194" s="1998"/>
      <c r="T194" s="1998"/>
      <c r="U194" s="1999"/>
      <c r="V194" s="1094"/>
      <c r="W194" s="1094"/>
      <c r="X194" s="1094"/>
      <c r="Y194" s="41"/>
      <c r="Z194" s="41"/>
    </row>
    <row r="195" spans="1:26" s="40" customFormat="1" ht="25.5" customHeight="1" thickBot="1" x14ac:dyDescent="0.35">
      <c r="C195" s="1974" t="s">
        <v>542</v>
      </c>
      <c r="D195" s="2000"/>
      <c r="E195" s="1069" t="s">
        <v>543</v>
      </c>
      <c r="F195" s="1069" t="s">
        <v>544</v>
      </c>
      <c r="G195" s="1069" t="s">
        <v>545</v>
      </c>
      <c r="H195" s="1069" t="s">
        <v>546</v>
      </c>
      <c r="I195" s="1069" t="s">
        <v>547</v>
      </c>
      <c r="J195" s="1069" t="s">
        <v>548</v>
      </c>
      <c r="K195" s="1069" t="s">
        <v>549</v>
      </c>
      <c r="L195" s="1069" t="s">
        <v>550</v>
      </c>
      <c r="M195" s="1069" t="s">
        <v>551</v>
      </c>
      <c r="N195" s="1069" t="s">
        <v>552</v>
      </c>
      <c r="O195" s="1069" t="s">
        <v>553</v>
      </c>
      <c r="P195" s="1069" t="s">
        <v>554</v>
      </c>
      <c r="Q195" s="1069" t="s">
        <v>556</v>
      </c>
      <c r="R195" s="1069" t="s">
        <v>557</v>
      </c>
      <c r="S195" s="1069" t="s">
        <v>558</v>
      </c>
      <c r="T195" s="1069" t="s">
        <v>563</v>
      </c>
      <c r="U195" s="1068" t="s">
        <v>10</v>
      </c>
      <c r="V195" s="1067"/>
      <c r="W195" s="1067"/>
      <c r="X195" s="1067"/>
    </row>
    <row r="196" spans="1:26" s="40" customFormat="1" ht="41.4" customHeight="1" thickBot="1" x14ac:dyDescent="0.35">
      <c r="B196" s="1109" t="s">
        <v>559</v>
      </c>
      <c r="C196" s="1991">
        <v>645.14</v>
      </c>
      <c r="D196" s="2001"/>
      <c r="E196" s="1101"/>
      <c r="F196" s="1101"/>
      <c r="G196" s="1101"/>
      <c r="H196" s="1101"/>
      <c r="I196" s="1101"/>
      <c r="J196" s="1101"/>
      <c r="K196" s="1101"/>
      <c r="L196" s="1101"/>
      <c r="M196" s="1101"/>
      <c r="N196" s="1101"/>
      <c r="O196" s="1101"/>
      <c r="P196" s="1101"/>
      <c r="Q196" s="1101"/>
      <c r="R196" s="1101"/>
      <c r="S196" s="1101"/>
      <c r="T196" s="1101"/>
      <c r="U196" s="1102">
        <f>SUM(E196:N196)</f>
        <v>0</v>
      </c>
      <c r="V196" s="1095"/>
      <c r="W196" s="1095"/>
      <c r="X196" s="1095"/>
    </row>
    <row r="197" spans="1:26" s="40" customFormat="1" ht="41.4" customHeight="1" thickBot="1" x14ac:dyDescent="0.35">
      <c r="B197" s="1110" t="s">
        <v>560</v>
      </c>
      <c r="C197" s="1991">
        <v>1180.98</v>
      </c>
      <c r="D197" s="2001"/>
      <c r="E197" s="1095"/>
      <c r="F197" s="1095"/>
      <c r="G197" s="1095"/>
      <c r="H197" s="1095"/>
      <c r="I197" s="1095"/>
      <c r="J197" s="1095"/>
      <c r="K197" s="1095"/>
      <c r="L197" s="1095"/>
      <c r="M197" s="1095"/>
      <c r="N197" s="1098"/>
      <c r="O197" s="1098"/>
      <c r="P197" s="1098"/>
      <c r="Q197" s="1098"/>
      <c r="R197" s="1098"/>
      <c r="S197" s="1098"/>
      <c r="T197" s="1098"/>
      <c r="U197" s="1097">
        <f>SUM(E197:N197)</f>
        <v>0</v>
      </c>
      <c r="V197" s="1095"/>
      <c r="W197" s="1095"/>
      <c r="X197" s="1095"/>
    </row>
    <row r="198" spans="1:26" s="40" customFormat="1" ht="41.4" customHeight="1" thickBot="1" x14ac:dyDescent="0.35">
      <c r="B198" s="1111" t="s">
        <v>561</v>
      </c>
      <c r="C198" s="1991">
        <v>2784.06</v>
      </c>
      <c r="D198" s="2001"/>
      <c r="E198" s="1095"/>
      <c r="F198" s="1095"/>
      <c r="G198" s="1095"/>
      <c r="H198" s="1095"/>
      <c r="I198" s="1095"/>
      <c r="J198" s="1095"/>
      <c r="K198" s="1095"/>
      <c r="L198" s="1095"/>
      <c r="M198" s="1095"/>
      <c r="N198" s="1098"/>
      <c r="O198" s="1098"/>
      <c r="P198" s="1098"/>
      <c r="Q198" s="1098"/>
      <c r="R198" s="1098"/>
      <c r="S198" s="1098"/>
      <c r="T198" s="1098"/>
      <c r="U198" s="1097">
        <f>SUM(E198:N198)</f>
        <v>0</v>
      </c>
      <c r="V198" s="1095"/>
      <c r="W198" s="1095"/>
      <c r="X198" s="1095"/>
    </row>
    <row r="199" spans="1:26" s="40" customFormat="1" ht="25.5" customHeight="1" thickBot="1" x14ac:dyDescent="0.4">
      <c r="C199" s="1996">
        <f>SUM(C196:D198)</f>
        <v>4610.18</v>
      </c>
      <c r="D199" s="1997"/>
      <c r="E199" s="1120">
        <f>300</f>
        <v>300</v>
      </c>
      <c r="F199" s="1120">
        <v>300</v>
      </c>
      <c r="G199" s="1120">
        <v>300</v>
      </c>
      <c r="H199" s="1120">
        <v>300</v>
      </c>
      <c r="I199" s="1120">
        <v>300</v>
      </c>
      <c r="J199" s="1120">
        <v>300</v>
      </c>
      <c r="K199" s="1120">
        <v>300</v>
      </c>
      <c r="L199" s="1120">
        <v>300</v>
      </c>
      <c r="M199" s="1120">
        <v>300</v>
      </c>
      <c r="N199" s="1120">
        <v>300</v>
      </c>
      <c r="O199" s="1120">
        <v>300</v>
      </c>
      <c r="P199" s="1120">
        <v>300</v>
      </c>
      <c r="Q199" s="1120">
        <v>300</v>
      </c>
      <c r="R199" s="1120">
        <v>300</v>
      </c>
      <c r="S199" s="1120">
        <v>300</v>
      </c>
      <c r="T199" s="1120">
        <v>110.18</v>
      </c>
      <c r="U199" s="1104">
        <f>SUM(E199:T199)</f>
        <v>4610.18</v>
      </c>
      <c r="V199" s="1095"/>
      <c r="W199" s="1095"/>
      <c r="X199" s="1095"/>
    </row>
    <row r="200" spans="1:26" s="40" customFormat="1" ht="25.5" customHeight="1" thickBot="1" x14ac:dyDescent="0.35">
      <c r="D200" s="292"/>
      <c r="E200" s="292">
        <f>SUM(E196:E199)</f>
        <v>300</v>
      </c>
      <c r="F200" s="292">
        <f t="shared" ref="F200:S200" si="19">SUM(F196:F199)</f>
        <v>300</v>
      </c>
      <c r="G200" s="292">
        <f t="shared" si="19"/>
        <v>300</v>
      </c>
      <c r="H200" s="292">
        <f t="shared" si="19"/>
        <v>300</v>
      </c>
      <c r="I200" s="292">
        <f t="shared" si="19"/>
        <v>300</v>
      </c>
      <c r="J200" s="292">
        <f t="shared" si="19"/>
        <v>300</v>
      </c>
      <c r="K200" s="292">
        <f t="shared" si="19"/>
        <v>300</v>
      </c>
      <c r="L200" s="292">
        <f t="shared" si="19"/>
        <v>300</v>
      </c>
      <c r="M200" s="292">
        <f t="shared" si="19"/>
        <v>300</v>
      </c>
      <c r="N200" s="292">
        <f t="shared" si="19"/>
        <v>300</v>
      </c>
      <c r="O200" s="292">
        <f t="shared" si="19"/>
        <v>300</v>
      </c>
      <c r="P200" s="292">
        <f t="shared" si="19"/>
        <v>300</v>
      </c>
      <c r="Q200" s="292">
        <f t="shared" si="19"/>
        <v>300</v>
      </c>
      <c r="R200" s="292">
        <f t="shared" si="19"/>
        <v>300</v>
      </c>
      <c r="S200" s="292">
        <f t="shared" si="19"/>
        <v>300</v>
      </c>
      <c r="T200" s="1105" t="s">
        <v>10</v>
      </c>
      <c r="U200" s="1106">
        <f>SUM(E200:S200)</f>
        <v>4500</v>
      </c>
      <c r="V200" s="1107"/>
      <c r="W200" s="1107"/>
      <c r="X200" s="1107"/>
    </row>
    <row r="201" spans="1:26" s="40" customFormat="1" ht="25.5" customHeight="1" x14ac:dyDescent="0.35">
      <c r="A201" s="592"/>
      <c r="B201" s="1121" t="s">
        <v>564</v>
      </c>
      <c r="C201" s="998">
        <v>4</v>
      </c>
      <c r="D201" s="1122" t="s">
        <v>565</v>
      </c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1108"/>
      <c r="V201" s="1108"/>
      <c r="W201" s="1108"/>
      <c r="X201" s="1108"/>
    </row>
    <row r="202" spans="1:26" ht="36.6" thickBot="1" x14ac:dyDescent="0.35">
      <c r="A202" s="1123" t="s">
        <v>542</v>
      </c>
      <c r="B202" s="1124">
        <f>C199/300</f>
        <v>15.367266666666668</v>
      </c>
      <c r="C202" s="1125"/>
      <c r="D202" s="1126"/>
    </row>
    <row r="210" spans="1:18" ht="15.6" thickBot="1" x14ac:dyDescent="0.3"/>
    <row r="211" spans="1:18" ht="16.2" thickBot="1" x14ac:dyDescent="0.35">
      <c r="A211" s="40"/>
      <c r="B211" s="40"/>
      <c r="C211" s="1147"/>
      <c r="D211" s="1986" t="s">
        <v>524</v>
      </c>
      <c r="E211" s="1987"/>
      <c r="F211" s="1988"/>
      <c r="G211" s="1986" t="s">
        <v>571</v>
      </c>
      <c r="H211" s="1987"/>
      <c r="I211" s="1988"/>
      <c r="J211" s="1986" t="s">
        <v>572</v>
      </c>
      <c r="K211" s="1987"/>
      <c r="L211" s="1988"/>
      <c r="M211" s="1986" t="s">
        <v>573</v>
      </c>
      <c r="N211" s="1987"/>
      <c r="O211" s="1988"/>
      <c r="P211" s="1969"/>
      <c r="Q211" s="1969"/>
      <c r="R211" s="1969"/>
    </row>
    <row r="212" spans="1:18" ht="16.2" thickBot="1" x14ac:dyDescent="0.35">
      <c r="A212" s="1139" t="s">
        <v>574</v>
      </c>
      <c r="B212" s="1162" t="s">
        <v>6</v>
      </c>
      <c r="C212" s="1149" t="s">
        <v>19</v>
      </c>
      <c r="D212" s="1150" t="s">
        <v>8</v>
      </c>
      <c r="E212" s="1149" t="s">
        <v>34</v>
      </c>
      <c r="F212" s="1150" t="s">
        <v>10</v>
      </c>
      <c r="G212" s="1148" t="s">
        <v>19</v>
      </c>
      <c r="H212" s="1149" t="s">
        <v>34</v>
      </c>
      <c r="I212" s="1150" t="s">
        <v>10</v>
      </c>
      <c r="J212" s="1148" t="s">
        <v>19</v>
      </c>
      <c r="K212" s="1149" t="s">
        <v>34</v>
      </c>
      <c r="L212" s="1150" t="s">
        <v>10</v>
      </c>
      <c r="M212" s="1148" t="s">
        <v>19</v>
      </c>
      <c r="N212" s="1149" t="s">
        <v>34</v>
      </c>
      <c r="O212" s="1150" t="s">
        <v>10</v>
      </c>
      <c r="P212" s="1144"/>
      <c r="Q212" s="1144"/>
      <c r="R212" s="1144"/>
    </row>
    <row r="213" spans="1:18" ht="15.6" x14ac:dyDescent="0.3">
      <c r="A213" s="1162">
        <v>1</v>
      </c>
      <c r="B213" s="1163" t="s">
        <v>575</v>
      </c>
      <c r="C213" s="1152" t="s">
        <v>104</v>
      </c>
      <c r="D213" s="1151">
        <v>7</v>
      </c>
      <c r="E213" s="1165" t="s">
        <v>525</v>
      </c>
      <c r="F213" s="1159"/>
      <c r="G213" s="1151" t="s">
        <v>104</v>
      </c>
      <c r="H213" s="1165">
        <v>1700</v>
      </c>
      <c r="I213" s="1159">
        <f>H213*D213</f>
        <v>11900</v>
      </c>
      <c r="J213" s="1151" t="s">
        <v>104</v>
      </c>
      <c r="K213" s="1165">
        <v>2000</v>
      </c>
      <c r="L213" s="1159">
        <f>K213*D213</f>
        <v>14000</v>
      </c>
      <c r="M213" s="1151" t="s">
        <v>104</v>
      </c>
      <c r="N213" s="1165">
        <v>926.94</v>
      </c>
      <c r="O213" s="1159">
        <f>N213*D213</f>
        <v>6488.58</v>
      </c>
      <c r="P213" s="1145"/>
      <c r="Q213" s="1145"/>
      <c r="R213" s="417"/>
    </row>
    <row r="214" spans="1:18" ht="15.6" x14ac:dyDescent="0.3">
      <c r="A214" s="1169">
        <f>+A213+1</f>
        <v>2</v>
      </c>
      <c r="B214" s="883" t="s">
        <v>576</v>
      </c>
      <c r="C214" s="1156" t="s">
        <v>104</v>
      </c>
      <c r="D214" s="1146">
        <v>20</v>
      </c>
      <c r="E214" s="1157">
        <v>1412.16</v>
      </c>
      <c r="F214" s="1160">
        <f>E214*D214</f>
        <v>28243.200000000001</v>
      </c>
      <c r="G214" s="1146" t="s">
        <v>104</v>
      </c>
      <c r="H214" s="1157">
        <v>1400</v>
      </c>
      <c r="I214" s="1160">
        <f>D214*H214</f>
        <v>28000</v>
      </c>
      <c r="J214" s="1146" t="s">
        <v>104</v>
      </c>
      <c r="K214" s="1157">
        <v>4900</v>
      </c>
      <c r="L214" s="1160">
        <f>K214*D214</f>
        <v>98000</v>
      </c>
      <c r="M214" s="1146" t="s">
        <v>525</v>
      </c>
      <c r="N214" s="1157" t="s">
        <v>525</v>
      </c>
      <c r="O214" s="1160"/>
      <c r="P214" s="1145"/>
      <c r="Q214" s="1145"/>
      <c r="R214" s="417"/>
    </row>
    <row r="215" spans="1:18" ht="15.6" x14ac:dyDescent="0.3">
      <c r="A215" s="1169">
        <v>3</v>
      </c>
      <c r="B215" s="883" t="s">
        <v>579</v>
      </c>
      <c r="C215" s="1156" t="s">
        <v>104</v>
      </c>
      <c r="D215" s="1146">
        <v>7</v>
      </c>
      <c r="E215" s="1157"/>
      <c r="F215" s="1157"/>
      <c r="G215" s="1146"/>
      <c r="H215" s="1157"/>
      <c r="I215" s="1157"/>
      <c r="J215" s="1146"/>
      <c r="K215" s="1157"/>
      <c r="L215" s="1160"/>
      <c r="M215" s="1146"/>
      <c r="N215" s="1157"/>
      <c r="O215" s="1160"/>
      <c r="P215" s="1145"/>
      <c r="Q215" s="1145"/>
      <c r="R215" s="417"/>
    </row>
    <row r="216" spans="1:18" ht="16.2" thickBot="1" x14ac:dyDescent="0.35">
      <c r="A216" s="1170">
        <f>+A215+1</f>
        <v>4</v>
      </c>
      <c r="B216" s="1164" t="s">
        <v>577</v>
      </c>
      <c r="C216" s="1154" t="s">
        <v>578</v>
      </c>
      <c r="D216" s="1168">
        <v>10</v>
      </c>
      <c r="E216" s="1155">
        <v>1686.12</v>
      </c>
      <c r="F216" s="1155">
        <f>E216*D216</f>
        <v>16861.199999999997</v>
      </c>
      <c r="G216" s="1166" t="s">
        <v>525</v>
      </c>
      <c r="H216" s="1167" t="s">
        <v>525</v>
      </c>
      <c r="I216" s="1167"/>
      <c r="J216" s="1153" t="s">
        <v>578</v>
      </c>
      <c r="K216" s="1158">
        <v>1280</v>
      </c>
      <c r="L216" s="1161">
        <f>K216*D216</f>
        <v>12800</v>
      </c>
      <c r="M216" s="1153" t="s">
        <v>578</v>
      </c>
      <c r="N216" s="1158">
        <v>1707.51</v>
      </c>
      <c r="O216" s="1161">
        <f>N216*D216</f>
        <v>17075.099999999999</v>
      </c>
    </row>
    <row r="217" spans="1:18" ht="38.4" customHeight="1" x14ac:dyDescent="0.3">
      <c r="F217" s="1171">
        <f>SUM(F214:F216)</f>
        <v>45104.399999999994</v>
      </c>
      <c r="G217" s="1172"/>
      <c r="H217" s="1172"/>
      <c r="I217" s="1171">
        <f>SUM(I213:I216)</f>
        <v>39900</v>
      </c>
      <c r="J217" s="1172"/>
      <c r="K217" s="1173"/>
      <c r="L217" s="1171">
        <f>SUM(L213:L216)</f>
        <v>124800</v>
      </c>
      <c r="M217" s="1172"/>
      <c r="N217" s="1172"/>
      <c r="O217" s="1171">
        <f>SUM(O213:O216)</f>
        <v>23563.68</v>
      </c>
    </row>
    <row r="218" spans="1:18" ht="38.4" customHeight="1" x14ac:dyDescent="0.3">
      <c r="F218" s="1171"/>
      <c r="G218" s="1172"/>
      <c r="H218" s="1172"/>
      <c r="I218" s="1171"/>
      <c r="J218" s="1172"/>
      <c r="K218" s="1173"/>
      <c r="L218" s="1171"/>
      <c r="M218" s="1172"/>
      <c r="N218" s="1172"/>
      <c r="O218" s="1171"/>
    </row>
    <row r="219" spans="1:18" ht="38.4" customHeight="1" x14ac:dyDescent="0.3">
      <c r="F219" s="1171"/>
      <c r="G219" s="1172"/>
      <c r="H219" s="1172"/>
      <c r="I219" s="1171"/>
      <c r="J219" s="1172"/>
      <c r="K219" s="1173"/>
      <c r="L219" s="1171"/>
      <c r="M219" s="1172"/>
      <c r="N219" s="1172"/>
      <c r="O219" s="1171"/>
    </row>
    <row r="224" spans="1:18" ht="17.399999999999999" x14ac:dyDescent="0.3">
      <c r="B224" s="1175" t="s">
        <v>581</v>
      </c>
    </row>
    <row r="225" spans="1:6" ht="15.6" thickBot="1" x14ac:dyDescent="0.3">
      <c r="B225" s="1178">
        <v>42510</v>
      </c>
    </row>
    <row r="226" spans="1:6" ht="40.200000000000003" customHeight="1" thickBot="1" x14ac:dyDescent="0.35">
      <c r="A226" s="40"/>
      <c r="B226" s="40"/>
      <c r="C226" s="1147"/>
      <c r="D226" s="2035" t="s">
        <v>580</v>
      </c>
      <c r="E226" s="2036"/>
      <c r="F226" s="2037"/>
    </row>
    <row r="227" spans="1:6" ht="16.2" thickBot="1" x14ac:dyDescent="0.35">
      <c r="A227" s="1143" t="s">
        <v>574</v>
      </c>
      <c r="B227" s="1162" t="s">
        <v>6</v>
      </c>
      <c r="C227" s="1149" t="s">
        <v>19</v>
      </c>
      <c r="D227" s="1150" t="s">
        <v>8</v>
      </c>
      <c r="E227" s="1149" t="s">
        <v>34</v>
      </c>
      <c r="F227" s="1150" t="s">
        <v>10</v>
      </c>
    </row>
    <row r="228" spans="1:6" ht="15.6" x14ac:dyDescent="0.3">
      <c r="A228" s="1162">
        <v>1</v>
      </c>
      <c r="B228" s="1163" t="s">
        <v>575</v>
      </c>
      <c r="C228" s="1152" t="s">
        <v>104</v>
      </c>
      <c r="D228" s="1151">
        <v>7</v>
      </c>
      <c r="E228" s="1165">
        <v>1790</v>
      </c>
      <c r="F228" s="1159">
        <f>E228*D228</f>
        <v>12530</v>
      </c>
    </row>
    <row r="229" spans="1:6" ht="15.6" x14ac:dyDescent="0.3">
      <c r="A229" s="1169">
        <f>+A228+1</f>
        <v>2</v>
      </c>
      <c r="B229" s="883" t="s">
        <v>576</v>
      </c>
      <c r="C229" s="1156" t="s">
        <v>104</v>
      </c>
      <c r="D229" s="1146">
        <v>20</v>
      </c>
      <c r="E229" s="1157">
        <v>1126</v>
      </c>
      <c r="F229" s="1160">
        <f>E229*D229</f>
        <v>22520</v>
      </c>
    </row>
    <row r="230" spans="1:6" ht="15.6" x14ac:dyDescent="0.3">
      <c r="A230" s="1169">
        <v>3</v>
      </c>
      <c r="B230" s="883" t="s">
        <v>579</v>
      </c>
      <c r="C230" s="1156" t="s">
        <v>104</v>
      </c>
      <c r="D230" s="1146">
        <v>7</v>
      </c>
      <c r="E230" s="1157">
        <v>1248</v>
      </c>
      <c r="F230" s="1160">
        <f>D230*E230</f>
        <v>8736</v>
      </c>
    </row>
    <row r="231" spans="1:6" ht="16.2" thickBot="1" x14ac:dyDescent="0.35">
      <c r="A231" s="1170">
        <f>+A230+1</f>
        <v>4</v>
      </c>
      <c r="B231" s="1164" t="s">
        <v>577</v>
      </c>
      <c r="C231" s="1154" t="s">
        <v>578</v>
      </c>
      <c r="D231" s="1168">
        <v>10</v>
      </c>
      <c r="E231" s="1155">
        <v>1686.12</v>
      </c>
      <c r="F231" s="1174">
        <f>E231*D231</f>
        <v>16861.199999999997</v>
      </c>
    </row>
    <row r="232" spans="1:6" ht="58.2" customHeight="1" thickBot="1" x14ac:dyDescent="0.3">
      <c r="B232" s="2038" t="s">
        <v>582</v>
      </c>
      <c r="C232" s="2038"/>
      <c r="D232" s="2038"/>
      <c r="E232" s="1176" t="s">
        <v>10</v>
      </c>
      <c r="F232" s="1177">
        <f>SUM(F228:F231)</f>
        <v>60647.199999999997</v>
      </c>
    </row>
    <row r="233" spans="1:6" ht="15.6" x14ac:dyDescent="0.3">
      <c r="F233" s="812" t="s">
        <v>583</v>
      </c>
    </row>
  </sheetData>
  <mergeCells count="96">
    <mergeCell ref="D226:F226"/>
    <mergeCell ref="B232:D232"/>
    <mergeCell ref="E32:T32"/>
    <mergeCell ref="E24:G25"/>
    <mergeCell ref="H24:J25"/>
    <mergeCell ref="B63:D63"/>
    <mergeCell ref="O93:O95"/>
    <mergeCell ref="I91:O91"/>
    <mergeCell ref="O129:T129"/>
    <mergeCell ref="M157:N157"/>
    <mergeCell ref="O157:T157"/>
    <mergeCell ref="E156:H156"/>
    <mergeCell ref="E137:F140"/>
    <mergeCell ref="G137:H140"/>
    <mergeCell ref="I137:J140"/>
    <mergeCell ref="M129:N129"/>
    <mergeCell ref="H17:I17"/>
    <mergeCell ref="K24:M25"/>
    <mergeCell ref="M33:N33"/>
    <mergeCell ref="M35:N35"/>
    <mergeCell ref="G63:I63"/>
    <mergeCell ref="E6:T6"/>
    <mergeCell ref="E33:F33"/>
    <mergeCell ref="G33:H33"/>
    <mergeCell ref="I33:J33"/>
    <mergeCell ref="K33:L33"/>
    <mergeCell ref="H23:I23"/>
    <mergeCell ref="H9:J9"/>
    <mergeCell ref="H7:J7"/>
    <mergeCell ref="E9:G9"/>
    <mergeCell ref="E7:G7"/>
    <mergeCell ref="N7:T7"/>
    <mergeCell ref="N9:T9"/>
    <mergeCell ref="K9:M9"/>
    <mergeCell ref="K7:M7"/>
    <mergeCell ref="H11:J11"/>
    <mergeCell ref="K11:M11"/>
    <mergeCell ref="U33:V33"/>
    <mergeCell ref="U35:V35"/>
    <mergeCell ref="E43:F46"/>
    <mergeCell ref="G43:H46"/>
    <mergeCell ref="I43:J46"/>
    <mergeCell ref="K43:L46"/>
    <mergeCell ref="E35:F35"/>
    <mergeCell ref="G35:H35"/>
    <mergeCell ref="I35:J35"/>
    <mergeCell ref="K35:L35"/>
    <mergeCell ref="O33:T33"/>
    <mergeCell ref="O35:T35"/>
    <mergeCell ref="I161:J161"/>
    <mergeCell ref="E165:F168"/>
    <mergeCell ref="I165:J168"/>
    <mergeCell ref="K165:L168"/>
    <mergeCell ref="U129:V129"/>
    <mergeCell ref="E131:F131"/>
    <mergeCell ref="G131:H131"/>
    <mergeCell ref="I131:J131"/>
    <mergeCell ref="K131:L131"/>
    <mergeCell ref="M131:N131"/>
    <mergeCell ref="O131:T131"/>
    <mergeCell ref="U131:V131"/>
    <mergeCell ref="E129:F129"/>
    <mergeCell ref="G129:H129"/>
    <mergeCell ref="I129:J129"/>
    <mergeCell ref="K129:L129"/>
    <mergeCell ref="E157:F157"/>
    <mergeCell ref="G157:H157"/>
    <mergeCell ref="I157:J157"/>
    <mergeCell ref="K157:L157"/>
    <mergeCell ref="K137:L140"/>
    <mergeCell ref="P211:R211"/>
    <mergeCell ref="C199:D199"/>
    <mergeCell ref="C191:D191"/>
    <mergeCell ref="C194:U194"/>
    <mergeCell ref="C195:D195"/>
    <mergeCell ref="C192:D192"/>
    <mergeCell ref="C193:D193"/>
    <mergeCell ref="C196:D196"/>
    <mergeCell ref="C197:D197"/>
    <mergeCell ref="C198:D198"/>
    <mergeCell ref="E128:F128"/>
    <mergeCell ref="D211:F211"/>
    <mergeCell ref="G211:I211"/>
    <mergeCell ref="J211:L211"/>
    <mergeCell ref="M211:O211"/>
    <mergeCell ref="C188:U188"/>
    <mergeCell ref="C189:D189"/>
    <mergeCell ref="C190:D190"/>
    <mergeCell ref="U157:V157"/>
    <mergeCell ref="E159:F159"/>
    <mergeCell ref="G159:H159"/>
    <mergeCell ref="I159:J159"/>
    <mergeCell ref="K159:L159"/>
    <mergeCell ref="M159:N159"/>
    <mergeCell ref="O159:T159"/>
    <mergeCell ref="U159:V15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FF0000"/>
  </sheetPr>
  <dimension ref="B3:AT69"/>
  <sheetViews>
    <sheetView topLeftCell="A13" zoomScaleNormal="100" workbookViewId="0">
      <selection activeCell="F22" sqref="F22"/>
    </sheetView>
  </sheetViews>
  <sheetFormatPr baseColWidth="10" defaultColWidth="11.44140625" defaultRowHeight="14.4" x14ac:dyDescent="0.3"/>
  <cols>
    <col min="1" max="1" width="11.44140625" style="40"/>
    <col min="2" max="2" width="11.5546875" style="40" bestFit="1" customWidth="1"/>
    <col min="3" max="3" width="61.88671875" style="40" customWidth="1"/>
    <col min="4" max="4" width="19.109375" style="40" customWidth="1"/>
    <col min="5" max="5" width="17.109375" style="40" customWidth="1"/>
    <col min="6" max="6" width="16.88671875" style="40" customWidth="1"/>
    <col min="7" max="7" width="27.6640625" style="40" customWidth="1"/>
    <col min="8" max="8" width="22.33203125" style="40" customWidth="1"/>
    <col min="9" max="9" width="14.109375" style="40" customWidth="1"/>
    <col min="10" max="10" width="18.44140625" style="40" customWidth="1"/>
    <col min="11" max="11" width="27.33203125" style="40" customWidth="1"/>
    <col min="12" max="12" width="16" style="40" customWidth="1"/>
    <col min="13" max="13" width="14.88671875" style="40" customWidth="1"/>
    <col min="14" max="14" width="17.5546875" style="40" customWidth="1"/>
    <col min="15" max="15" width="17.88671875" style="40" customWidth="1"/>
    <col min="16" max="16" width="20.6640625" style="40" customWidth="1"/>
    <col min="17" max="17" width="24" style="40" customWidth="1"/>
    <col min="18" max="18" width="17.88671875" style="40" customWidth="1"/>
    <col min="19" max="19" width="19.33203125" style="40" customWidth="1"/>
    <col min="20" max="20" width="28" style="40" customWidth="1"/>
    <col min="21" max="22" width="11.5546875" style="40" bestFit="1" customWidth="1"/>
    <col min="23" max="23" width="18.109375" style="40" customWidth="1"/>
    <col min="24" max="24" width="11.44140625" style="40" customWidth="1"/>
    <col min="25" max="25" width="38.33203125" style="40" customWidth="1"/>
    <col min="26" max="26" width="79.5546875" style="40" customWidth="1"/>
    <col min="27" max="27" width="11.44140625" style="40"/>
    <col min="28" max="28" width="25.6640625" style="40" customWidth="1"/>
    <col min="29" max="16384" width="11.44140625" style="40"/>
  </cols>
  <sheetData>
    <row r="3" spans="3:8" ht="18.75" x14ac:dyDescent="0.3">
      <c r="C3" s="54" t="s">
        <v>72</v>
      </c>
    </row>
    <row r="5" spans="3:8" ht="15.75" thickBot="1" x14ac:dyDescent="0.3"/>
    <row r="6" spans="3:8" ht="30.75" customHeight="1" x14ac:dyDescent="0.25">
      <c r="F6" s="1911" t="s">
        <v>69</v>
      </c>
      <c r="G6" s="2059"/>
      <c r="H6" s="2060"/>
    </row>
    <row r="7" spans="3:8" ht="15.75" x14ac:dyDescent="0.25">
      <c r="C7" s="160" t="s">
        <v>6</v>
      </c>
      <c r="D7" s="160" t="s">
        <v>7</v>
      </c>
      <c r="E7" s="162" t="s">
        <v>8</v>
      </c>
      <c r="F7" s="161" t="s">
        <v>9</v>
      </c>
      <c r="G7" s="160" t="s">
        <v>28</v>
      </c>
      <c r="H7" s="159" t="s">
        <v>29</v>
      </c>
    </row>
    <row r="8" spans="3:8" ht="98.25" customHeight="1" thickBot="1" x14ac:dyDescent="0.3">
      <c r="C8" s="143" t="s">
        <v>96</v>
      </c>
      <c r="D8" s="67" t="s">
        <v>68</v>
      </c>
      <c r="E8" s="146">
        <v>1800.86</v>
      </c>
      <c r="F8" s="138">
        <v>620.95000000000005</v>
      </c>
      <c r="G8" s="137">
        <f>+F8*E8</f>
        <v>1118244.017</v>
      </c>
      <c r="H8" s="158" t="s">
        <v>97</v>
      </c>
    </row>
    <row r="9" spans="3:8" ht="18.75" x14ac:dyDescent="0.3">
      <c r="G9" s="157">
        <f>+G8</f>
        <v>1118244.017</v>
      </c>
    </row>
    <row r="10" spans="3:8" ht="18.75" x14ac:dyDescent="0.3">
      <c r="G10" s="156"/>
    </row>
    <row r="14" spans="3:8" ht="15" x14ac:dyDescent="0.25">
      <c r="C14" s="70"/>
    </row>
    <row r="17" spans="2:46" ht="15.75" thickBot="1" x14ac:dyDescent="0.3">
      <c r="Y17" s="411"/>
      <c r="Z17" s="412"/>
      <c r="AA17" s="412"/>
      <c r="AB17" s="412"/>
      <c r="AC17" s="412"/>
      <c r="AD17" s="412"/>
      <c r="AE17" s="412"/>
      <c r="AF17" s="412"/>
      <c r="AG17" s="413"/>
      <c r="AH17" s="413"/>
      <c r="AI17" s="413"/>
      <c r="AJ17" s="413"/>
      <c r="AK17" s="413"/>
      <c r="AL17" s="413"/>
      <c r="AM17" s="413"/>
      <c r="AN17" s="413"/>
      <c r="AO17" s="413"/>
      <c r="AP17" s="414"/>
      <c r="AQ17" s="415"/>
      <c r="AR17" s="416"/>
      <c r="AS17" s="417"/>
      <c r="AT17" s="417"/>
    </row>
    <row r="18" spans="2:46" ht="18.75" customHeight="1" x14ac:dyDescent="0.3">
      <c r="B18" s="592"/>
      <c r="C18" s="893" t="s">
        <v>907</v>
      </c>
      <c r="D18" s="555"/>
      <c r="E18" s="556"/>
      <c r="F18" s="2055" t="s">
        <v>0</v>
      </c>
      <c r="G18" s="1895"/>
      <c r="H18" s="1895"/>
      <c r="I18" s="1895" t="s">
        <v>0</v>
      </c>
      <c r="J18" s="1895"/>
      <c r="K18" s="1895"/>
      <c r="L18" s="1895" t="s">
        <v>0</v>
      </c>
      <c r="M18" s="1895"/>
      <c r="N18" s="1895"/>
      <c r="O18" s="1895" t="s">
        <v>0</v>
      </c>
      <c r="P18" s="1895"/>
      <c r="Q18" s="1895"/>
      <c r="Y18" s="411"/>
      <c r="Z18" s="418"/>
      <c r="AA18" s="419"/>
      <c r="AB18" s="419"/>
      <c r="AC18" s="419"/>
      <c r="AD18" s="419"/>
      <c r="AE18" s="419"/>
      <c r="AF18" s="418"/>
      <c r="AG18" s="419"/>
      <c r="AH18" s="419"/>
      <c r="AI18" s="419"/>
      <c r="AJ18" s="419"/>
      <c r="AK18" s="419"/>
      <c r="AL18" s="419"/>
      <c r="AM18" s="419"/>
      <c r="AN18" s="419"/>
      <c r="AO18" s="419"/>
      <c r="AP18" s="420"/>
      <c r="AQ18" s="420"/>
      <c r="AR18" s="421"/>
      <c r="AS18" s="417"/>
      <c r="AT18" s="417"/>
    </row>
    <row r="19" spans="2:46" ht="19.5" thickBot="1" x14ac:dyDescent="0.35">
      <c r="B19" s="469"/>
      <c r="C19" s="151" t="s">
        <v>161</v>
      </c>
      <c r="D19" s="155"/>
      <c r="E19" s="894"/>
      <c r="F19" s="890" t="s">
        <v>70</v>
      </c>
      <c r="G19" s="154"/>
      <c r="H19" s="153" t="s">
        <v>4</v>
      </c>
      <c r="I19" s="2054" t="s">
        <v>71</v>
      </c>
      <c r="J19" s="2055"/>
      <c r="K19" s="154" t="s">
        <v>2</v>
      </c>
      <c r="L19" s="154" t="s">
        <v>70</v>
      </c>
      <c r="M19" s="154"/>
      <c r="N19" s="153" t="s">
        <v>4</v>
      </c>
      <c r="O19" s="154" t="s">
        <v>70</v>
      </c>
      <c r="P19" s="154"/>
      <c r="Q19" s="153" t="s">
        <v>4</v>
      </c>
      <c r="Y19" s="408"/>
      <c r="Z19" s="422"/>
      <c r="AA19" s="409"/>
      <c r="AB19" s="409"/>
      <c r="AC19" s="409"/>
      <c r="AD19" s="409"/>
      <c r="AE19" s="410"/>
      <c r="AF19" s="409"/>
      <c r="AG19" s="409"/>
      <c r="AH19" s="409"/>
      <c r="AI19" s="409"/>
      <c r="AJ19" s="409"/>
      <c r="AK19" s="409"/>
      <c r="AL19" s="409"/>
      <c r="AM19" s="409"/>
      <c r="AN19" s="409"/>
      <c r="AO19" s="409"/>
      <c r="AP19" s="423"/>
      <c r="AQ19" s="424"/>
      <c r="AR19" s="423"/>
      <c r="AS19" s="417"/>
      <c r="AT19" s="417"/>
    </row>
    <row r="20" spans="2:46" ht="36" customHeight="1" x14ac:dyDescent="0.3">
      <c r="B20" s="469"/>
      <c r="C20" s="152"/>
      <c r="D20" s="151"/>
      <c r="E20" s="285"/>
      <c r="F20" s="2048" t="s">
        <v>69</v>
      </c>
      <c r="G20" s="2049"/>
      <c r="H20" s="2050"/>
      <c r="I20" s="2051" t="s">
        <v>73</v>
      </c>
      <c r="J20" s="2052"/>
      <c r="K20" s="2053"/>
      <c r="L20" s="2061" t="s">
        <v>74</v>
      </c>
      <c r="M20" s="2049"/>
      <c r="N20" s="2050"/>
      <c r="O20" s="2061" t="s">
        <v>75</v>
      </c>
      <c r="P20" s="2049"/>
      <c r="Q20" s="2050"/>
      <c r="Y20" s="408"/>
      <c r="Z20" s="422"/>
      <c r="AA20" s="409"/>
      <c r="AB20" s="409"/>
      <c r="AC20" s="409"/>
      <c r="AD20" s="409"/>
      <c r="AE20" s="409"/>
      <c r="AF20" s="409"/>
      <c r="AG20" s="409"/>
      <c r="AH20" s="409"/>
      <c r="AI20" s="409"/>
      <c r="AJ20" s="409"/>
      <c r="AK20" s="409"/>
      <c r="AL20" s="409"/>
      <c r="AM20" s="409"/>
      <c r="AN20" s="409"/>
      <c r="AO20" s="410"/>
      <c r="AP20" s="423"/>
      <c r="AQ20" s="424"/>
      <c r="AR20" s="423"/>
      <c r="AS20" s="417"/>
      <c r="AT20" s="417"/>
    </row>
    <row r="21" spans="2:46" x14ac:dyDescent="0.3">
      <c r="B21" s="469"/>
      <c r="C21" s="148" t="s">
        <v>6</v>
      </c>
      <c r="D21" s="148" t="s">
        <v>7</v>
      </c>
      <c r="E21" s="150" t="s">
        <v>8</v>
      </c>
      <c r="F21" s="891" t="s">
        <v>9</v>
      </c>
      <c r="G21" s="148" t="s">
        <v>28</v>
      </c>
      <c r="H21" s="147" t="s">
        <v>29</v>
      </c>
      <c r="I21" s="149" t="s">
        <v>9</v>
      </c>
      <c r="J21" s="150" t="s">
        <v>28</v>
      </c>
      <c r="K21" s="164" t="s">
        <v>29</v>
      </c>
      <c r="L21" s="149" t="s">
        <v>9</v>
      </c>
      <c r="M21" s="148" t="s">
        <v>28</v>
      </c>
      <c r="N21" s="147" t="s">
        <v>29</v>
      </c>
      <c r="O21" s="149" t="s">
        <v>9</v>
      </c>
      <c r="P21" s="148" t="s">
        <v>28</v>
      </c>
      <c r="Q21" s="147" t="s">
        <v>29</v>
      </c>
      <c r="Y21" s="408"/>
      <c r="Z21" s="422"/>
      <c r="AA21" s="409"/>
      <c r="AB21" s="409"/>
      <c r="AC21" s="409"/>
      <c r="AD21" s="409"/>
      <c r="AE21" s="409"/>
      <c r="AF21" s="409"/>
      <c r="AG21" s="409"/>
      <c r="AH21" s="409"/>
      <c r="AI21" s="409"/>
      <c r="AJ21" s="409"/>
      <c r="AK21" s="409"/>
      <c r="AL21" s="409"/>
      <c r="AM21" s="409"/>
      <c r="AN21" s="409"/>
      <c r="AO21" s="409"/>
      <c r="AP21" s="423"/>
      <c r="AQ21" s="424"/>
      <c r="AR21" s="423"/>
      <c r="AS21" s="417"/>
      <c r="AT21" s="417"/>
    </row>
    <row r="22" spans="2:46" ht="57.6" x14ac:dyDescent="0.3">
      <c r="B22" s="895">
        <v>1</v>
      </c>
      <c r="C22" s="210" t="s">
        <v>908</v>
      </c>
      <c r="D22" s="888" t="s">
        <v>12</v>
      </c>
      <c r="E22" s="896">
        <v>23</v>
      </c>
      <c r="F22" s="892">
        <v>246000</v>
      </c>
      <c r="G22" s="139">
        <f>+F22*E22</f>
        <v>5658000</v>
      </c>
      <c r="H22" s="144" t="s">
        <v>94</v>
      </c>
      <c r="I22" s="141"/>
      <c r="J22" s="140"/>
      <c r="K22" s="142"/>
      <c r="L22" s="141"/>
      <c r="M22" s="42"/>
      <c r="N22" s="142"/>
      <c r="O22" s="141"/>
      <c r="P22" s="42"/>
      <c r="Q22" s="142"/>
      <c r="Y22" s="408"/>
      <c r="Z22" s="422"/>
      <c r="AA22" s="409"/>
      <c r="AB22" s="409"/>
      <c r="AC22" s="409"/>
      <c r="AD22" s="409"/>
      <c r="AE22" s="409"/>
      <c r="AF22" s="409"/>
      <c r="AG22" s="409"/>
      <c r="AH22" s="409"/>
      <c r="AI22" s="409"/>
      <c r="AJ22" s="409"/>
      <c r="AK22" s="409"/>
      <c r="AL22" s="409"/>
      <c r="AM22" s="409"/>
      <c r="AN22" s="409"/>
      <c r="AO22" s="410"/>
      <c r="AP22" s="423"/>
      <c r="AQ22" s="424"/>
      <c r="AR22" s="423"/>
      <c r="AS22" s="417"/>
      <c r="AT22" s="417"/>
    </row>
    <row r="23" spans="2:46" ht="24" thickBot="1" x14ac:dyDescent="0.5">
      <c r="C23" s="136"/>
      <c r="F23" s="40">
        <f>F22*1.3</f>
        <v>319800</v>
      </c>
      <c r="G23" s="163">
        <f>+G22</f>
        <v>5658000</v>
      </c>
      <c r="H23" s="2062"/>
      <c r="I23" s="2063"/>
      <c r="J23" s="135"/>
      <c r="M23" s="135"/>
      <c r="P23" s="135"/>
      <c r="Y23" s="408"/>
      <c r="Z23" s="422"/>
      <c r="AA23" s="409"/>
      <c r="AB23" s="409"/>
      <c r="AC23" s="409"/>
      <c r="AD23" s="409"/>
      <c r="AE23" s="409"/>
      <c r="AF23" s="410"/>
      <c r="AG23" s="409"/>
      <c r="AH23" s="409"/>
      <c r="AI23" s="409"/>
      <c r="AJ23" s="409"/>
      <c r="AK23" s="409"/>
      <c r="AL23" s="409"/>
      <c r="AM23" s="409"/>
      <c r="AN23" s="409"/>
      <c r="AO23" s="409"/>
      <c r="AP23" s="423"/>
      <c r="AQ23" s="424"/>
      <c r="AR23" s="423"/>
      <c r="AS23" s="417"/>
      <c r="AT23" s="417"/>
    </row>
    <row r="24" spans="2:46" ht="34.5" customHeight="1" x14ac:dyDescent="0.65">
      <c r="H24" s="2064"/>
      <c r="I24" s="1926"/>
      <c r="J24" s="2065" t="s">
        <v>66</v>
      </c>
      <c r="K24" s="2065"/>
      <c r="L24" s="134"/>
      <c r="M24" s="55"/>
      <c r="N24" s="43"/>
      <c r="Y24" s="408"/>
      <c r="Z24" s="422"/>
      <c r="AA24" s="409"/>
      <c r="AB24" s="409"/>
      <c r="AC24" s="409"/>
      <c r="AD24" s="409"/>
      <c r="AE24" s="409"/>
      <c r="AF24" s="410"/>
      <c r="AG24" s="409"/>
      <c r="AH24" s="409"/>
      <c r="AI24" s="409"/>
      <c r="AJ24" s="409"/>
      <c r="AK24" s="409"/>
      <c r="AL24" s="409"/>
      <c r="AM24" s="409"/>
      <c r="AN24" s="409"/>
      <c r="AO24" s="409"/>
      <c r="AP24" s="423"/>
      <c r="AQ24" s="424"/>
      <c r="AR24" s="423"/>
      <c r="AS24" s="417"/>
      <c r="AT24" s="417"/>
    </row>
    <row r="25" spans="2:46" ht="23.4" x14ac:dyDescent="0.45">
      <c r="H25" s="2082"/>
      <c r="I25" s="2082"/>
      <c r="J25" s="2083">
        <f>+G23+M23</f>
        <v>5658000</v>
      </c>
      <c r="K25" s="2083"/>
      <c r="M25" s="43"/>
      <c r="Y25" s="408"/>
      <c r="Z25" s="422"/>
      <c r="AA25" s="409"/>
      <c r="AB25" s="409"/>
      <c r="AC25" s="409"/>
      <c r="AD25" s="409"/>
      <c r="AE25" s="409"/>
      <c r="AF25" s="409"/>
      <c r="AG25" s="409"/>
      <c r="AH25" s="409"/>
      <c r="AI25" s="409"/>
      <c r="AJ25" s="409"/>
      <c r="AK25" s="409"/>
      <c r="AL25" s="409"/>
      <c r="AM25" s="409"/>
      <c r="AN25" s="410"/>
      <c r="AO25" s="409"/>
      <c r="AP25" s="423"/>
      <c r="AQ25" s="424"/>
      <c r="AR25" s="423"/>
      <c r="AS25" s="417"/>
      <c r="AT25" s="417"/>
    </row>
    <row r="26" spans="2:46" x14ac:dyDescent="0.3">
      <c r="Y26" s="408"/>
      <c r="Z26" s="422"/>
      <c r="AA26" s="409"/>
      <c r="AB26" s="409"/>
      <c r="AC26" s="409"/>
      <c r="AD26" s="409"/>
      <c r="AE26" s="409"/>
      <c r="AF26" s="409"/>
      <c r="AG26" s="410"/>
      <c r="AH26" s="409"/>
      <c r="AI26" s="409"/>
      <c r="AJ26" s="409"/>
      <c r="AK26" s="409"/>
      <c r="AL26" s="409"/>
      <c r="AM26" s="409"/>
      <c r="AN26" s="409"/>
      <c r="AO26" s="409"/>
      <c r="AP26" s="423"/>
      <c r="AQ26" s="424"/>
      <c r="AR26" s="423"/>
      <c r="AS26" s="417"/>
      <c r="AT26" s="417"/>
    </row>
    <row r="27" spans="2:46" x14ac:dyDescent="0.3">
      <c r="Y27" s="417"/>
      <c r="Z27" s="417"/>
      <c r="AA27" s="417"/>
      <c r="AB27" s="417"/>
      <c r="AC27" s="417"/>
      <c r="AD27" s="417"/>
      <c r="AE27" s="417"/>
      <c r="AF27" s="417"/>
      <c r="AG27" s="417"/>
      <c r="AH27" s="417"/>
      <c r="AI27" s="417"/>
      <c r="AJ27" s="417"/>
      <c r="AK27" s="417"/>
      <c r="AL27" s="417"/>
      <c r="AM27" s="417"/>
      <c r="AN27" s="417"/>
      <c r="AO27" s="417"/>
      <c r="AP27" s="417"/>
      <c r="AQ27" s="417"/>
      <c r="AR27" s="417"/>
      <c r="AS27" s="417"/>
      <c r="AT27" s="417"/>
    </row>
    <row r="28" spans="2:46" x14ac:dyDescent="0.3">
      <c r="Y28" s="417"/>
      <c r="Z28" s="417"/>
      <c r="AA28" s="417"/>
      <c r="AB28" s="417"/>
      <c r="AC28" s="417"/>
      <c r="AD28" s="417"/>
      <c r="AE28" s="417"/>
      <c r="AF28" s="417"/>
      <c r="AG28" s="417"/>
      <c r="AH28" s="417"/>
      <c r="AI28" s="417"/>
      <c r="AJ28" s="417"/>
      <c r="AK28" s="417"/>
      <c r="AL28" s="417"/>
      <c r="AM28" s="417"/>
      <c r="AN28" s="417"/>
      <c r="AO28" s="417"/>
      <c r="AP28" s="417"/>
      <c r="AQ28" s="417"/>
      <c r="AR28" s="417"/>
      <c r="AS28" s="417"/>
      <c r="AT28" s="417"/>
    </row>
    <row r="29" spans="2:46" x14ac:dyDescent="0.3">
      <c r="Y29" s="417"/>
      <c r="Z29" s="417"/>
      <c r="AA29" s="417"/>
      <c r="AB29" s="417"/>
      <c r="AC29" s="417"/>
      <c r="AD29" s="417"/>
      <c r="AE29" s="417"/>
      <c r="AF29" s="417"/>
      <c r="AG29" s="417"/>
      <c r="AH29" s="417"/>
      <c r="AI29" s="417"/>
      <c r="AJ29" s="417"/>
      <c r="AK29" s="417"/>
      <c r="AL29" s="417"/>
      <c r="AM29" s="417"/>
      <c r="AN29" s="417"/>
      <c r="AO29" s="417"/>
      <c r="AP29" s="417"/>
      <c r="AQ29" s="417"/>
      <c r="AR29" s="417"/>
      <c r="AS29" s="417"/>
      <c r="AT29" s="417"/>
    </row>
    <row r="30" spans="2:46" x14ac:dyDescent="0.3">
      <c r="Y30" s="417"/>
      <c r="Z30" s="417"/>
      <c r="AA30" s="417"/>
      <c r="AB30" s="417"/>
      <c r="AC30" s="417"/>
      <c r="AD30" s="417"/>
      <c r="AE30" s="417"/>
      <c r="AF30" s="417"/>
      <c r="AG30" s="417"/>
      <c r="AH30" s="417"/>
      <c r="AI30" s="417"/>
      <c r="AJ30" s="417"/>
      <c r="AK30" s="417"/>
      <c r="AL30" s="417"/>
      <c r="AM30" s="417"/>
      <c r="AN30" s="417"/>
      <c r="AO30" s="417"/>
      <c r="AP30" s="417"/>
      <c r="AQ30" s="417"/>
      <c r="AR30" s="417"/>
      <c r="AS30" s="417"/>
      <c r="AT30" s="417"/>
    </row>
    <row r="31" spans="2:46" x14ac:dyDescent="0.3">
      <c r="Y31" s="417"/>
      <c r="Z31" s="417"/>
      <c r="AA31" s="417"/>
      <c r="AB31" s="417"/>
      <c r="AC31" s="417"/>
      <c r="AD31" s="417"/>
      <c r="AE31" s="417"/>
      <c r="AF31" s="417"/>
      <c r="AG31" s="417"/>
      <c r="AH31" s="417"/>
      <c r="AI31" s="417"/>
      <c r="AJ31" s="417"/>
      <c r="AK31" s="417"/>
      <c r="AL31" s="417"/>
      <c r="AM31" s="417"/>
      <c r="AN31" s="417"/>
      <c r="AO31" s="417"/>
      <c r="AP31" s="417"/>
      <c r="AQ31" s="417"/>
      <c r="AR31" s="417"/>
      <c r="AS31" s="417"/>
      <c r="AT31" s="417"/>
    </row>
    <row r="32" spans="2:46" x14ac:dyDescent="0.3">
      <c r="Y32" s="417"/>
      <c r="Z32" s="417"/>
      <c r="AA32" s="417"/>
      <c r="AB32" s="417"/>
      <c r="AC32" s="417"/>
      <c r="AD32" s="417"/>
      <c r="AE32" s="417"/>
      <c r="AF32" s="417"/>
      <c r="AG32" s="417"/>
      <c r="AH32" s="417"/>
      <c r="AI32" s="417"/>
      <c r="AJ32" s="417"/>
      <c r="AK32" s="417"/>
      <c r="AL32" s="417"/>
      <c r="AM32" s="417"/>
      <c r="AN32" s="417"/>
      <c r="AO32" s="417"/>
      <c r="AP32" s="417"/>
      <c r="AQ32" s="417"/>
      <c r="AR32" s="417"/>
      <c r="AS32" s="417"/>
      <c r="AT32" s="417"/>
    </row>
    <row r="33" spans="2:46" x14ac:dyDescent="0.3">
      <c r="Y33" s="417"/>
      <c r="Z33" s="417"/>
      <c r="AA33" s="417"/>
      <c r="AB33" s="417"/>
      <c r="AC33" s="417"/>
      <c r="AD33" s="417"/>
      <c r="AE33" s="417"/>
      <c r="AF33" s="417"/>
      <c r="AG33" s="417"/>
      <c r="AH33" s="417"/>
      <c r="AI33" s="417"/>
      <c r="AJ33" s="417"/>
      <c r="AK33" s="417"/>
      <c r="AL33" s="417"/>
      <c r="AM33" s="417"/>
      <c r="AN33" s="417"/>
      <c r="AO33" s="417"/>
      <c r="AP33" s="417"/>
      <c r="AQ33" s="417"/>
      <c r="AR33" s="417"/>
      <c r="AS33" s="417"/>
      <c r="AT33" s="417"/>
    </row>
    <row r="34" spans="2:46" x14ac:dyDescent="0.3">
      <c r="Y34" s="417"/>
      <c r="Z34" s="417"/>
      <c r="AA34" s="417"/>
      <c r="AB34" s="417"/>
      <c r="AC34" s="417"/>
      <c r="AD34" s="417"/>
      <c r="AE34" s="417"/>
      <c r="AF34" s="417"/>
      <c r="AG34" s="417"/>
      <c r="AH34" s="417"/>
      <c r="AI34" s="417"/>
      <c r="AJ34" s="417"/>
      <c r="AK34" s="417"/>
      <c r="AL34" s="417"/>
      <c r="AM34" s="417"/>
      <c r="AN34" s="417"/>
      <c r="AO34" s="417"/>
      <c r="AP34" s="417"/>
      <c r="AQ34" s="417"/>
      <c r="AR34" s="417"/>
      <c r="AS34" s="417"/>
      <c r="AT34" s="417"/>
    </row>
    <row r="35" spans="2:46" x14ac:dyDescent="0.3">
      <c r="Y35" s="417"/>
      <c r="Z35" s="417"/>
      <c r="AA35" s="417"/>
      <c r="AB35" s="417"/>
      <c r="AC35" s="417"/>
      <c r="AD35" s="417"/>
      <c r="AE35" s="417"/>
      <c r="AF35" s="417"/>
      <c r="AG35" s="417"/>
      <c r="AH35" s="417"/>
      <c r="AI35" s="417"/>
      <c r="AJ35" s="417"/>
      <c r="AK35" s="417"/>
      <c r="AL35" s="417"/>
      <c r="AM35" s="417"/>
      <c r="AN35" s="417"/>
      <c r="AO35" s="417"/>
      <c r="AP35" s="417"/>
      <c r="AQ35" s="417"/>
      <c r="AR35" s="417"/>
      <c r="AS35" s="417"/>
      <c r="AT35" s="417"/>
    </row>
    <row r="36" spans="2:46" x14ac:dyDescent="0.3">
      <c r="Y36" s="417"/>
      <c r="Z36" s="417"/>
      <c r="AA36" s="417"/>
      <c r="AB36" s="417"/>
      <c r="AC36" s="417"/>
      <c r="AD36" s="417"/>
      <c r="AE36" s="417"/>
      <c r="AF36" s="417"/>
      <c r="AG36" s="417"/>
      <c r="AH36" s="417"/>
      <c r="AI36" s="417"/>
      <c r="AJ36" s="417"/>
      <c r="AK36" s="417"/>
      <c r="AL36" s="417"/>
      <c r="AM36" s="417"/>
      <c r="AN36" s="417"/>
      <c r="AO36" s="417"/>
      <c r="AP36" s="417"/>
      <c r="AQ36" s="417"/>
      <c r="AR36" s="417"/>
      <c r="AS36" s="417"/>
      <c r="AT36" s="417"/>
    </row>
    <row r="37" spans="2:46" x14ac:dyDescent="0.3">
      <c r="Y37" s="417"/>
      <c r="Z37" s="417"/>
      <c r="AA37" s="417"/>
      <c r="AB37" s="417"/>
      <c r="AC37" s="417"/>
      <c r="AD37" s="417"/>
      <c r="AE37" s="417"/>
      <c r="AF37" s="417"/>
      <c r="AG37" s="417"/>
      <c r="AH37" s="417"/>
      <c r="AI37" s="417"/>
      <c r="AJ37" s="417"/>
      <c r="AK37" s="417"/>
      <c r="AL37" s="417"/>
      <c r="AM37" s="417"/>
      <c r="AN37" s="417"/>
      <c r="AO37" s="417"/>
      <c r="AP37" s="417"/>
      <c r="AQ37" s="417"/>
      <c r="AR37" s="417"/>
      <c r="AS37" s="417"/>
      <c r="AT37" s="417"/>
    </row>
    <row r="38" spans="2:46" x14ac:dyDescent="0.3">
      <c r="Y38" s="417"/>
      <c r="Z38" s="417"/>
      <c r="AA38" s="417"/>
      <c r="AB38" s="417"/>
      <c r="AC38" s="417"/>
      <c r="AD38" s="417"/>
      <c r="AE38" s="417"/>
      <c r="AF38" s="417"/>
      <c r="AG38" s="417"/>
      <c r="AH38" s="417"/>
      <c r="AI38" s="417"/>
      <c r="AJ38" s="417"/>
      <c r="AK38" s="417"/>
      <c r="AL38" s="417"/>
      <c r="AM38" s="417"/>
      <c r="AN38" s="417"/>
      <c r="AO38" s="417"/>
      <c r="AP38" s="417"/>
      <c r="AQ38" s="417"/>
      <c r="AR38" s="417"/>
      <c r="AS38" s="417"/>
      <c r="AT38" s="417"/>
    </row>
    <row r="39" spans="2:46" x14ac:dyDescent="0.3">
      <c r="Y39" s="417"/>
      <c r="Z39" s="417"/>
      <c r="AA39" s="417"/>
      <c r="AB39" s="417"/>
      <c r="AC39" s="417"/>
      <c r="AD39" s="417"/>
      <c r="AE39" s="417"/>
      <c r="AF39" s="417"/>
      <c r="AG39" s="417"/>
      <c r="AH39" s="417"/>
      <c r="AI39" s="417"/>
      <c r="AJ39" s="417"/>
      <c r="AK39" s="417"/>
      <c r="AL39" s="417"/>
      <c r="AM39" s="417"/>
      <c r="AN39" s="417"/>
      <c r="AO39" s="417"/>
      <c r="AP39" s="417"/>
      <c r="AQ39" s="417"/>
      <c r="AR39" s="417"/>
      <c r="AS39" s="417"/>
      <c r="AT39" s="417"/>
    </row>
    <row r="40" spans="2:46" s="346" customFormat="1" ht="24" thickBot="1" x14ac:dyDescent="0.5">
      <c r="E40" s="2071" t="s">
        <v>17</v>
      </c>
      <c r="F40" s="2072"/>
      <c r="G40" s="2072"/>
      <c r="H40" s="2072"/>
      <c r="I40" s="2072"/>
      <c r="J40" s="2072"/>
      <c r="K40" s="2072"/>
      <c r="L40" s="2072"/>
      <c r="M40" s="2072"/>
      <c r="N40" s="2072"/>
      <c r="O40" s="2072"/>
      <c r="P40" s="2072"/>
      <c r="Q40" s="2072"/>
      <c r="R40" s="2072"/>
      <c r="S40" s="2073"/>
    </row>
    <row r="41" spans="2:46" s="346" customFormat="1" ht="63.75" customHeight="1" thickBot="1" x14ac:dyDescent="0.35">
      <c r="C41" s="347"/>
      <c r="D41" s="349"/>
      <c r="E41" s="388" t="s">
        <v>203</v>
      </c>
      <c r="F41" s="388" t="s">
        <v>204</v>
      </c>
      <c r="G41" s="388" t="s">
        <v>205</v>
      </c>
      <c r="H41" s="388" t="s">
        <v>206</v>
      </c>
      <c r="I41" s="389" t="s">
        <v>207</v>
      </c>
      <c r="J41" s="390" t="s">
        <v>73</v>
      </c>
      <c r="K41" s="388" t="s">
        <v>208</v>
      </c>
      <c r="L41" s="388" t="s">
        <v>209</v>
      </c>
      <c r="M41" s="388" t="s">
        <v>210</v>
      </c>
      <c r="N41" s="388" t="s">
        <v>211</v>
      </c>
      <c r="O41" s="388" t="s">
        <v>212</v>
      </c>
      <c r="P41" s="388" t="s">
        <v>213</v>
      </c>
      <c r="Q41" s="388" t="s">
        <v>214</v>
      </c>
      <c r="R41" s="388" t="s">
        <v>215</v>
      </c>
      <c r="S41" s="395" t="s">
        <v>216</v>
      </c>
      <c r="T41" s="397" t="s">
        <v>239</v>
      </c>
      <c r="U41" s="2068" t="s">
        <v>240</v>
      </c>
      <c r="V41" s="2069"/>
      <c r="W41" s="2070"/>
    </row>
    <row r="42" spans="2:46" s="346" customFormat="1" ht="33" customHeight="1" thickBot="1" x14ac:dyDescent="0.35">
      <c r="B42" s="348">
        <v>1</v>
      </c>
      <c r="C42" s="366" t="s">
        <v>217</v>
      </c>
      <c r="D42" s="351">
        <v>6</v>
      </c>
      <c r="E42" s="352"/>
      <c r="F42" s="352">
        <f>18000*1.3</f>
        <v>23400</v>
      </c>
      <c r="G42" s="352">
        <f>17700*1.3</f>
        <v>23010</v>
      </c>
      <c r="H42" s="353">
        <f>19300*1.3</f>
        <v>25090</v>
      </c>
      <c r="I42" s="354">
        <f>14800*1.3</f>
        <v>19240</v>
      </c>
      <c r="J42" s="355">
        <f>21450*1.3</f>
        <v>27885</v>
      </c>
      <c r="K42" s="356">
        <f>12700*1.3</f>
        <v>16510</v>
      </c>
      <c r="L42" s="352"/>
      <c r="M42" s="352">
        <f>17800*1.3</f>
        <v>23140</v>
      </c>
      <c r="N42" s="352">
        <f>15000*1.3</f>
        <v>19500</v>
      </c>
      <c r="O42" s="352">
        <f>16000*1.3</f>
        <v>20800</v>
      </c>
      <c r="P42" s="352"/>
      <c r="Q42" s="352">
        <f>16000*1.3</f>
        <v>20800</v>
      </c>
      <c r="R42" s="352">
        <f>17000*1.3</f>
        <v>22100</v>
      </c>
      <c r="S42" s="363">
        <f>14852*1.3</f>
        <v>19307.600000000002</v>
      </c>
      <c r="T42" s="401">
        <f>I42*D42</f>
        <v>115440</v>
      </c>
      <c r="U42" s="403" t="e">
        <f>#REF!</f>
        <v>#REF!</v>
      </c>
      <c r="V42" s="404">
        <v>3645.27</v>
      </c>
      <c r="W42" s="405" t="e">
        <f>U42*V42</f>
        <v>#REF!</v>
      </c>
    </row>
    <row r="43" spans="2:46" s="346" customFormat="1" ht="33" customHeight="1" thickBot="1" x14ac:dyDescent="0.35">
      <c r="B43" s="348">
        <v>2</v>
      </c>
      <c r="C43" s="367" t="s">
        <v>234</v>
      </c>
      <c r="D43" s="362">
        <v>44</v>
      </c>
      <c r="E43" s="352"/>
      <c r="F43" s="352"/>
      <c r="G43" s="352"/>
      <c r="H43" s="352"/>
      <c r="I43" s="352"/>
      <c r="J43" s="352"/>
      <c r="K43" s="352"/>
      <c r="L43" s="352"/>
      <c r="M43" s="352"/>
      <c r="N43" s="352">
        <f>2800*1.3</f>
        <v>3640</v>
      </c>
      <c r="O43" s="352"/>
      <c r="P43" s="352"/>
      <c r="Q43" s="364">
        <f>3000*1.3</f>
        <v>3900</v>
      </c>
      <c r="R43" s="354">
        <f>2800*1.3</f>
        <v>3640</v>
      </c>
      <c r="S43" s="383"/>
      <c r="T43" s="401">
        <f>R43*D43</f>
        <v>160160</v>
      </c>
      <c r="U43" s="400"/>
      <c r="V43" s="398"/>
      <c r="W43" s="399"/>
    </row>
    <row r="44" spans="2:46" s="346" customFormat="1" ht="33" customHeight="1" thickBot="1" x14ac:dyDescent="0.35">
      <c r="B44" s="348">
        <v>3</v>
      </c>
      <c r="C44" s="367" t="s">
        <v>228</v>
      </c>
      <c r="D44" s="362">
        <v>20</v>
      </c>
      <c r="E44" s="352">
        <f>3990*1.3</f>
        <v>5187</v>
      </c>
      <c r="F44" s="353">
        <f>2700*1.3</f>
        <v>3510</v>
      </c>
      <c r="G44" s="368">
        <f>2250*1.3</f>
        <v>2925</v>
      </c>
      <c r="H44" s="355">
        <f>3300*1.3</f>
        <v>4290</v>
      </c>
      <c r="I44" s="352"/>
      <c r="J44" s="352">
        <f>3850*1.3</f>
        <v>5005</v>
      </c>
      <c r="K44" s="352">
        <v>4920</v>
      </c>
      <c r="L44" s="352"/>
      <c r="M44" s="357">
        <f>3200*1.3</f>
        <v>4160</v>
      </c>
      <c r="N44" s="352">
        <v>2700</v>
      </c>
      <c r="O44" s="352"/>
      <c r="P44" s="352">
        <f>2600*1.3</f>
        <v>3380</v>
      </c>
      <c r="Q44" s="352">
        <f>2600*1.3</f>
        <v>3380</v>
      </c>
      <c r="R44" s="352">
        <f>2800*1.3</f>
        <v>3640</v>
      </c>
      <c r="S44" s="363">
        <f>3900*1.3</f>
        <v>5070</v>
      </c>
      <c r="T44" s="401">
        <f>G44*D44</f>
        <v>58500</v>
      </c>
      <c r="U44" s="400"/>
      <c r="V44" s="398"/>
      <c r="W44" s="399"/>
    </row>
    <row r="45" spans="2:46" s="346" customFormat="1" ht="33" customHeight="1" thickBot="1" x14ac:dyDescent="0.35">
      <c r="B45" s="348">
        <v>4</v>
      </c>
      <c r="C45" s="367" t="s">
        <v>229</v>
      </c>
      <c r="D45" s="362">
        <v>100</v>
      </c>
      <c r="E45" s="352"/>
      <c r="F45" s="352">
        <f>1250*1.3</f>
        <v>1625</v>
      </c>
      <c r="G45" s="352"/>
      <c r="H45" s="352"/>
      <c r="I45" s="352"/>
      <c r="J45" s="352">
        <f>1120*1.3</f>
        <v>1456</v>
      </c>
      <c r="K45" s="352"/>
      <c r="L45" s="353"/>
      <c r="M45" s="352">
        <f>1120*1.3</f>
        <v>1456</v>
      </c>
      <c r="N45" s="355"/>
      <c r="O45" s="352"/>
      <c r="P45" s="352">
        <f>1300*1.3</f>
        <v>1690</v>
      </c>
      <c r="Q45" s="352"/>
      <c r="R45" s="353"/>
      <c r="S45" s="365">
        <f>1060*1.3</f>
        <v>1378</v>
      </c>
      <c r="T45" s="401">
        <f>S45*D45</f>
        <v>137800</v>
      </c>
      <c r="U45" s="400"/>
      <c r="V45" s="398"/>
      <c r="W45" s="399"/>
    </row>
    <row r="46" spans="2:46" s="346" customFormat="1" ht="33" customHeight="1" thickBot="1" x14ac:dyDescent="0.35">
      <c r="B46" s="348">
        <v>5</v>
      </c>
      <c r="C46" s="367" t="s">
        <v>233</v>
      </c>
      <c r="D46" s="362">
        <v>3</v>
      </c>
      <c r="E46" s="352"/>
      <c r="F46" s="352"/>
      <c r="G46" s="352"/>
      <c r="H46" s="352">
        <f>1960*1.3</f>
        <v>2548</v>
      </c>
      <c r="I46" s="352"/>
      <c r="J46" s="352"/>
      <c r="K46" s="352"/>
      <c r="L46" s="352"/>
      <c r="M46" s="352"/>
      <c r="N46" s="352">
        <f>2300*1.3</f>
        <v>2990</v>
      </c>
      <c r="O46" s="352"/>
      <c r="P46" s="353"/>
      <c r="Q46" s="365">
        <f>2800*1.3</f>
        <v>3640</v>
      </c>
      <c r="R46" s="354">
        <f>2800*1.3</f>
        <v>3640</v>
      </c>
      <c r="S46" s="393"/>
      <c r="T46" s="401">
        <f>R46*D46</f>
        <v>10920</v>
      </c>
      <c r="U46" s="400"/>
      <c r="V46" s="398"/>
      <c r="W46" s="399"/>
    </row>
    <row r="47" spans="2:46" s="346" customFormat="1" ht="33" customHeight="1" x14ac:dyDescent="0.3">
      <c r="B47" s="348">
        <v>6</v>
      </c>
      <c r="C47" s="367" t="s">
        <v>226</v>
      </c>
      <c r="D47" s="351">
        <v>1</v>
      </c>
      <c r="E47" s="352"/>
      <c r="F47" s="352"/>
      <c r="G47" s="352"/>
      <c r="H47" s="352"/>
      <c r="I47" s="352"/>
      <c r="J47" s="352"/>
      <c r="K47" s="360"/>
      <c r="L47" s="352"/>
      <c r="M47" s="352"/>
      <c r="N47" s="352"/>
      <c r="O47" s="352"/>
      <c r="P47" s="352"/>
      <c r="Q47" s="352"/>
      <c r="R47" s="352"/>
      <c r="S47" s="394">
        <f>24000*1.3</f>
        <v>31200</v>
      </c>
      <c r="T47" s="401">
        <f>S47*D47</f>
        <v>31200</v>
      </c>
      <c r="U47" s="400"/>
      <c r="V47" s="398"/>
      <c r="W47" s="399"/>
      <c r="Y47" s="685"/>
      <c r="Z47" s="685"/>
      <c r="AA47" s="282"/>
      <c r="AB47" s="282"/>
    </row>
    <row r="48" spans="2:46" s="346" customFormat="1" ht="33" customHeight="1" thickBot="1" x14ac:dyDescent="0.35">
      <c r="B48" s="348">
        <v>7</v>
      </c>
      <c r="C48" s="366" t="s">
        <v>227</v>
      </c>
      <c r="D48" s="2079" t="s">
        <v>243</v>
      </c>
      <c r="E48" s="2080"/>
      <c r="F48" s="2080"/>
      <c r="G48" s="2080"/>
      <c r="H48" s="2080"/>
      <c r="I48" s="2080"/>
      <c r="J48" s="2080"/>
      <c r="K48" s="2080"/>
      <c r="L48" s="2080"/>
      <c r="M48" s="2080"/>
      <c r="N48" s="2080"/>
      <c r="O48" s="2080"/>
      <c r="P48" s="2080"/>
      <c r="Q48" s="2080"/>
      <c r="R48" s="2080"/>
      <c r="S48" s="2081"/>
      <c r="T48" s="427">
        <v>220000</v>
      </c>
      <c r="U48" s="400"/>
      <c r="V48" s="398"/>
      <c r="W48" s="399"/>
      <c r="Y48" s="2076"/>
      <c r="Z48" s="2076"/>
      <c r="AA48" s="282"/>
      <c r="AB48" s="282"/>
    </row>
    <row r="49" spans="2:28" s="346" customFormat="1" ht="33" customHeight="1" thickBot="1" x14ac:dyDescent="0.35">
      <c r="B49" s="348"/>
      <c r="C49" s="391" t="s">
        <v>10</v>
      </c>
      <c r="D49" s="392">
        <f>SUM(F49:S49)</f>
        <v>514020</v>
      </c>
      <c r="E49" s="384"/>
      <c r="F49" s="384"/>
      <c r="G49" s="385">
        <f>SUM(G44)*D44</f>
        <v>58500</v>
      </c>
      <c r="H49" s="384"/>
      <c r="I49" s="385">
        <f>SUM(I42)*D42</f>
        <v>115440</v>
      </c>
      <c r="J49" s="384"/>
      <c r="K49" s="384"/>
      <c r="L49" s="384"/>
      <c r="M49" s="384"/>
      <c r="N49" s="384"/>
      <c r="O49" s="384"/>
      <c r="P49" s="384"/>
      <c r="Q49" s="384"/>
      <c r="R49" s="385">
        <f>(R46*D46)+(R43*D43)</f>
        <v>171080</v>
      </c>
      <c r="S49" s="396">
        <f>(S47*D47)+(S45*D45)</f>
        <v>169000</v>
      </c>
      <c r="T49" s="402">
        <f>SUM(T42:T48)</f>
        <v>734020</v>
      </c>
      <c r="U49" s="2066" t="s">
        <v>90</v>
      </c>
      <c r="V49" s="2067"/>
      <c r="W49" s="406" t="e">
        <f>SUM(W42:W47)</f>
        <v>#REF!</v>
      </c>
      <c r="X49" s="407" t="s">
        <v>241</v>
      </c>
      <c r="Y49" s="426" t="e">
        <f>T49+W49</f>
        <v>#REF!</v>
      </c>
      <c r="Z49" s="426" t="s">
        <v>242</v>
      </c>
      <c r="AA49" s="425"/>
      <c r="AB49" s="425"/>
    </row>
    <row r="50" spans="2:28" s="346" customFormat="1" ht="33" customHeight="1" thickBot="1" x14ac:dyDescent="0.35">
      <c r="B50" s="348"/>
      <c r="C50" s="2074" t="s">
        <v>237</v>
      </c>
      <c r="D50" s="2075"/>
      <c r="E50" s="2075"/>
      <c r="F50" s="2075"/>
      <c r="G50" s="2075"/>
      <c r="H50" s="2075"/>
      <c r="I50" s="2075"/>
      <c r="J50" s="2075"/>
      <c r="K50" s="2075"/>
      <c r="L50" s="2075"/>
      <c r="M50" s="2075"/>
      <c r="N50" s="2075"/>
      <c r="O50" s="2075"/>
      <c r="P50" s="2075"/>
      <c r="Q50" s="2075"/>
      <c r="R50" s="2075"/>
      <c r="S50" s="2075"/>
      <c r="T50" s="358"/>
      <c r="U50" s="359"/>
      <c r="V50" s="358"/>
      <c r="AA50" s="282"/>
      <c r="AB50" s="282"/>
    </row>
    <row r="51" spans="2:28" s="346" customFormat="1" ht="45" customHeight="1" thickBot="1" x14ac:dyDescent="0.35">
      <c r="B51" s="348"/>
      <c r="C51" s="386"/>
      <c r="D51" s="387"/>
      <c r="E51" s="388" t="s">
        <v>203</v>
      </c>
      <c r="F51" s="388" t="s">
        <v>204</v>
      </c>
      <c r="G51" s="388" t="s">
        <v>205</v>
      </c>
      <c r="H51" s="388" t="s">
        <v>206</v>
      </c>
      <c r="I51" s="389" t="s">
        <v>207</v>
      </c>
      <c r="J51" s="390" t="s">
        <v>73</v>
      </c>
      <c r="K51" s="388" t="s">
        <v>208</v>
      </c>
      <c r="L51" s="388" t="s">
        <v>209</v>
      </c>
      <c r="M51" s="388" t="s">
        <v>210</v>
      </c>
      <c r="N51" s="388" t="s">
        <v>211</v>
      </c>
      <c r="O51" s="388" t="s">
        <v>212</v>
      </c>
      <c r="P51" s="388" t="s">
        <v>213</v>
      </c>
      <c r="Q51" s="388" t="s">
        <v>214</v>
      </c>
      <c r="R51" s="388" t="s">
        <v>215</v>
      </c>
      <c r="S51" s="395" t="s">
        <v>216</v>
      </c>
      <c r="T51" s="397" t="s">
        <v>239</v>
      </c>
      <c r="U51" s="2068" t="s">
        <v>240</v>
      </c>
      <c r="V51" s="2069"/>
      <c r="W51" s="2070"/>
    </row>
    <row r="52" spans="2:28" s="346" customFormat="1" ht="33" customHeight="1" thickBot="1" x14ac:dyDescent="0.35">
      <c r="B52" s="348">
        <v>7</v>
      </c>
      <c r="C52" s="366" t="s">
        <v>218</v>
      </c>
      <c r="D52" s="351">
        <v>2</v>
      </c>
      <c r="E52" s="352"/>
      <c r="F52" s="352"/>
      <c r="G52" s="352"/>
      <c r="H52" s="352"/>
      <c r="I52" s="352"/>
      <c r="J52" s="352"/>
      <c r="K52" s="352"/>
      <c r="L52" s="352"/>
      <c r="M52" s="352"/>
      <c r="N52" s="352"/>
      <c r="O52" s="352"/>
      <c r="P52" s="352"/>
      <c r="Q52" s="352"/>
      <c r="R52" s="353"/>
      <c r="S52" s="365">
        <v>106000</v>
      </c>
      <c r="T52" s="270">
        <f>S52*D52</f>
        <v>212000</v>
      </c>
      <c r="U52" s="403">
        <v>1800.86</v>
      </c>
      <c r="V52" s="404">
        <v>146.88</v>
      </c>
      <c r="W52" s="405">
        <f>U52*V52</f>
        <v>264510.31679999997</v>
      </c>
    </row>
    <row r="53" spans="2:28" s="346" customFormat="1" ht="33" customHeight="1" thickBot="1" x14ac:dyDescent="0.35">
      <c r="B53" s="348">
        <v>8</v>
      </c>
      <c r="C53" s="350" t="s">
        <v>219</v>
      </c>
      <c r="D53" s="351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2"/>
      <c r="P53" s="352">
        <v>58500</v>
      </c>
      <c r="Q53" s="352"/>
      <c r="R53" s="352"/>
      <c r="S53" s="428"/>
      <c r="T53" s="270"/>
      <c r="U53" s="400"/>
      <c r="V53" s="398"/>
      <c r="W53" s="399"/>
    </row>
    <row r="54" spans="2:28" s="346" customFormat="1" ht="33" customHeight="1" thickBot="1" x14ac:dyDescent="0.35">
      <c r="B54" s="348">
        <v>9</v>
      </c>
      <c r="C54" s="366" t="s">
        <v>220</v>
      </c>
      <c r="D54" s="351">
        <v>1</v>
      </c>
      <c r="E54" s="352"/>
      <c r="F54" s="352"/>
      <c r="G54" s="352"/>
      <c r="H54" s="352">
        <v>61000</v>
      </c>
      <c r="I54" s="352"/>
      <c r="J54" s="352">
        <v>85000</v>
      </c>
      <c r="K54" s="352"/>
      <c r="L54" s="352"/>
      <c r="M54" s="352"/>
      <c r="N54" s="357"/>
      <c r="O54" s="352"/>
      <c r="P54" s="352"/>
      <c r="Q54" s="352"/>
      <c r="R54" s="353"/>
      <c r="S54" s="365">
        <v>60800</v>
      </c>
      <c r="T54" s="270">
        <f>S54*D54</f>
        <v>60800</v>
      </c>
      <c r="U54" s="400"/>
      <c r="V54" s="398"/>
      <c r="W54" s="399"/>
    </row>
    <row r="55" spans="2:28" s="346" customFormat="1" ht="33" customHeight="1" thickBot="1" x14ac:dyDescent="0.35">
      <c r="B55" s="348">
        <v>10</v>
      </c>
      <c r="C55" s="366" t="s">
        <v>221</v>
      </c>
      <c r="D55" s="351">
        <v>2</v>
      </c>
      <c r="E55" s="352"/>
      <c r="F55" s="352"/>
      <c r="G55" s="352"/>
      <c r="H55" s="352"/>
      <c r="I55" s="352"/>
      <c r="J55" s="357"/>
      <c r="K55" s="352"/>
      <c r="L55" s="352"/>
      <c r="M55" s="353">
        <v>55000</v>
      </c>
      <c r="N55" s="354">
        <v>44000</v>
      </c>
      <c r="O55" s="355"/>
      <c r="P55" s="352"/>
      <c r="Q55" s="352"/>
      <c r="R55" s="352"/>
      <c r="S55" s="364"/>
      <c r="T55" s="270">
        <f>N55*D55</f>
        <v>88000</v>
      </c>
      <c r="U55" s="400"/>
      <c r="V55" s="398"/>
      <c r="W55" s="399"/>
    </row>
    <row r="56" spans="2:28" s="346" customFormat="1" ht="33" customHeight="1" thickBot="1" x14ac:dyDescent="0.35">
      <c r="B56" s="348">
        <v>11</v>
      </c>
      <c r="C56" s="366" t="s">
        <v>222</v>
      </c>
      <c r="D56" s="351">
        <v>2</v>
      </c>
      <c r="E56" s="352">
        <v>5930</v>
      </c>
      <c r="F56" s="352"/>
      <c r="G56" s="352"/>
      <c r="H56" s="352"/>
      <c r="I56" s="353"/>
      <c r="J56" s="354">
        <v>11050</v>
      </c>
      <c r="K56" s="352"/>
      <c r="L56" s="352"/>
      <c r="M56" s="352"/>
      <c r="N56" s="360"/>
      <c r="O56" s="352"/>
      <c r="P56" s="352"/>
      <c r="Q56" s="352">
        <v>14000</v>
      </c>
      <c r="R56" s="352">
        <v>18000</v>
      </c>
      <c r="S56" s="353"/>
      <c r="T56" s="270">
        <f>J56*D56</f>
        <v>22100</v>
      </c>
      <c r="U56" s="400"/>
      <c r="V56" s="398"/>
      <c r="W56" s="399"/>
    </row>
    <row r="57" spans="2:28" s="346" customFormat="1" ht="33" customHeight="1" thickBot="1" x14ac:dyDescent="0.35">
      <c r="B57" s="348">
        <v>12</v>
      </c>
      <c r="C57" s="350" t="s">
        <v>223</v>
      </c>
      <c r="D57" s="351">
        <v>2</v>
      </c>
      <c r="E57" s="352"/>
      <c r="F57" s="352"/>
      <c r="G57" s="352"/>
      <c r="H57" s="352">
        <v>1390</v>
      </c>
      <c r="I57" s="353"/>
      <c r="J57" s="354">
        <v>1352</v>
      </c>
      <c r="K57" s="352"/>
      <c r="L57" s="352"/>
      <c r="M57" s="352">
        <v>1400</v>
      </c>
      <c r="N57" s="352"/>
      <c r="O57" s="352"/>
      <c r="P57" s="352">
        <v>1800</v>
      </c>
      <c r="Q57" s="352">
        <v>1800</v>
      </c>
      <c r="R57" s="357">
        <v>2500</v>
      </c>
      <c r="S57" s="353">
        <v>1670</v>
      </c>
      <c r="T57" s="270">
        <f>J57*D57</f>
        <v>2704</v>
      </c>
      <c r="U57" s="400"/>
      <c r="V57" s="398"/>
      <c r="W57" s="399"/>
    </row>
    <row r="58" spans="2:28" s="346" customFormat="1" ht="33" customHeight="1" thickBot="1" x14ac:dyDescent="0.35">
      <c r="B58" s="348">
        <v>13</v>
      </c>
      <c r="C58" s="350" t="s">
        <v>224</v>
      </c>
      <c r="D58" s="351">
        <v>2</v>
      </c>
      <c r="E58" s="352"/>
      <c r="F58" s="352"/>
      <c r="G58" s="352"/>
      <c r="H58" s="352"/>
      <c r="I58" s="352"/>
      <c r="J58" s="360">
        <v>4580</v>
      </c>
      <c r="K58" s="357"/>
      <c r="L58" s="352"/>
      <c r="M58" s="352"/>
      <c r="N58" s="352"/>
      <c r="O58" s="352"/>
      <c r="P58" s="352"/>
      <c r="Q58" s="353"/>
      <c r="R58" s="354">
        <v>3500</v>
      </c>
      <c r="S58" s="393"/>
      <c r="T58" s="270">
        <f>R58*D58</f>
        <v>7000</v>
      </c>
      <c r="U58" s="400"/>
      <c r="V58" s="398"/>
      <c r="W58" s="399"/>
    </row>
    <row r="59" spans="2:28" s="346" customFormat="1" ht="33" customHeight="1" thickBot="1" x14ac:dyDescent="0.35">
      <c r="B59" s="348">
        <v>14</v>
      </c>
      <c r="C59" s="366" t="s">
        <v>225</v>
      </c>
      <c r="D59" s="351">
        <v>8</v>
      </c>
      <c r="E59" s="352">
        <v>31360</v>
      </c>
      <c r="F59" s="352"/>
      <c r="G59" s="352"/>
      <c r="H59" s="352"/>
      <c r="I59" s="352"/>
      <c r="J59" s="352"/>
      <c r="K59" s="354">
        <v>27180</v>
      </c>
      <c r="L59" s="355"/>
      <c r="M59" s="352"/>
      <c r="N59" s="352"/>
      <c r="O59" s="352"/>
      <c r="P59" s="352"/>
      <c r="Q59" s="352"/>
      <c r="R59" s="360">
        <v>36000</v>
      </c>
      <c r="S59" s="353">
        <v>34000</v>
      </c>
      <c r="T59" s="270">
        <f>K59*D59</f>
        <v>217440</v>
      </c>
      <c r="U59" s="2077"/>
      <c r="V59" s="2078"/>
      <c r="W59" s="429"/>
    </row>
    <row r="60" spans="2:28" s="346" customFormat="1" ht="33" customHeight="1" x14ac:dyDescent="0.3">
      <c r="B60" s="348">
        <v>15</v>
      </c>
      <c r="C60" s="366" t="s">
        <v>226</v>
      </c>
      <c r="D60" s="351">
        <v>1</v>
      </c>
      <c r="E60" s="352"/>
      <c r="F60" s="352"/>
      <c r="G60" s="352"/>
      <c r="H60" s="352"/>
      <c r="I60" s="352"/>
      <c r="J60" s="352"/>
      <c r="K60" s="360"/>
      <c r="L60" s="352"/>
      <c r="M60" s="352"/>
      <c r="N60" s="352"/>
      <c r="O60" s="352"/>
      <c r="P60" s="352"/>
      <c r="Q60" s="352"/>
      <c r="R60" s="352"/>
      <c r="S60" s="394">
        <v>24000</v>
      </c>
      <c r="T60" s="270">
        <f>S60*D60</f>
        <v>24000</v>
      </c>
      <c r="U60" s="400"/>
      <c r="V60" s="398"/>
      <c r="W60" s="399"/>
    </row>
    <row r="61" spans="2:28" s="346" customFormat="1" ht="33" customHeight="1" thickBot="1" x14ac:dyDescent="0.35">
      <c r="B61" s="348">
        <v>16</v>
      </c>
      <c r="C61" s="366" t="s">
        <v>227</v>
      </c>
      <c r="D61" s="361"/>
      <c r="E61" s="352"/>
      <c r="F61" s="352"/>
      <c r="G61" s="352"/>
      <c r="H61" s="352"/>
      <c r="I61" s="352"/>
      <c r="J61" s="352"/>
      <c r="K61" s="352"/>
      <c r="L61" s="352"/>
      <c r="M61" s="352"/>
      <c r="N61" s="352"/>
      <c r="O61" s="352"/>
      <c r="P61" s="352"/>
      <c r="Q61" s="352"/>
      <c r="R61" s="352"/>
      <c r="S61" s="353"/>
      <c r="T61" s="270"/>
      <c r="U61" s="400"/>
      <c r="V61" s="398"/>
      <c r="W61" s="399"/>
    </row>
    <row r="62" spans="2:28" s="346" customFormat="1" ht="33" customHeight="1" thickBot="1" x14ac:dyDescent="0.35">
      <c r="B62" s="348"/>
      <c r="C62" s="391" t="s">
        <v>10</v>
      </c>
      <c r="D62" s="392">
        <f>SUM(E62:S62)</f>
        <v>634044</v>
      </c>
      <c r="E62" s="385"/>
      <c r="F62" s="385"/>
      <c r="G62" s="385"/>
      <c r="H62" s="385"/>
      <c r="I62" s="385"/>
      <c r="J62" s="385">
        <f>(J56*D56)+(J57*D57)</f>
        <v>24804</v>
      </c>
      <c r="K62" s="385">
        <f>SUM(K59:K61)*D59</f>
        <v>217440</v>
      </c>
      <c r="L62" s="385"/>
      <c r="M62" s="385"/>
      <c r="N62" s="385">
        <f>SUM(N55)*D55</f>
        <v>88000</v>
      </c>
      <c r="O62" s="385"/>
      <c r="P62" s="385"/>
      <c r="Q62" s="385"/>
      <c r="R62" s="385">
        <f>SUM(R58)*D58</f>
        <v>7000</v>
      </c>
      <c r="S62" s="396">
        <f>(S52*D52)+(S54*D54)+(S60*D60)</f>
        <v>296800</v>
      </c>
      <c r="T62" s="402">
        <f>SUM(T52:T61)</f>
        <v>634044</v>
      </c>
      <c r="U62" s="2066" t="s">
        <v>90</v>
      </c>
      <c r="V62" s="2067"/>
      <c r="W62" s="406">
        <f>W52</f>
        <v>264510.31679999997</v>
      </c>
      <c r="X62" s="407" t="s">
        <v>241</v>
      </c>
      <c r="Y62" s="426">
        <f>T62+W62</f>
        <v>898554.31679999991</v>
      </c>
      <c r="Z62" s="426" t="s">
        <v>244</v>
      </c>
    </row>
    <row r="63" spans="2:28" s="346" customFormat="1" ht="33" customHeight="1" thickBot="1" x14ac:dyDescent="0.35">
      <c r="B63" s="348"/>
      <c r="C63" s="2056" t="s">
        <v>238</v>
      </c>
      <c r="D63" s="2057"/>
      <c r="E63" s="2057"/>
      <c r="F63" s="2057"/>
      <c r="G63" s="2057"/>
      <c r="H63" s="2057"/>
      <c r="I63" s="2057"/>
      <c r="J63" s="2057"/>
      <c r="K63" s="2057"/>
      <c r="L63" s="2057"/>
      <c r="M63" s="2057"/>
      <c r="N63" s="2057"/>
      <c r="O63" s="2057"/>
      <c r="P63" s="2057"/>
      <c r="Q63" s="2057"/>
      <c r="R63" s="2057"/>
      <c r="S63" s="2058"/>
      <c r="T63" s="358"/>
      <c r="U63" s="359"/>
      <c r="V63" s="358"/>
    </row>
    <row r="64" spans="2:28" s="346" customFormat="1" ht="33" customHeight="1" thickBot="1" x14ac:dyDescent="0.35">
      <c r="B64" s="348">
        <v>19</v>
      </c>
      <c r="C64" s="369" t="s">
        <v>230</v>
      </c>
      <c r="D64" s="370">
        <v>22</v>
      </c>
      <c r="E64" s="371"/>
      <c r="F64" s="372">
        <v>3500</v>
      </c>
      <c r="G64" s="373">
        <v>2250</v>
      </c>
      <c r="H64" s="374"/>
      <c r="I64" s="371"/>
      <c r="J64" s="371"/>
      <c r="K64" s="371"/>
      <c r="L64" s="371"/>
      <c r="M64" s="375">
        <v>4000</v>
      </c>
      <c r="N64" s="371"/>
      <c r="O64" s="371"/>
      <c r="P64" s="371">
        <v>2980</v>
      </c>
      <c r="Q64" s="371">
        <v>2980</v>
      </c>
      <c r="R64" s="376">
        <v>2800</v>
      </c>
      <c r="S64" s="375">
        <v>3415</v>
      </c>
      <c r="T64" s="358"/>
      <c r="U64" s="359"/>
      <c r="V64" s="358"/>
    </row>
    <row r="65" spans="2:22" s="346" customFormat="1" ht="33" customHeight="1" thickBot="1" x14ac:dyDescent="0.35">
      <c r="B65" s="348">
        <v>20</v>
      </c>
      <c r="C65" s="369" t="s">
        <v>231</v>
      </c>
      <c r="D65" s="370">
        <v>3</v>
      </c>
      <c r="E65" s="377"/>
      <c r="F65" s="373">
        <v>2000</v>
      </c>
      <c r="G65" s="378">
        <v>1900</v>
      </c>
      <c r="H65" s="371">
        <v>2400</v>
      </c>
      <c r="I65" s="371"/>
      <c r="J65" s="371"/>
      <c r="K65" s="371"/>
      <c r="L65" s="371"/>
      <c r="M65" s="371"/>
      <c r="N65" s="371"/>
      <c r="O65" s="371"/>
      <c r="P65" s="371"/>
      <c r="Q65" s="371"/>
      <c r="R65" s="376">
        <v>2300</v>
      </c>
      <c r="S65" s="371">
        <v>3200</v>
      </c>
      <c r="T65" s="358"/>
      <c r="U65" s="359"/>
      <c r="V65" s="358"/>
    </row>
    <row r="66" spans="2:22" s="346" customFormat="1" ht="33" customHeight="1" thickBot="1" x14ac:dyDescent="0.35">
      <c r="B66" s="348">
        <v>21</v>
      </c>
      <c r="C66" s="369" t="s">
        <v>232</v>
      </c>
      <c r="D66" s="370">
        <v>5</v>
      </c>
      <c r="E66" s="371">
        <v>3700</v>
      </c>
      <c r="F66" s="379">
        <v>2700</v>
      </c>
      <c r="G66" s="373">
        <v>2050</v>
      </c>
      <c r="H66" s="374">
        <v>2635</v>
      </c>
      <c r="I66" s="371"/>
      <c r="J66" s="371"/>
      <c r="K66" s="371"/>
      <c r="L66" s="371">
        <v>3700</v>
      </c>
      <c r="M66" s="371"/>
      <c r="N66" s="371">
        <v>3000</v>
      </c>
      <c r="O66" s="371"/>
      <c r="P66" s="371"/>
      <c r="Q66" s="380">
        <v>3000</v>
      </c>
      <c r="R66" s="381">
        <v>2800</v>
      </c>
      <c r="S66" s="371">
        <v>4577</v>
      </c>
      <c r="T66" s="358"/>
      <c r="U66" s="359"/>
      <c r="V66" s="358"/>
    </row>
    <row r="67" spans="2:22" s="346" customFormat="1" ht="33" customHeight="1" thickBot="1" x14ac:dyDescent="0.35">
      <c r="B67" s="348">
        <v>22</v>
      </c>
      <c r="C67" s="369" t="s">
        <v>233</v>
      </c>
      <c r="D67" s="370">
        <v>3</v>
      </c>
      <c r="E67" s="371"/>
      <c r="F67" s="371"/>
      <c r="G67" s="375"/>
      <c r="H67" s="371">
        <v>1960</v>
      </c>
      <c r="I67" s="371"/>
      <c r="J67" s="371"/>
      <c r="K67" s="371"/>
      <c r="L67" s="371"/>
      <c r="M67" s="371"/>
      <c r="N67" s="371">
        <v>2300</v>
      </c>
      <c r="O67" s="371"/>
      <c r="P67" s="377"/>
      <c r="Q67" s="382">
        <v>2800</v>
      </c>
      <c r="R67" s="373">
        <v>2800</v>
      </c>
      <c r="S67" s="374"/>
      <c r="T67" s="358"/>
      <c r="U67" s="359"/>
      <c r="V67" s="358"/>
    </row>
    <row r="68" spans="2:22" s="346" customFormat="1" ht="33" customHeight="1" thickBot="1" x14ac:dyDescent="0.35">
      <c r="B68" s="348">
        <v>23</v>
      </c>
      <c r="C68" s="369" t="s">
        <v>235</v>
      </c>
      <c r="D68" s="370"/>
      <c r="E68" s="371">
        <v>3400</v>
      </c>
      <c r="F68" s="371">
        <v>1700</v>
      </c>
      <c r="G68" s="371"/>
      <c r="H68" s="371"/>
      <c r="I68" s="371"/>
      <c r="J68" s="371"/>
      <c r="K68" s="371"/>
      <c r="L68" s="371"/>
      <c r="M68" s="371">
        <v>2200</v>
      </c>
      <c r="N68" s="371"/>
      <c r="O68" s="371">
        <v>1800</v>
      </c>
      <c r="P68" s="371"/>
      <c r="Q68" s="371">
        <v>1200</v>
      </c>
      <c r="R68" s="379">
        <v>2000</v>
      </c>
      <c r="S68" s="373">
        <v>1046</v>
      </c>
      <c r="T68" s="358"/>
      <c r="U68" s="359"/>
      <c r="V68" s="358"/>
    </row>
    <row r="69" spans="2:22" s="346" customFormat="1" ht="33" customHeight="1" x14ac:dyDescent="0.3">
      <c r="B69" s="348">
        <v>24</v>
      </c>
      <c r="C69" s="369" t="s">
        <v>236</v>
      </c>
      <c r="D69" s="370"/>
      <c r="E69" s="371">
        <v>1700</v>
      </c>
      <c r="F69" s="371">
        <v>1400</v>
      </c>
      <c r="G69" s="371"/>
      <c r="H69" s="371"/>
      <c r="I69" s="371"/>
      <c r="J69" s="371"/>
      <c r="K69" s="371"/>
      <c r="L69" s="371">
        <v>1300</v>
      </c>
      <c r="M69" s="371"/>
      <c r="N69" s="371">
        <v>1260</v>
      </c>
      <c r="O69" s="371"/>
      <c r="P69" s="371"/>
      <c r="Q69" s="371">
        <v>1000</v>
      </c>
      <c r="R69" s="371">
        <v>1200</v>
      </c>
      <c r="S69" s="375">
        <v>1028</v>
      </c>
      <c r="T69" s="358"/>
      <c r="U69" s="359"/>
      <c r="V69" s="358"/>
    </row>
  </sheetData>
  <mergeCells count="25">
    <mergeCell ref="Y48:Z48"/>
    <mergeCell ref="U51:W51"/>
    <mergeCell ref="U59:V59"/>
    <mergeCell ref="D48:S48"/>
    <mergeCell ref="H25:I25"/>
    <mergeCell ref="J25:K25"/>
    <mergeCell ref="U62:V62"/>
    <mergeCell ref="U41:W41"/>
    <mergeCell ref="U49:V49"/>
    <mergeCell ref="E40:S40"/>
    <mergeCell ref="C50:S50"/>
    <mergeCell ref="F20:H20"/>
    <mergeCell ref="I20:K20"/>
    <mergeCell ref="I19:J19"/>
    <mergeCell ref="C63:S63"/>
    <mergeCell ref="F6:H6"/>
    <mergeCell ref="F18:H18"/>
    <mergeCell ref="I18:K18"/>
    <mergeCell ref="L18:N18"/>
    <mergeCell ref="O18:Q18"/>
    <mergeCell ref="L20:N20"/>
    <mergeCell ref="O20:Q20"/>
    <mergeCell ref="H23:I23"/>
    <mergeCell ref="H24:I24"/>
    <mergeCell ref="J24:K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0000"/>
  </sheetPr>
  <dimension ref="C8:AB418"/>
  <sheetViews>
    <sheetView topLeftCell="C4" zoomScale="115" zoomScaleNormal="115" workbookViewId="0">
      <selection activeCell="G21" sqref="G21"/>
    </sheetView>
  </sheetViews>
  <sheetFormatPr baseColWidth="10" defaultColWidth="11.44140625" defaultRowHeight="15.6" x14ac:dyDescent="0.3"/>
  <cols>
    <col min="1" max="4" width="11.44140625" style="346"/>
    <col min="5" max="5" width="59.44140625" style="346" customWidth="1"/>
    <col min="6" max="6" width="11.44140625" style="346"/>
    <col min="7" max="7" width="11.5546875" style="346" bestFit="1" customWidth="1"/>
    <col min="8" max="8" width="12.5546875" style="346" bestFit="1" customWidth="1"/>
    <col min="9" max="9" width="14.33203125" style="346" customWidth="1"/>
    <col min="10" max="11" width="24.44140625" style="346" customWidth="1"/>
    <col min="12" max="12" width="17.5546875" style="346" bestFit="1" customWidth="1"/>
    <col min="13" max="15" width="17.5546875" style="346" customWidth="1"/>
    <col min="16" max="16" width="20.33203125" style="346" customWidth="1"/>
    <col min="17" max="20" width="17.5546875" style="346" customWidth="1"/>
    <col min="21" max="21" width="23.88671875" style="346" customWidth="1"/>
    <col min="22" max="22" width="16.109375" style="346" customWidth="1"/>
    <col min="23" max="23" width="12.6640625" style="346" customWidth="1"/>
    <col min="24" max="24" width="18.109375" style="346" customWidth="1"/>
    <col min="25" max="25" width="17" style="346" customWidth="1"/>
    <col min="26" max="26" width="19.109375" style="346" customWidth="1"/>
    <col min="27" max="27" width="20" style="346" customWidth="1"/>
    <col min="28" max="28" width="21.33203125" style="346" customWidth="1"/>
    <col min="29" max="16384" width="11.44140625" style="346"/>
  </cols>
  <sheetData>
    <row r="8" spans="3:28" ht="15.75" x14ac:dyDescent="0.25">
      <c r="H8" s="282"/>
    </row>
    <row r="9" spans="3:28" ht="16.5" thickBot="1" x14ac:dyDescent="0.3">
      <c r="E9" s="2092" t="s">
        <v>394</v>
      </c>
      <c r="F9" s="2092"/>
      <c r="G9" s="2092"/>
      <c r="H9" s="2092"/>
      <c r="I9" s="2092"/>
      <c r="J9" s="2092"/>
      <c r="K9" s="2092"/>
      <c r="L9" s="2092"/>
      <c r="M9" s="2092"/>
      <c r="N9" s="2092"/>
      <c r="O9" s="2092"/>
      <c r="P9" s="2092"/>
      <c r="Q9" s="2092"/>
      <c r="R9" s="2092"/>
      <c r="S9" s="2092"/>
      <c r="T9" s="2092"/>
      <c r="U9" s="2092"/>
      <c r="V9" s="2092"/>
      <c r="W9" s="2092"/>
      <c r="X9" s="2092"/>
      <c r="Y9" s="2092"/>
      <c r="Z9" s="2092"/>
    </row>
    <row r="10" spans="3:28" ht="16.5" thickBot="1" x14ac:dyDescent="0.3">
      <c r="E10" s="724" t="s">
        <v>402</v>
      </c>
      <c r="H10" s="399"/>
      <c r="I10" s="2093" t="s">
        <v>134</v>
      </c>
      <c r="J10" s="2093"/>
      <c r="K10" s="2093"/>
      <c r="L10" s="1938"/>
      <c r="M10" s="1938"/>
      <c r="N10" s="1938"/>
      <c r="O10" s="1938"/>
      <c r="P10" s="1938"/>
      <c r="Q10" s="1938"/>
      <c r="R10" s="1938"/>
      <c r="S10" s="1938"/>
      <c r="T10" s="1938"/>
      <c r="U10" s="1938"/>
      <c r="V10" s="1938"/>
      <c r="W10" s="1938"/>
      <c r="X10" s="1938"/>
      <c r="Y10" s="1938"/>
      <c r="Z10" s="1939"/>
    </row>
    <row r="11" spans="3:28" ht="15.75" x14ac:dyDescent="0.25">
      <c r="H11" s="282"/>
      <c r="I11" s="2094" t="s">
        <v>0</v>
      </c>
      <c r="J11" s="2095"/>
      <c r="K11" s="2096"/>
      <c r="L11" s="2097" t="s">
        <v>0</v>
      </c>
      <c r="M11" s="2098"/>
      <c r="N11" s="2094" t="s">
        <v>0</v>
      </c>
      <c r="O11" s="2095"/>
      <c r="P11" s="2096"/>
      <c r="Q11" s="2097" t="s">
        <v>0</v>
      </c>
      <c r="R11" s="2098"/>
      <c r="S11" s="2097" t="s">
        <v>0</v>
      </c>
      <c r="T11" s="2099"/>
      <c r="U11" s="2098"/>
      <c r="V11" s="2097" t="s">
        <v>0</v>
      </c>
      <c r="W11" s="2099"/>
      <c r="X11" s="2098"/>
      <c r="Y11" s="2097" t="s">
        <v>0</v>
      </c>
      <c r="Z11" s="2098"/>
      <c r="AA11" s="1834"/>
      <c r="AB11" s="1834"/>
    </row>
    <row r="12" spans="3:28" ht="16.5" thickBot="1" x14ac:dyDescent="0.3">
      <c r="H12" s="282"/>
      <c r="I12" s="2100" t="s">
        <v>1</v>
      </c>
      <c r="J12" s="2101"/>
      <c r="K12" s="519" t="s">
        <v>2</v>
      </c>
      <c r="L12" s="521" t="s">
        <v>1</v>
      </c>
      <c r="M12" s="521" t="s">
        <v>2</v>
      </c>
      <c r="N12" s="2100" t="s">
        <v>1</v>
      </c>
      <c r="O12" s="2101"/>
      <c r="P12" s="519" t="s">
        <v>2</v>
      </c>
      <c r="Q12" s="522" t="s">
        <v>3</v>
      </c>
      <c r="R12" s="523" t="s">
        <v>4</v>
      </c>
      <c r="S12" s="522" t="s">
        <v>3</v>
      </c>
      <c r="T12" s="691"/>
      <c r="U12" s="523" t="s">
        <v>4</v>
      </c>
      <c r="V12" s="522" t="s">
        <v>3</v>
      </c>
      <c r="W12" s="691"/>
      <c r="X12" s="523" t="s">
        <v>4</v>
      </c>
      <c r="Y12" s="522" t="s">
        <v>3</v>
      </c>
      <c r="Z12" s="523" t="s">
        <v>4</v>
      </c>
      <c r="AA12" s="702"/>
      <c r="AB12" s="702"/>
    </row>
    <row r="13" spans="3:28" x14ac:dyDescent="0.3">
      <c r="H13" s="282"/>
      <c r="I13" s="2102" t="s">
        <v>120</v>
      </c>
      <c r="J13" s="2103"/>
      <c r="K13" s="2104"/>
      <c r="L13" s="2108" t="s">
        <v>132</v>
      </c>
      <c r="M13" s="2109"/>
      <c r="N13" s="2108" t="s">
        <v>268</v>
      </c>
      <c r="O13" s="2110"/>
      <c r="P13" s="2109"/>
      <c r="Q13" s="2108" t="s">
        <v>282</v>
      </c>
      <c r="R13" s="2109"/>
      <c r="S13" s="2108" t="s">
        <v>386</v>
      </c>
      <c r="T13" s="2110"/>
      <c r="U13" s="2109"/>
      <c r="V13" s="2108" t="s">
        <v>395</v>
      </c>
      <c r="W13" s="2110"/>
      <c r="X13" s="2109"/>
      <c r="Y13" s="2114" t="s">
        <v>133</v>
      </c>
      <c r="Z13" s="2115"/>
      <c r="AA13" s="1834"/>
      <c r="AB13" s="1834"/>
    </row>
    <row r="14" spans="3:28" ht="15.75" customHeight="1" thickBot="1" x14ac:dyDescent="0.35">
      <c r="H14" s="282"/>
      <c r="I14" s="2105"/>
      <c r="J14" s="2106"/>
      <c r="K14" s="2107"/>
      <c r="L14" s="2105"/>
      <c r="M14" s="2107"/>
      <c r="N14" s="2105"/>
      <c r="O14" s="2106"/>
      <c r="P14" s="2107"/>
      <c r="Q14" s="2105"/>
      <c r="R14" s="2107"/>
      <c r="S14" s="2111"/>
      <c r="T14" s="2112"/>
      <c r="U14" s="2113"/>
      <c r="V14" s="2111"/>
      <c r="W14" s="2112"/>
      <c r="X14" s="2113"/>
      <c r="Y14" s="2116"/>
      <c r="Z14" s="2117"/>
      <c r="AA14" s="1834"/>
      <c r="AB14" s="1834"/>
    </row>
    <row r="15" spans="3:28" ht="22.5" customHeight="1" thickBot="1" x14ac:dyDescent="0.3">
      <c r="C15" s="282"/>
      <c r="D15" s="741" t="s">
        <v>5</v>
      </c>
      <c r="E15" s="725" t="s">
        <v>6</v>
      </c>
      <c r="F15" s="741" t="s">
        <v>7</v>
      </c>
      <c r="G15" s="741" t="s">
        <v>8</v>
      </c>
      <c r="H15" s="282"/>
      <c r="I15" s="725" t="s">
        <v>9</v>
      </c>
      <c r="J15" s="726" t="s">
        <v>10</v>
      </c>
      <c r="K15" s="727" t="s">
        <v>29</v>
      </c>
      <c r="L15" s="725" t="s">
        <v>9</v>
      </c>
      <c r="M15" s="727" t="s">
        <v>10</v>
      </c>
      <c r="N15" s="725" t="s">
        <v>9</v>
      </c>
      <c r="O15" s="726" t="s">
        <v>10</v>
      </c>
      <c r="P15" s="727" t="s">
        <v>29</v>
      </c>
      <c r="Q15" s="725" t="s">
        <v>9</v>
      </c>
      <c r="R15" s="727" t="s">
        <v>10</v>
      </c>
      <c r="S15" s="735" t="s">
        <v>9</v>
      </c>
      <c r="T15" s="736" t="s">
        <v>10</v>
      </c>
      <c r="U15" s="737" t="s">
        <v>387</v>
      </c>
      <c r="V15" s="725" t="s">
        <v>9</v>
      </c>
      <c r="W15" s="726" t="s">
        <v>10</v>
      </c>
      <c r="X15" s="727" t="s">
        <v>387</v>
      </c>
      <c r="Y15" s="725" t="s">
        <v>9</v>
      </c>
      <c r="Z15" s="727" t="s">
        <v>10</v>
      </c>
      <c r="AA15" s="282"/>
      <c r="AB15" s="282"/>
    </row>
    <row r="16" spans="3:28" ht="23.25" customHeight="1" x14ac:dyDescent="0.25">
      <c r="C16" s="282"/>
      <c r="D16" s="746">
        <v>1</v>
      </c>
      <c r="E16" s="744" t="s">
        <v>118</v>
      </c>
      <c r="F16" s="742" t="s">
        <v>20</v>
      </c>
      <c r="G16" s="246">
        <v>7</v>
      </c>
      <c r="H16" s="282"/>
      <c r="I16" s="526">
        <v>2142.85</v>
      </c>
      <c r="J16" s="527">
        <f>G16*I16</f>
        <v>14999.949999999999</v>
      </c>
      <c r="K16" s="530"/>
      <c r="L16" s="529">
        <v>2142.85</v>
      </c>
      <c r="M16" s="527">
        <f t="shared" ref="M16" si="0">L16*G16</f>
        <v>14999.949999999999</v>
      </c>
      <c r="N16" s="526">
        <v>3080</v>
      </c>
      <c r="O16" s="527">
        <f t="shared" ref="O16" si="1">G16*N16</f>
        <v>21560</v>
      </c>
      <c r="P16" s="530"/>
      <c r="Q16" s="527">
        <v>2900</v>
      </c>
      <c r="R16" s="530">
        <f t="shared" ref="R16:R18" si="2">Q16*G16</f>
        <v>20300</v>
      </c>
      <c r="S16" s="732"/>
      <c r="T16" s="733">
        <f t="shared" ref="T16" si="3">S16*G16</f>
        <v>0</v>
      </c>
      <c r="U16" s="734"/>
      <c r="V16" s="527">
        <v>4990</v>
      </c>
      <c r="W16" s="527">
        <f>G16*V16</f>
        <v>34930</v>
      </c>
      <c r="X16" s="527"/>
      <c r="Y16" s="728">
        <v>35000</v>
      </c>
      <c r="Z16" s="729">
        <f>Y16*G16</f>
        <v>245000</v>
      </c>
      <c r="AA16" s="282"/>
      <c r="AB16" s="282"/>
    </row>
    <row r="17" spans="3:28" ht="23.25" customHeight="1" x14ac:dyDescent="0.3">
      <c r="C17" s="282"/>
      <c r="D17" s="747">
        <v>2</v>
      </c>
      <c r="E17" s="744" t="s">
        <v>396</v>
      </c>
      <c r="F17" s="742" t="s">
        <v>20</v>
      </c>
      <c r="G17" s="246">
        <v>7</v>
      </c>
      <c r="H17" s="282"/>
      <c r="I17" s="529"/>
      <c r="J17" s="527"/>
      <c r="K17" s="530"/>
      <c r="L17" s="529"/>
      <c r="M17" s="527"/>
      <c r="N17" s="526"/>
      <c r="O17" s="527"/>
      <c r="P17" s="530"/>
      <c r="Q17" s="527">
        <v>3500</v>
      </c>
      <c r="R17" s="530">
        <f t="shared" si="2"/>
        <v>24500</v>
      </c>
      <c r="S17" s="526"/>
      <c r="T17" s="527"/>
      <c r="U17" s="530"/>
      <c r="V17" s="527">
        <v>2900</v>
      </c>
      <c r="W17" s="527">
        <f t="shared" ref="W17:W21" si="4">G17*V17</f>
        <v>20300</v>
      </c>
      <c r="X17" s="527"/>
      <c r="Y17" s="526">
        <v>5900</v>
      </c>
      <c r="Z17" s="531">
        <f>Y17*G17</f>
        <v>41300</v>
      </c>
      <c r="AA17" s="282"/>
      <c r="AB17" s="282"/>
    </row>
    <row r="18" spans="3:28" ht="23.25" customHeight="1" x14ac:dyDescent="0.3">
      <c r="C18" s="282"/>
      <c r="D18" s="747">
        <v>3</v>
      </c>
      <c r="E18" s="744" t="s">
        <v>397</v>
      </c>
      <c r="F18" s="742" t="s">
        <v>20</v>
      </c>
      <c r="G18" s="246">
        <v>7</v>
      </c>
      <c r="H18" s="282"/>
      <c r="I18" s="529"/>
      <c r="J18" s="527"/>
      <c r="K18" s="530"/>
      <c r="L18" s="529"/>
      <c r="M18" s="527"/>
      <c r="N18" s="526"/>
      <c r="O18" s="527"/>
      <c r="P18" s="530"/>
      <c r="Q18" s="527">
        <v>3500</v>
      </c>
      <c r="R18" s="530">
        <f t="shared" si="2"/>
        <v>24500</v>
      </c>
      <c r="S18" s="526"/>
      <c r="T18" s="527"/>
      <c r="U18" s="530"/>
      <c r="V18" s="527">
        <v>2900</v>
      </c>
      <c r="W18" s="527">
        <f t="shared" si="4"/>
        <v>20300</v>
      </c>
      <c r="X18" s="527"/>
      <c r="Y18" s="526">
        <v>5900</v>
      </c>
      <c r="Z18" s="531">
        <f t="shared" ref="Z18:Z19" si="5">Y18*G18</f>
        <v>41300</v>
      </c>
      <c r="AA18" s="282"/>
      <c r="AB18" s="282"/>
    </row>
    <row r="19" spans="3:28" ht="23.25" customHeight="1" x14ac:dyDescent="0.3">
      <c r="C19" s="282"/>
      <c r="D19" s="747">
        <v>4</v>
      </c>
      <c r="E19" s="740" t="s">
        <v>405</v>
      </c>
      <c r="F19" s="742" t="s">
        <v>20</v>
      </c>
      <c r="G19" s="246">
        <v>2</v>
      </c>
      <c r="H19" s="282"/>
      <c r="I19" s="529"/>
      <c r="J19" s="527"/>
      <c r="K19" s="530"/>
      <c r="L19" s="529"/>
      <c r="M19" s="527"/>
      <c r="N19" s="526"/>
      <c r="O19" s="527"/>
      <c r="P19" s="530"/>
      <c r="Q19" s="527"/>
      <c r="R19" s="530"/>
      <c r="S19" s="526"/>
      <c r="T19" s="527"/>
      <c r="U19" s="530"/>
      <c r="V19" s="527"/>
      <c r="W19" s="527"/>
      <c r="X19" s="527"/>
      <c r="Y19" s="526">
        <v>25000</v>
      </c>
      <c r="Z19" s="531">
        <f t="shared" si="5"/>
        <v>50000</v>
      </c>
      <c r="AA19" s="282"/>
      <c r="AB19" s="282"/>
    </row>
    <row r="20" spans="3:28" ht="23.25" customHeight="1" x14ac:dyDescent="0.3">
      <c r="C20" s="282"/>
      <c r="D20" s="747">
        <v>5</v>
      </c>
      <c r="E20" s="744" t="s">
        <v>398</v>
      </c>
      <c r="F20" s="742" t="s">
        <v>12</v>
      </c>
      <c r="G20" s="246">
        <v>50</v>
      </c>
      <c r="H20" s="282" t="s">
        <v>404</v>
      </c>
      <c r="I20" s="529"/>
      <c r="J20" s="527"/>
      <c r="K20" s="530"/>
      <c r="L20" s="529"/>
      <c r="M20" s="527"/>
      <c r="N20" s="526"/>
      <c r="O20" s="527"/>
      <c r="P20" s="530"/>
      <c r="Q20" s="527">
        <v>6600</v>
      </c>
      <c r="R20" s="530">
        <f>G20*Q20</f>
        <v>330000</v>
      </c>
      <c r="S20" s="526"/>
      <c r="T20" s="527"/>
      <c r="U20" s="530"/>
      <c r="V20" s="527">
        <v>3900</v>
      </c>
      <c r="W20" s="527">
        <f t="shared" si="4"/>
        <v>195000</v>
      </c>
      <c r="X20" s="527" t="s">
        <v>399</v>
      </c>
      <c r="Y20" s="543"/>
      <c r="Z20" s="531"/>
      <c r="AA20" s="282"/>
      <c r="AB20" s="282"/>
    </row>
    <row r="21" spans="3:28" ht="23.25" customHeight="1" thickBot="1" x14ac:dyDescent="0.35">
      <c r="C21" s="282"/>
      <c r="D21" s="748">
        <v>6</v>
      </c>
      <c r="E21" s="745" t="s">
        <v>403</v>
      </c>
      <c r="F21" s="743" t="s">
        <v>12</v>
      </c>
      <c r="G21" s="248">
        <v>50</v>
      </c>
      <c r="H21" s="282" t="s">
        <v>404</v>
      </c>
      <c r="I21" s="722"/>
      <c r="J21" s="634"/>
      <c r="K21" s="723"/>
      <c r="L21" s="529"/>
      <c r="M21" s="527"/>
      <c r="N21" s="526"/>
      <c r="O21" s="527"/>
      <c r="P21" s="530"/>
      <c r="Q21" s="527">
        <v>6000</v>
      </c>
      <c r="R21" s="530">
        <f>Q21*G21</f>
        <v>300000</v>
      </c>
      <c r="S21" s="629">
        <v>4125</v>
      </c>
      <c r="T21" s="634">
        <f>S21*G21</f>
        <v>206250</v>
      </c>
      <c r="U21" s="723"/>
      <c r="V21" s="527">
        <v>7400</v>
      </c>
      <c r="W21" s="527">
        <f t="shared" si="4"/>
        <v>370000</v>
      </c>
      <c r="X21" s="527" t="s">
        <v>399</v>
      </c>
      <c r="Y21" s="730">
        <v>35600</v>
      </c>
      <c r="Z21" s="731">
        <f t="shared" ref="Z21" si="6">Y21*G21</f>
        <v>1780000</v>
      </c>
      <c r="AA21" s="282"/>
      <c r="AB21" s="282"/>
    </row>
    <row r="22" spans="3:28" ht="16.2" thickBot="1" x14ac:dyDescent="0.35">
      <c r="D22" s="708"/>
      <c r="E22" s="68"/>
      <c r="F22" s="241"/>
      <c r="G22" s="241"/>
      <c r="H22" s="534"/>
      <c r="I22" s="535" t="s">
        <v>10</v>
      </c>
      <c r="J22" s="536">
        <f>SUM(J16:J18)</f>
        <v>14999.949999999999</v>
      </c>
      <c r="K22" s="536"/>
      <c r="L22" s="535" t="s">
        <v>10</v>
      </c>
      <c r="M22" s="536">
        <f>SUM(M16:M18)</f>
        <v>14999.949999999999</v>
      </c>
      <c r="N22" s="535" t="s">
        <v>10</v>
      </c>
      <c r="O22" s="536">
        <f>SUM(O16:O21)</f>
        <v>21560</v>
      </c>
      <c r="P22" s="537"/>
      <c r="Q22" s="535" t="s">
        <v>10</v>
      </c>
      <c r="R22" s="537">
        <f>SUM(R16:R20)</f>
        <v>399300</v>
      </c>
      <c r="S22" s="738"/>
      <c r="T22" s="738">
        <f>SUM(T16:T21)</f>
        <v>206250</v>
      </c>
      <c r="U22" s="738"/>
      <c r="V22" s="536" t="s">
        <v>10</v>
      </c>
      <c r="W22" s="536">
        <f>W16+W17+W18+W21</f>
        <v>445530</v>
      </c>
      <c r="X22" s="536"/>
      <c r="Y22" s="536" t="s">
        <v>10</v>
      </c>
      <c r="Z22" s="538">
        <f>SUM(Z16:Z21)</f>
        <v>2157600</v>
      </c>
      <c r="AA22" s="539"/>
      <c r="AB22" s="539"/>
    </row>
    <row r="23" spans="3:28" ht="34.5" customHeight="1" x14ac:dyDescent="0.3">
      <c r="D23" s="708"/>
      <c r="E23" s="68"/>
      <c r="F23" s="241"/>
      <c r="G23" s="241"/>
      <c r="H23" s="534"/>
      <c r="I23" s="2084" t="s">
        <v>100</v>
      </c>
      <c r="J23" s="2085"/>
      <c r="K23" s="2086"/>
      <c r="L23" s="2090"/>
      <c r="M23" s="2091"/>
      <c r="N23" s="715"/>
      <c r="O23" s="715"/>
      <c r="P23" s="715"/>
      <c r="Q23" s="715"/>
      <c r="R23" s="715"/>
      <c r="S23" s="715"/>
      <c r="T23" s="715"/>
      <c r="U23" s="715"/>
      <c r="V23" s="2085" t="s">
        <v>406</v>
      </c>
      <c r="W23" s="2085"/>
      <c r="X23" s="2086"/>
      <c r="Y23" s="2084"/>
      <c r="Z23" s="2086"/>
      <c r="AA23" s="540"/>
      <c r="AB23" s="540"/>
    </row>
    <row r="24" spans="3:28" ht="33.75" customHeight="1" thickBot="1" x14ac:dyDescent="0.35">
      <c r="D24" s="708"/>
      <c r="E24" s="68"/>
      <c r="F24" s="241"/>
      <c r="G24" s="241"/>
      <c r="H24" s="534"/>
      <c r="I24" s="2087"/>
      <c r="J24" s="2088"/>
      <c r="K24" s="2089"/>
      <c r="L24" s="2087"/>
      <c r="M24" s="2089"/>
      <c r="N24" s="714"/>
      <c r="O24" s="714"/>
      <c r="P24" s="714"/>
      <c r="Q24" s="714"/>
      <c r="R24" s="714"/>
      <c r="S24" s="714"/>
      <c r="T24" s="714"/>
      <c r="U24" s="714"/>
      <c r="V24" s="718"/>
      <c r="W24" s="718"/>
      <c r="X24" s="718"/>
      <c r="Y24" s="2087"/>
      <c r="Z24" s="2089"/>
      <c r="AA24" s="540"/>
      <c r="AB24" s="540"/>
    </row>
    <row r="25" spans="3:28" s="282" customFormat="1" ht="23.25" customHeight="1" x14ac:dyDescent="0.3">
      <c r="D25" s="708"/>
      <c r="E25" s="68"/>
      <c r="F25" s="241"/>
      <c r="G25" s="241"/>
      <c r="H25" s="540"/>
      <c r="I25" s="2118"/>
      <c r="J25" s="2118"/>
      <c r="K25" s="715"/>
      <c r="L25" s="540"/>
      <c r="M25" s="540"/>
      <c r="N25" s="540"/>
      <c r="O25" s="540"/>
      <c r="P25" s="540"/>
      <c r="Q25" s="540"/>
      <c r="R25" s="540"/>
      <c r="S25" s="540"/>
      <c r="T25" s="540"/>
      <c r="U25" s="540"/>
      <c r="V25" s="540"/>
      <c r="W25" s="540"/>
      <c r="X25" s="540"/>
      <c r="Y25" s="540"/>
      <c r="Z25" s="540"/>
      <c r="AA25" s="540">
        <v>5107.6000000000004</v>
      </c>
      <c r="AB25" s="540"/>
    </row>
    <row r="26" spans="3:28" x14ac:dyDescent="0.3">
      <c r="D26" s="708"/>
      <c r="E26" s="68"/>
      <c r="F26" s="241"/>
      <c r="G26" s="241"/>
      <c r="H26" s="534"/>
      <c r="I26" s="534"/>
      <c r="J26" s="534"/>
      <c r="K26" s="534"/>
      <c r="L26" s="534"/>
      <c r="M26" s="534"/>
      <c r="N26" s="534"/>
      <c r="O26" s="534"/>
      <c r="P26" s="534"/>
      <c r="Q26" s="534"/>
      <c r="R26" s="534"/>
      <c r="S26" s="534"/>
      <c r="T26" s="534"/>
      <c r="U26" s="534"/>
      <c r="V26" s="534"/>
      <c r="W26" s="534"/>
      <c r="X26" s="534"/>
      <c r="Y26" s="540"/>
      <c r="Z26" s="540"/>
      <c r="AA26" s="540"/>
      <c r="AB26" s="540"/>
    </row>
    <row r="27" spans="3:28" x14ac:dyDescent="0.3">
      <c r="D27" s="708"/>
      <c r="E27" s="68"/>
      <c r="F27" s="241"/>
      <c r="G27" s="241"/>
      <c r="H27" s="534"/>
      <c r="I27" s="534"/>
      <c r="J27" s="534"/>
      <c r="K27" s="534"/>
      <c r="L27" s="534"/>
      <c r="M27" s="534"/>
      <c r="N27" s="534"/>
      <c r="O27" s="534"/>
      <c r="P27" s="534"/>
      <c r="Q27" s="534"/>
      <c r="R27" s="534"/>
      <c r="S27" s="534"/>
      <c r="T27" s="534"/>
      <c r="U27" s="534"/>
      <c r="V27" s="534"/>
      <c r="W27" s="534"/>
      <c r="X27" s="534"/>
      <c r="Y27" s="534"/>
      <c r="Z27" s="534"/>
      <c r="AA27" s="540"/>
      <c r="AB27" s="540"/>
    </row>
    <row r="28" spans="3:28" x14ac:dyDescent="0.3">
      <c r="D28" s="708"/>
      <c r="E28" s="68"/>
      <c r="F28" s="241"/>
      <c r="G28" s="241"/>
      <c r="H28" s="534"/>
      <c r="I28" s="534"/>
      <c r="J28" s="534"/>
      <c r="K28" s="534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4"/>
      <c r="W28" s="534"/>
      <c r="X28" s="534"/>
      <c r="Y28" s="534"/>
      <c r="Z28" s="534"/>
      <c r="AA28" s="534"/>
      <c r="AB28" s="534"/>
    </row>
    <row r="29" spans="3:28" ht="15.75" customHeight="1" thickBot="1" x14ac:dyDescent="0.35">
      <c r="D29" s="708"/>
      <c r="E29" s="2092"/>
      <c r="F29" s="2092"/>
      <c r="G29" s="2092"/>
      <c r="H29" s="2092"/>
      <c r="I29" s="2092"/>
      <c r="J29" s="2092"/>
      <c r="K29" s="2092"/>
      <c r="L29" s="2092"/>
      <c r="M29" s="2092"/>
      <c r="N29" s="2092"/>
      <c r="O29" s="2092"/>
      <c r="P29" s="2092"/>
      <c r="Q29" s="2092"/>
      <c r="R29" s="2092"/>
      <c r="S29" s="2092"/>
      <c r="T29" s="2092"/>
      <c r="U29" s="2092"/>
      <c r="V29" s="2092"/>
      <c r="W29" s="2092"/>
      <c r="X29" s="2092"/>
      <c r="Y29" s="2092"/>
      <c r="Z29" s="2092"/>
      <c r="AA29" s="534"/>
      <c r="AB29" s="534"/>
    </row>
    <row r="30" spans="3:28" ht="15.75" customHeight="1" thickBot="1" x14ac:dyDescent="0.35">
      <c r="D30" s="708"/>
      <c r="H30" s="399"/>
      <c r="I30" s="2093" t="s">
        <v>134</v>
      </c>
      <c r="J30" s="2093"/>
      <c r="K30" s="2093"/>
      <c r="L30" s="1938"/>
      <c r="M30" s="1938"/>
      <c r="N30" s="1938"/>
      <c r="O30" s="1938"/>
      <c r="P30" s="1938"/>
      <c r="Q30" s="1938"/>
      <c r="R30" s="1938"/>
      <c r="S30" s="1938"/>
      <c r="T30" s="1938"/>
      <c r="U30" s="1938"/>
      <c r="V30" s="1938"/>
      <c r="W30" s="1938"/>
      <c r="X30" s="1938"/>
      <c r="Y30" s="1938"/>
      <c r="Z30" s="1939"/>
      <c r="AA30" s="534"/>
      <c r="AB30" s="534"/>
    </row>
    <row r="31" spans="3:28" ht="15.75" customHeight="1" x14ac:dyDescent="0.3">
      <c r="D31" s="708"/>
      <c r="H31" s="282"/>
      <c r="I31" s="2094" t="s">
        <v>0</v>
      </c>
      <c r="J31" s="2095"/>
      <c r="K31" s="2096"/>
      <c r="L31" s="2097" t="s">
        <v>0</v>
      </c>
      <c r="M31" s="2098"/>
      <c r="N31" s="2094" t="s">
        <v>0</v>
      </c>
      <c r="O31" s="2095"/>
      <c r="P31" s="2096"/>
      <c r="Q31" s="2097" t="s">
        <v>0</v>
      </c>
      <c r="R31" s="2098"/>
      <c r="S31" s="709"/>
      <c r="T31" s="709"/>
      <c r="U31" s="709"/>
      <c r="V31" s="721"/>
      <c r="W31" s="721"/>
      <c r="X31" s="721"/>
      <c r="Y31" s="2097" t="s">
        <v>0</v>
      </c>
      <c r="Z31" s="2098"/>
      <c r="AA31" s="534"/>
      <c r="AB31" s="534"/>
    </row>
    <row r="32" spans="3:28" ht="15.75" customHeight="1" thickBot="1" x14ac:dyDescent="0.35">
      <c r="D32" s="708"/>
      <c r="H32" s="282"/>
      <c r="I32" s="2100" t="s">
        <v>1</v>
      </c>
      <c r="J32" s="2101"/>
      <c r="K32" s="519" t="s">
        <v>2</v>
      </c>
      <c r="L32" s="520" t="s">
        <v>1</v>
      </c>
      <c r="M32" s="521" t="s">
        <v>2</v>
      </c>
      <c r="N32" s="2100" t="s">
        <v>1</v>
      </c>
      <c r="O32" s="2101"/>
      <c r="P32" s="519" t="s">
        <v>2</v>
      </c>
      <c r="Q32" s="522" t="s">
        <v>3</v>
      </c>
      <c r="R32" s="523" t="s">
        <v>4</v>
      </c>
      <c r="S32" s="703"/>
      <c r="T32" s="703"/>
      <c r="U32" s="703"/>
      <c r="V32" s="717"/>
      <c r="W32" s="717"/>
      <c r="X32" s="717"/>
      <c r="Y32" s="522" t="s">
        <v>3</v>
      </c>
      <c r="Z32" s="523" t="s">
        <v>4</v>
      </c>
      <c r="AA32" s="534"/>
      <c r="AB32" s="534"/>
    </row>
    <row r="33" spans="4:28" ht="15.75" customHeight="1" x14ac:dyDescent="0.3">
      <c r="D33" s="708"/>
      <c r="H33" s="282"/>
      <c r="I33" s="2102" t="s">
        <v>358</v>
      </c>
      <c r="J33" s="2103"/>
      <c r="K33" s="2104"/>
      <c r="L33" s="2108"/>
      <c r="M33" s="2109"/>
      <c r="N33" s="2108"/>
      <c r="O33" s="2110"/>
      <c r="P33" s="2109"/>
      <c r="Q33" s="2108"/>
      <c r="R33" s="2109"/>
      <c r="S33" s="710"/>
      <c r="T33" s="710"/>
      <c r="U33" s="710"/>
      <c r="V33" s="720"/>
      <c r="W33" s="720"/>
      <c r="X33" s="720"/>
      <c r="Y33" s="2114"/>
      <c r="Z33" s="2115"/>
      <c r="AA33" s="534"/>
      <c r="AB33" s="534"/>
    </row>
    <row r="34" spans="4:28" ht="15.75" customHeight="1" thickBot="1" x14ac:dyDescent="0.35">
      <c r="D34" s="282"/>
      <c r="H34" s="282"/>
      <c r="I34" s="2105"/>
      <c r="J34" s="2106"/>
      <c r="K34" s="2107"/>
      <c r="L34" s="2105"/>
      <c r="M34" s="2107"/>
      <c r="N34" s="2105"/>
      <c r="O34" s="2106"/>
      <c r="P34" s="2107"/>
      <c r="Q34" s="2105"/>
      <c r="R34" s="2107"/>
      <c r="S34" s="708"/>
      <c r="T34" s="708"/>
      <c r="U34" s="708"/>
      <c r="V34" s="719"/>
      <c r="W34" s="719"/>
      <c r="X34" s="719"/>
      <c r="Y34" s="2116"/>
      <c r="Z34" s="2117"/>
      <c r="AA34" s="534"/>
      <c r="AB34" s="534"/>
    </row>
    <row r="35" spans="4:28" ht="15.75" customHeight="1" x14ac:dyDescent="0.3">
      <c r="D35" s="704"/>
      <c r="E35" s="706" t="s">
        <v>6</v>
      </c>
      <c r="F35" s="709" t="s">
        <v>7</v>
      </c>
      <c r="G35" s="705" t="s">
        <v>8</v>
      </c>
      <c r="H35" s="282"/>
      <c r="I35" s="704" t="s">
        <v>9</v>
      </c>
      <c r="J35" s="709" t="s">
        <v>10</v>
      </c>
      <c r="K35" s="705" t="s">
        <v>29</v>
      </c>
      <c r="L35" s="704" t="s">
        <v>9</v>
      </c>
      <c r="M35" s="705" t="s">
        <v>10</v>
      </c>
      <c r="N35" s="709" t="s">
        <v>9</v>
      </c>
      <c r="O35" s="709" t="s">
        <v>10</v>
      </c>
      <c r="P35" s="705" t="s">
        <v>29</v>
      </c>
      <c r="Q35" s="709" t="s">
        <v>9</v>
      </c>
      <c r="R35" s="705" t="s">
        <v>10</v>
      </c>
      <c r="S35" s="709"/>
      <c r="T35" s="709"/>
      <c r="U35" s="709"/>
      <c r="V35" s="721"/>
      <c r="W35" s="721"/>
      <c r="X35" s="721"/>
      <c r="Y35" s="704" t="s">
        <v>9</v>
      </c>
      <c r="Z35" s="705" t="s">
        <v>10</v>
      </c>
      <c r="AA35" s="534"/>
      <c r="AB35" s="534"/>
    </row>
    <row r="36" spans="4:28" ht="31.5" customHeight="1" x14ac:dyDescent="0.3">
      <c r="D36" s="707">
        <v>1</v>
      </c>
      <c r="E36" s="517" t="s">
        <v>345</v>
      </c>
      <c r="F36" s="64" t="s">
        <v>20</v>
      </c>
      <c r="G36" s="69">
        <v>1</v>
      </c>
      <c r="H36" s="282"/>
      <c r="I36" s="526">
        <v>9000</v>
      </c>
      <c r="J36" s="527">
        <f>G36*I36</f>
        <v>9000</v>
      </c>
      <c r="K36" s="530" t="s">
        <v>122</v>
      </c>
      <c r="L36" s="712"/>
      <c r="M36" s="713"/>
      <c r="N36" s="542"/>
      <c r="O36" s="527"/>
      <c r="P36" s="530"/>
      <c r="Q36" s="527"/>
      <c r="R36" s="530"/>
      <c r="S36" s="527"/>
      <c r="T36" s="527"/>
      <c r="U36" s="527"/>
      <c r="V36" s="527"/>
      <c r="W36" s="527"/>
      <c r="X36" s="527"/>
      <c r="Y36" s="543"/>
      <c r="Z36" s="531"/>
      <c r="AA36" s="534"/>
      <c r="AB36" s="534"/>
    </row>
    <row r="37" spans="4:28" ht="31.5" customHeight="1" x14ac:dyDescent="0.3">
      <c r="D37" s="707">
        <v>2</v>
      </c>
      <c r="E37" s="517" t="s">
        <v>346</v>
      </c>
      <c r="F37" s="64" t="s">
        <v>347</v>
      </c>
      <c r="G37" s="624">
        <v>1</v>
      </c>
      <c r="H37" s="534"/>
      <c r="I37" s="526">
        <v>6000</v>
      </c>
      <c r="J37" s="527">
        <f t="shared" ref="J37:J46" si="7">G37*I37</f>
        <v>6000</v>
      </c>
      <c r="K37" s="624"/>
      <c r="L37" s="631"/>
      <c r="M37" s="624"/>
      <c r="N37" s="540"/>
      <c r="O37" s="540"/>
      <c r="P37" s="540"/>
      <c r="Q37" s="540"/>
      <c r="R37" s="540"/>
      <c r="S37" s="540"/>
      <c r="T37" s="540"/>
      <c r="U37" s="540"/>
      <c r="V37" s="540"/>
      <c r="W37" s="540"/>
      <c r="X37" s="540"/>
      <c r="Y37" s="540"/>
      <c r="Z37" s="540"/>
      <c r="AA37" s="534"/>
      <c r="AB37" s="534"/>
    </row>
    <row r="38" spans="4:28" ht="31.5" customHeight="1" x14ac:dyDescent="0.3">
      <c r="D38" s="707">
        <v>3</v>
      </c>
      <c r="E38" s="517" t="s">
        <v>348</v>
      </c>
      <c r="F38" s="64" t="s">
        <v>20</v>
      </c>
      <c r="G38" s="624">
        <v>5</v>
      </c>
      <c r="H38" s="534"/>
      <c r="I38" s="526">
        <v>1000</v>
      </c>
      <c r="J38" s="527">
        <f t="shared" si="7"/>
        <v>5000</v>
      </c>
      <c r="K38" s="628"/>
      <c r="L38" s="632"/>
      <c r="M38" s="628"/>
      <c r="N38" s="623"/>
      <c r="O38" s="623"/>
      <c r="P38" s="623"/>
      <c r="Q38" s="623"/>
      <c r="R38" s="623"/>
      <c r="S38" s="623"/>
      <c r="T38" s="623"/>
      <c r="U38" s="623"/>
      <c r="V38" s="623"/>
      <c r="W38" s="623"/>
      <c r="X38" s="623"/>
      <c r="Y38" s="623"/>
      <c r="Z38" s="623"/>
      <c r="AA38" s="534"/>
      <c r="AB38" s="534"/>
    </row>
    <row r="39" spans="4:28" ht="31.5" customHeight="1" x14ac:dyDescent="0.3">
      <c r="D39" s="707">
        <v>4</v>
      </c>
      <c r="E39" s="517" t="s">
        <v>349</v>
      </c>
      <c r="F39" s="64" t="s">
        <v>12</v>
      </c>
      <c r="G39" s="624">
        <v>120</v>
      </c>
      <c r="H39" s="534"/>
      <c r="I39" s="526">
        <v>2500</v>
      </c>
      <c r="J39" s="527">
        <f t="shared" si="7"/>
        <v>300000</v>
      </c>
      <c r="K39" s="713"/>
      <c r="L39" s="2119"/>
      <c r="M39" s="2120"/>
      <c r="N39" s="702"/>
      <c r="O39" s="702"/>
      <c r="P39" s="702"/>
      <c r="Q39" s="702"/>
      <c r="R39" s="702"/>
      <c r="S39" s="702"/>
      <c r="T39" s="702"/>
      <c r="U39" s="702"/>
      <c r="V39" s="716"/>
      <c r="W39" s="716"/>
      <c r="X39" s="716"/>
      <c r="Y39" s="1834"/>
      <c r="Z39" s="1834"/>
      <c r="AA39" s="534"/>
      <c r="AB39" s="534"/>
    </row>
    <row r="40" spans="4:28" ht="31.5" customHeight="1" x14ac:dyDescent="0.3">
      <c r="D40" s="707">
        <v>5</v>
      </c>
      <c r="E40" s="517" t="s">
        <v>350</v>
      </c>
      <c r="F40" s="64" t="s">
        <v>12</v>
      </c>
      <c r="G40" s="624">
        <v>340</v>
      </c>
      <c r="H40" s="534"/>
      <c r="I40" s="526">
        <v>60</v>
      </c>
      <c r="J40" s="527">
        <f t="shared" si="7"/>
        <v>20400</v>
      </c>
      <c r="K40" s="713"/>
      <c r="L40" s="712"/>
      <c r="M40" s="713"/>
      <c r="N40" s="702"/>
      <c r="O40" s="702"/>
      <c r="P40" s="702"/>
      <c r="Q40" s="702"/>
      <c r="R40" s="702"/>
      <c r="S40" s="702"/>
      <c r="T40" s="702"/>
      <c r="U40" s="702"/>
      <c r="V40" s="716"/>
      <c r="W40" s="716"/>
      <c r="X40" s="716"/>
      <c r="Y40" s="702"/>
      <c r="Z40" s="702"/>
      <c r="AA40" s="534"/>
      <c r="AB40" s="534"/>
    </row>
    <row r="41" spans="4:28" ht="31.5" customHeight="1" x14ac:dyDescent="0.3">
      <c r="D41" s="707">
        <v>6</v>
      </c>
      <c r="E41" s="517" t="s">
        <v>351</v>
      </c>
      <c r="F41" s="64" t="s">
        <v>306</v>
      </c>
      <c r="G41" s="624">
        <v>1</v>
      </c>
      <c r="H41" s="534"/>
      <c r="I41" s="526">
        <v>21000</v>
      </c>
      <c r="J41" s="527">
        <f t="shared" si="7"/>
        <v>21000</v>
      </c>
      <c r="K41" s="713"/>
      <c r="L41" s="712"/>
      <c r="M41" s="713"/>
      <c r="N41" s="702"/>
      <c r="O41" s="702"/>
      <c r="P41" s="702"/>
      <c r="Q41" s="702"/>
      <c r="R41" s="702"/>
      <c r="S41" s="702"/>
      <c r="T41" s="702"/>
      <c r="U41" s="702"/>
      <c r="V41" s="716"/>
      <c r="W41" s="716"/>
      <c r="X41" s="716"/>
      <c r="Y41" s="702"/>
      <c r="Z41" s="702"/>
      <c r="AA41" s="702"/>
      <c r="AB41" s="702"/>
    </row>
    <row r="42" spans="4:28" ht="31.5" customHeight="1" x14ac:dyDescent="0.3">
      <c r="D42" s="707">
        <v>7</v>
      </c>
      <c r="E42" s="517" t="s">
        <v>352</v>
      </c>
      <c r="F42" s="64" t="s">
        <v>306</v>
      </c>
      <c r="G42" s="624">
        <v>1</v>
      </c>
      <c r="H42" s="534"/>
      <c r="I42" s="526">
        <v>1500</v>
      </c>
      <c r="J42" s="527">
        <f t="shared" si="7"/>
        <v>1500</v>
      </c>
      <c r="K42" s="713"/>
      <c r="L42" s="712"/>
      <c r="M42" s="713"/>
      <c r="N42" s="702"/>
      <c r="O42" s="702"/>
      <c r="P42" s="702"/>
      <c r="Q42" s="702"/>
      <c r="R42" s="702"/>
      <c r="S42" s="702"/>
      <c r="T42" s="702"/>
      <c r="U42" s="702"/>
      <c r="V42" s="716"/>
      <c r="W42" s="716"/>
      <c r="X42" s="716"/>
      <c r="Y42" s="702"/>
      <c r="Z42" s="702"/>
      <c r="AA42" s="702"/>
      <c r="AB42" s="702"/>
    </row>
    <row r="43" spans="4:28" ht="31.5" customHeight="1" x14ac:dyDescent="0.3">
      <c r="D43" s="707">
        <v>8</v>
      </c>
      <c r="E43" s="517" t="s">
        <v>353</v>
      </c>
      <c r="F43" s="64" t="s">
        <v>306</v>
      </c>
      <c r="G43" s="624">
        <v>1</v>
      </c>
      <c r="H43" s="534"/>
      <c r="I43" s="526">
        <v>2000</v>
      </c>
      <c r="J43" s="527">
        <f t="shared" si="7"/>
        <v>2000</v>
      </c>
      <c r="K43" s="713"/>
      <c r="L43" s="712"/>
      <c r="M43" s="713"/>
      <c r="N43" s="702"/>
      <c r="O43" s="702"/>
      <c r="P43" s="702"/>
      <c r="Q43" s="702"/>
      <c r="R43" s="702"/>
      <c r="S43" s="702"/>
      <c r="T43" s="702"/>
      <c r="U43" s="702"/>
      <c r="V43" s="716"/>
      <c r="W43" s="716"/>
      <c r="X43" s="716"/>
      <c r="Y43" s="702"/>
      <c r="Z43" s="702"/>
      <c r="AA43" s="702"/>
      <c r="AB43" s="702"/>
    </row>
    <row r="44" spans="4:28" ht="31.5" customHeight="1" x14ac:dyDescent="0.3">
      <c r="D44" s="707">
        <v>9</v>
      </c>
      <c r="E44" s="517" t="s">
        <v>354</v>
      </c>
      <c r="F44" s="64" t="s">
        <v>306</v>
      </c>
      <c r="G44" s="625">
        <v>1</v>
      </c>
      <c r="H44" s="541"/>
      <c r="I44" s="526">
        <v>1000</v>
      </c>
      <c r="J44" s="527">
        <f t="shared" si="7"/>
        <v>1000</v>
      </c>
      <c r="K44" s="713"/>
      <c r="L44" s="712"/>
      <c r="M44" s="713"/>
      <c r="N44" s="702"/>
      <c r="O44" s="702"/>
      <c r="P44" s="702"/>
      <c r="Q44" s="702"/>
      <c r="R44" s="702"/>
      <c r="S44" s="702"/>
      <c r="T44" s="702"/>
      <c r="U44" s="702"/>
      <c r="V44" s="716"/>
      <c r="W44" s="716"/>
      <c r="X44" s="716"/>
      <c r="Y44" s="702"/>
      <c r="Z44" s="702"/>
      <c r="AA44" s="702"/>
      <c r="AB44" s="702"/>
    </row>
    <row r="45" spans="4:28" ht="31.5" customHeight="1" x14ac:dyDescent="0.3">
      <c r="D45" s="707">
        <v>10</v>
      </c>
      <c r="E45" s="517" t="s">
        <v>355</v>
      </c>
      <c r="F45" s="64" t="s">
        <v>306</v>
      </c>
      <c r="G45" s="625">
        <v>2</v>
      </c>
      <c r="H45" s="534"/>
      <c r="I45" s="526">
        <v>1000</v>
      </c>
      <c r="J45" s="527">
        <f t="shared" si="7"/>
        <v>2000</v>
      </c>
      <c r="K45" s="713"/>
      <c r="L45" s="712"/>
      <c r="M45" s="713"/>
      <c r="N45" s="702"/>
      <c r="O45" s="702"/>
      <c r="P45" s="702"/>
      <c r="Q45" s="702"/>
      <c r="R45" s="702"/>
      <c r="S45" s="702"/>
      <c r="T45" s="702"/>
      <c r="U45" s="702"/>
      <c r="V45" s="716"/>
      <c r="W45" s="716"/>
      <c r="X45" s="716"/>
      <c r="Y45" s="702"/>
      <c r="Z45" s="702"/>
      <c r="AA45" s="702"/>
      <c r="AB45" s="702"/>
    </row>
    <row r="46" spans="4:28" ht="31.5" customHeight="1" x14ac:dyDescent="0.3">
      <c r="D46" s="707">
        <v>11</v>
      </c>
      <c r="E46" s="517" t="s">
        <v>356</v>
      </c>
      <c r="F46" s="64" t="s">
        <v>306</v>
      </c>
      <c r="G46" s="625">
        <v>1</v>
      </c>
      <c r="H46" s="534"/>
      <c r="I46" s="526">
        <v>3000</v>
      </c>
      <c r="J46" s="527">
        <f t="shared" si="7"/>
        <v>3000</v>
      </c>
      <c r="K46" s="713"/>
      <c r="L46" s="712"/>
      <c r="M46" s="713"/>
      <c r="N46" s="702"/>
      <c r="O46" s="702"/>
      <c r="P46" s="702"/>
      <c r="Q46" s="702"/>
      <c r="R46" s="702"/>
      <c r="S46" s="702"/>
      <c r="T46" s="702"/>
      <c r="U46" s="702"/>
      <c r="V46" s="716"/>
      <c r="W46" s="716"/>
      <c r="X46" s="716"/>
      <c r="Y46" s="702"/>
      <c r="Z46" s="702"/>
      <c r="AA46" s="702"/>
      <c r="AB46" s="702"/>
    </row>
    <row r="47" spans="4:28" ht="31.5" customHeight="1" thickBot="1" x14ac:dyDescent="0.35">
      <c r="D47" s="711">
        <v>12</v>
      </c>
      <c r="E47" s="518" t="s">
        <v>357</v>
      </c>
      <c r="F47" s="463" t="s">
        <v>306</v>
      </c>
      <c r="G47" s="627">
        <v>1</v>
      </c>
      <c r="H47" s="534"/>
      <c r="I47" s="629">
        <v>1000</v>
      </c>
      <c r="J47" s="634">
        <v>95900</v>
      </c>
      <c r="K47" s="630"/>
      <c r="L47" s="633"/>
      <c r="M47" s="630"/>
      <c r="N47" s="702"/>
      <c r="O47" s="702"/>
      <c r="P47" s="702"/>
      <c r="Q47" s="702"/>
      <c r="R47" s="702"/>
      <c r="S47" s="702"/>
      <c r="T47" s="702"/>
      <c r="U47" s="702"/>
      <c r="V47" s="716"/>
      <c r="W47" s="716"/>
      <c r="X47" s="716"/>
      <c r="Y47" s="702"/>
      <c r="Z47" s="702"/>
      <c r="AA47" s="702"/>
      <c r="AB47" s="702"/>
    </row>
    <row r="48" spans="4:28" ht="31.5" customHeight="1" thickBot="1" x14ac:dyDescent="0.35">
      <c r="F48" s="348"/>
      <c r="G48" s="541"/>
      <c r="H48" s="534"/>
      <c r="I48" s="739" t="s">
        <v>10</v>
      </c>
      <c r="J48" s="635">
        <f>SUM(J36:J47)</f>
        <v>466800</v>
      </c>
      <c r="K48" s="702"/>
      <c r="L48" s="702"/>
      <c r="M48" s="702"/>
      <c r="N48" s="702"/>
      <c r="O48" s="702"/>
      <c r="P48" s="702"/>
      <c r="Q48" s="702"/>
      <c r="R48" s="702"/>
      <c r="S48" s="702"/>
      <c r="T48" s="702"/>
      <c r="U48" s="702"/>
      <c r="V48" s="716"/>
      <c r="W48" s="716"/>
      <c r="X48" s="716"/>
      <c r="Y48" s="702"/>
      <c r="Z48" s="702"/>
      <c r="AA48" s="702"/>
      <c r="AB48" s="702"/>
    </row>
    <row r="49" spans="7:28" x14ac:dyDescent="0.3">
      <c r="G49" s="534"/>
      <c r="H49" s="534"/>
      <c r="I49" s="702"/>
      <c r="J49" s="702"/>
      <c r="K49" s="702"/>
      <c r="L49" s="702"/>
      <c r="M49" s="702"/>
      <c r="N49" s="702"/>
      <c r="O49" s="702"/>
      <c r="P49" s="702"/>
      <c r="Q49" s="702"/>
      <c r="R49" s="702"/>
      <c r="S49" s="702"/>
      <c r="T49" s="702"/>
      <c r="U49" s="702"/>
      <c r="V49" s="716"/>
      <c r="W49" s="716"/>
      <c r="X49" s="716"/>
      <c r="Y49" s="702"/>
      <c r="Z49" s="702"/>
      <c r="AA49" s="702"/>
      <c r="AB49" s="702"/>
    </row>
    <row r="50" spans="7:28" x14ac:dyDescent="0.3">
      <c r="G50" s="534"/>
      <c r="H50" s="534"/>
      <c r="I50" s="702"/>
      <c r="J50" s="702"/>
      <c r="K50" s="702"/>
      <c r="L50" s="702"/>
      <c r="M50" s="702"/>
      <c r="N50" s="702"/>
      <c r="O50" s="702"/>
      <c r="P50" s="702"/>
      <c r="Q50" s="702"/>
      <c r="R50" s="702"/>
      <c r="S50" s="702"/>
      <c r="T50" s="702"/>
      <c r="U50" s="702"/>
      <c r="V50" s="716"/>
      <c r="W50" s="716"/>
      <c r="X50" s="716"/>
      <c r="Y50" s="702"/>
      <c r="Z50" s="702"/>
      <c r="AA50" s="702"/>
      <c r="AB50" s="702"/>
    </row>
    <row r="51" spans="7:28" x14ac:dyDescent="0.3">
      <c r="I51" s="702"/>
      <c r="J51" s="702"/>
      <c r="K51" s="702"/>
      <c r="L51" s="702"/>
      <c r="M51" s="702"/>
      <c r="N51" s="702"/>
      <c r="O51" s="702"/>
      <c r="P51" s="702"/>
      <c r="Q51" s="702"/>
      <c r="R51" s="702"/>
      <c r="S51" s="702"/>
      <c r="T51" s="702"/>
      <c r="U51" s="702"/>
      <c r="V51" s="716"/>
      <c r="W51" s="716"/>
      <c r="X51" s="716"/>
      <c r="Y51" s="702"/>
      <c r="Z51" s="702"/>
      <c r="AA51" s="702"/>
      <c r="AB51" s="702"/>
    </row>
    <row r="52" spans="7:28" x14ac:dyDescent="0.3">
      <c r="I52" s="702"/>
      <c r="J52" s="702"/>
      <c r="K52" s="702"/>
      <c r="L52" s="702"/>
      <c r="M52" s="702"/>
      <c r="N52" s="702"/>
      <c r="O52" s="702"/>
      <c r="P52" s="702"/>
      <c r="Q52" s="702"/>
      <c r="R52" s="702"/>
      <c r="S52" s="702"/>
      <c r="T52" s="702"/>
      <c r="U52" s="702"/>
      <c r="V52" s="716"/>
      <c r="W52" s="716"/>
      <c r="X52" s="716"/>
      <c r="Y52" s="702"/>
      <c r="Z52" s="702"/>
      <c r="AA52" s="702"/>
      <c r="AB52" s="702"/>
    </row>
    <row r="53" spans="7:28" x14ac:dyDescent="0.3">
      <c r="I53" s="702"/>
      <c r="J53" s="702"/>
      <c r="K53" s="702"/>
      <c r="L53" s="702"/>
      <c r="M53" s="702"/>
      <c r="N53" s="702"/>
      <c r="O53" s="702"/>
      <c r="P53" s="702"/>
      <c r="Q53" s="702"/>
      <c r="R53" s="702"/>
      <c r="S53" s="702"/>
      <c r="T53" s="702"/>
      <c r="U53" s="702"/>
      <c r="V53" s="716"/>
      <c r="W53" s="716"/>
      <c r="X53" s="716"/>
      <c r="Y53" s="702"/>
      <c r="Z53" s="702"/>
      <c r="AA53" s="702"/>
      <c r="AB53" s="702"/>
    </row>
    <row r="54" spans="7:28" x14ac:dyDescent="0.3">
      <c r="I54" s="702"/>
      <c r="J54" s="702"/>
      <c r="K54" s="702"/>
      <c r="L54" s="702"/>
      <c r="M54" s="702"/>
      <c r="N54" s="702"/>
      <c r="O54" s="702"/>
      <c r="P54" s="702"/>
      <c r="Q54" s="702"/>
      <c r="R54" s="702"/>
      <c r="S54" s="702"/>
      <c r="T54" s="702"/>
      <c r="U54" s="702"/>
      <c r="V54" s="716"/>
      <c r="W54" s="716"/>
      <c r="X54" s="716"/>
      <c r="Y54" s="702"/>
      <c r="Z54" s="702"/>
      <c r="AA54" s="702"/>
      <c r="AB54" s="702"/>
    </row>
    <row r="55" spans="7:28" x14ac:dyDescent="0.3">
      <c r="I55" s="702"/>
      <c r="J55" s="702"/>
      <c r="K55" s="702"/>
      <c r="L55" s="702"/>
      <c r="M55" s="702"/>
      <c r="N55" s="702"/>
      <c r="O55" s="702"/>
      <c r="P55" s="702"/>
      <c r="Q55" s="702"/>
      <c r="R55" s="702"/>
      <c r="S55" s="702"/>
      <c r="T55" s="702"/>
      <c r="U55" s="702"/>
      <c r="V55" s="716"/>
      <c r="W55" s="716"/>
      <c r="X55" s="716"/>
      <c r="Y55" s="702"/>
      <c r="Z55" s="702"/>
      <c r="AA55" s="702"/>
      <c r="AB55" s="702"/>
    </row>
    <row r="56" spans="7:28" x14ac:dyDescent="0.3">
      <c r="I56" s="702"/>
      <c r="J56" s="702"/>
      <c r="K56" s="702"/>
      <c r="L56" s="702"/>
      <c r="M56" s="702"/>
      <c r="N56" s="702"/>
      <c r="O56" s="702"/>
      <c r="P56" s="702"/>
      <c r="Q56" s="702"/>
      <c r="R56" s="702"/>
      <c r="S56" s="702"/>
      <c r="T56" s="702"/>
      <c r="U56" s="702"/>
      <c r="V56" s="716"/>
      <c r="W56" s="716"/>
      <c r="X56" s="716"/>
      <c r="Y56" s="702"/>
      <c r="Z56" s="702"/>
      <c r="AA56" s="702"/>
      <c r="AB56" s="702"/>
    </row>
    <row r="57" spans="7:28" x14ac:dyDescent="0.3">
      <c r="I57" s="702"/>
      <c r="J57" s="702"/>
      <c r="K57" s="702"/>
      <c r="L57" s="702"/>
      <c r="M57" s="702"/>
      <c r="N57" s="702"/>
      <c r="O57" s="702"/>
      <c r="P57" s="702"/>
      <c r="Q57" s="702"/>
      <c r="R57" s="702"/>
      <c r="S57" s="702"/>
      <c r="T57" s="702"/>
      <c r="U57" s="702"/>
      <c r="V57" s="716"/>
      <c r="W57" s="716"/>
      <c r="X57" s="716"/>
      <c r="Y57" s="702"/>
      <c r="Z57" s="702"/>
      <c r="AA57" s="702"/>
      <c r="AB57" s="702"/>
    </row>
    <row r="58" spans="7:28" x14ac:dyDescent="0.3">
      <c r="I58" s="702"/>
      <c r="J58" s="702"/>
      <c r="K58" s="702"/>
      <c r="L58" s="702"/>
      <c r="M58" s="702"/>
      <c r="N58" s="702"/>
      <c r="O58" s="702"/>
      <c r="P58" s="702"/>
      <c r="Q58" s="702"/>
      <c r="R58" s="702"/>
      <c r="S58" s="702"/>
      <c r="T58" s="702"/>
      <c r="U58" s="702"/>
      <c r="V58" s="716"/>
      <c r="W58" s="716"/>
      <c r="X58" s="716"/>
      <c r="Y58" s="702"/>
      <c r="Z58" s="702"/>
      <c r="AA58" s="702"/>
      <c r="AB58" s="702"/>
    </row>
    <row r="59" spans="7:28" x14ac:dyDescent="0.3">
      <c r="I59" s="702"/>
      <c r="J59" s="702"/>
      <c r="K59" s="702"/>
      <c r="L59" s="702"/>
      <c r="M59" s="702"/>
      <c r="N59" s="702"/>
      <c r="O59" s="702"/>
      <c r="P59" s="702"/>
      <c r="Q59" s="702"/>
      <c r="R59" s="702"/>
      <c r="S59" s="702"/>
      <c r="T59" s="702"/>
      <c r="U59" s="702"/>
      <c r="V59" s="716"/>
      <c r="W59" s="716"/>
      <c r="X59" s="716"/>
      <c r="Y59" s="702"/>
      <c r="Z59" s="702"/>
      <c r="AA59" s="702"/>
      <c r="AB59" s="702"/>
    </row>
    <row r="60" spans="7:28" x14ac:dyDescent="0.3">
      <c r="I60" s="702"/>
      <c r="J60" s="702"/>
      <c r="K60" s="702"/>
      <c r="L60" s="702"/>
      <c r="M60" s="702"/>
      <c r="N60" s="702"/>
      <c r="O60" s="702"/>
      <c r="P60" s="702"/>
      <c r="Q60" s="702"/>
      <c r="R60" s="702"/>
      <c r="S60" s="702"/>
      <c r="T60" s="702"/>
      <c r="U60" s="702"/>
      <c r="V60" s="716"/>
      <c r="W60" s="716"/>
      <c r="X60" s="716"/>
      <c r="Y60" s="702"/>
      <c r="Z60" s="702"/>
      <c r="AA60" s="702"/>
      <c r="AB60" s="702"/>
    </row>
    <row r="61" spans="7:28" x14ac:dyDescent="0.3">
      <c r="I61" s="702"/>
      <c r="J61" s="702"/>
      <c r="K61" s="702"/>
      <c r="L61" s="702"/>
      <c r="M61" s="702"/>
      <c r="N61" s="702"/>
      <c r="O61" s="702"/>
      <c r="P61" s="702"/>
      <c r="Q61" s="702"/>
      <c r="R61" s="702"/>
      <c r="S61" s="702"/>
      <c r="T61" s="702"/>
      <c r="U61" s="702"/>
      <c r="V61" s="716"/>
      <c r="W61" s="716"/>
      <c r="X61" s="716"/>
      <c r="Y61" s="702"/>
      <c r="Z61" s="702"/>
      <c r="AA61" s="702"/>
      <c r="AB61" s="702"/>
    </row>
    <row r="62" spans="7:28" x14ac:dyDescent="0.3">
      <c r="I62" s="702"/>
      <c r="J62" s="702"/>
      <c r="K62" s="702"/>
      <c r="L62" s="702"/>
      <c r="M62" s="702"/>
      <c r="N62" s="702"/>
      <c r="O62" s="702"/>
      <c r="P62" s="702"/>
      <c r="Q62" s="702"/>
      <c r="R62" s="702"/>
      <c r="S62" s="702"/>
      <c r="T62" s="702"/>
      <c r="U62" s="702"/>
      <c r="V62" s="716"/>
      <c r="W62" s="716"/>
      <c r="X62" s="716"/>
      <c r="Y62" s="702"/>
      <c r="Z62" s="702"/>
      <c r="AA62" s="702"/>
      <c r="AB62" s="702"/>
    </row>
    <row r="63" spans="7:28" x14ac:dyDescent="0.3">
      <c r="I63" s="702"/>
      <c r="J63" s="702"/>
      <c r="K63" s="702"/>
      <c r="L63" s="702"/>
      <c r="M63" s="702"/>
      <c r="N63" s="702"/>
      <c r="O63" s="702"/>
      <c r="P63" s="702"/>
      <c r="Q63" s="702"/>
      <c r="R63" s="702"/>
      <c r="S63" s="702"/>
      <c r="T63" s="702"/>
      <c r="U63" s="702"/>
      <c r="V63" s="716"/>
      <c r="W63" s="716"/>
      <c r="X63" s="716"/>
      <c r="Y63" s="702"/>
      <c r="Z63" s="702"/>
      <c r="AA63" s="702"/>
      <c r="AB63" s="702"/>
    </row>
    <row r="64" spans="7:28" x14ac:dyDescent="0.3">
      <c r="I64" s="702"/>
      <c r="J64" s="702"/>
      <c r="K64" s="702"/>
      <c r="L64" s="702"/>
      <c r="M64" s="702"/>
      <c r="N64" s="702"/>
      <c r="O64" s="702"/>
      <c r="P64" s="702"/>
      <c r="Q64" s="702"/>
      <c r="R64" s="702"/>
      <c r="S64" s="702"/>
      <c r="T64" s="702"/>
      <c r="U64" s="702"/>
      <c r="V64" s="716"/>
      <c r="W64" s="716"/>
      <c r="X64" s="716"/>
      <c r="Y64" s="702"/>
      <c r="Z64" s="702"/>
      <c r="AA64" s="702"/>
      <c r="AB64" s="702"/>
    </row>
    <row r="65" spans="9:28" x14ac:dyDescent="0.3">
      <c r="I65" s="702"/>
      <c r="J65" s="702"/>
      <c r="K65" s="702"/>
      <c r="L65" s="702"/>
      <c r="M65" s="702"/>
      <c r="N65" s="702"/>
      <c r="O65" s="702"/>
      <c r="P65" s="702"/>
      <c r="Q65" s="702"/>
      <c r="R65" s="702"/>
      <c r="S65" s="702"/>
      <c r="T65" s="702"/>
      <c r="U65" s="702"/>
      <c r="V65" s="716"/>
      <c r="W65" s="716"/>
      <c r="X65" s="716"/>
      <c r="Y65" s="702"/>
      <c r="Z65" s="702"/>
      <c r="AA65" s="702"/>
      <c r="AB65" s="702"/>
    </row>
    <row r="66" spans="9:28" x14ac:dyDescent="0.3">
      <c r="I66" s="702"/>
      <c r="J66" s="702"/>
      <c r="K66" s="702"/>
      <c r="L66" s="702"/>
      <c r="M66" s="702"/>
      <c r="N66" s="702"/>
      <c r="O66" s="702"/>
      <c r="P66" s="702"/>
      <c r="Q66" s="702"/>
      <c r="R66" s="702"/>
      <c r="S66" s="702"/>
      <c r="T66" s="702"/>
      <c r="U66" s="702"/>
      <c r="V66" s="716"/>
      <c r="W66" s="716"/>
      <c r="X66" s="716"/>
      <c r="Y66" s="702"/>
      <c r="Z66" s="702"/>
      <c r="AA66" s="702"/>
      <c r="AB66" s="702"/>
    </row>
    <row r="67" spans="9:28" x14ac:dyDescent="0.3">
      <c r="I67" s="702"/>
      <c r="J67" s="702"/>
      <c r="K67" s="702"/>
      <c r="L67" s="702"/>
      <c r="M67" s="702"/>
      <c r="N67" s="702"/>
      <c r="O67" s="702"/>
      <c r="P67" s="702"/>
      <c r="Q67" s="702"/>
      <c r="R67" s="702"/>
      <c r="S67" s="702"/>
      <c r="T67" s="702"/>
      <c r="U67" s="702"/>
      <c r="V67" s="716"/>
      <c r="W67" s="716"/>
      <c r="X67" s="716"/>
      <c r="Y67" s="702"/>
      <c r="Z67" s="702"/>
      <c r="AA67" s="702"/>
      <c r="AB67" s="702"/>
    </row>
    <row r="68" spans="9:28" x14ac:dyDescent="0.3">
      <c r="I68" s="702"/>
      <c r="J68" s="702"/>
      <c r="K68" s="702"/>
      <c r="L68" s="702"/>
      <c r="M68" s="702"/>
      <c r="N68" s="702"/>
      <c r="O68" s="702"/>
      <c r="P68" s="702"/>
      <c r="Q68" s="702"/>
      <c r="R68" s="702"/>
      <c r="S68" s="702"/>
      <c r="T68" s="702"/>
      <c r="U68" s="702"/>
      <c r="V68" s="716"/>
      <c r="W68" s="716"/>
      <c r="X68" s="716"/>
      <c r="Y68" s="702"/>
      <c r="Z68" s="702"/>
      <c r="AA68" s="702"/>
      <c r="AB68" s="702"/>
    </row>
    <row r="69" spans="9:28" x14ac:dyDescent="0.3">
      <c r="I69" s="702"/>
      <c r="J69" s="702"/>
      <c r="K69" s="702"/>
      <c r="L69" s="702"/>
      <c r="M69" s="702"/>
      <c r="N69" s="702"/>
      <c r="O69" s="702"/>
      <c r="P69" s="702"/>
      <c r="Q69" s="702"/>
      <c r="R69" s="702"/>
      <c r="S69" s="702"/>
      <c r="T69" s="702"/>
      <c r="U69" s="702"/>
      <c r="V69" s="716"/>
      <c r="W69" s="716"/>
      <c r="X69" s="716"/>
      <c r="Y69" s="702"/>
      <c r="Z69" s="702"/>
      <c r="AA69" s="702"/>
      <c r="AB69" s="702"/>
    </row>
    <row r="70" spans="9:28" x14ac:dyDescent="0.3">
      <c r="I70" s="702"/>
      <c r="J70" s="702"/>
      <c r="K70" s="702"/>
      <c r="L70" s="702"/>
      <c r="M70" s="702"/>
      <c r="N70" s="702"/>
      <c r="O70" s="702"/>
      <c r="P70" s="702"/>
      <c r="Q70" s="702"/>
      <c r="R70" s="702"/>
      <c r="S70" s="702"/>
      <c r="T70" s="702"/>
      <c r="U70" s="702"/>
      <c r="V70" s="716"/>
      <c r="W70" s="716"/>
      <c r="X70" s="716"/>
      <c r="Y70" s="702"/>
      <c r="Z70" s="702"/>
      <c r="AA70" s="702"/>
      <c r="AB70" s="702"/>
    </row>
    <row r="71" spans="9:28" x14ac:dyDescent="0.3">
      <c r="I71" s="702"/>
      <c r="J71" s="702"/>
      <c r="K71" s="702"/>
      <c r="L71" s="702"/>
      <c r="M71" s="702"/>
      <c r="N71" s="702"/>
      <c r="O71" s="702"/>
      <c r="P71" s="702"/>
      <c r="Q71" s="702"/>
      <c r="R71" s="702"/>
      <c r="S71" s="702"/>
      <c r="T71" s="702"/>
      <c r="U71" s="702"/>
      <c r="V71" s="716"/>
      <c r="W71" s="716"/>
      <c r="X71" s="716"/>
      <c r="Y71" s="702"/>
      <c r="Z71" s="702"/>
      <c r="AA71" s="702"/>
      <c r="AB71" s="702"/>
    </row>
    <row r="72" spans="9:28" x14ac:dyDescent="0.3">
      <c r="I72" s="702"/>
      <c r="J72" s="702"/>
      <c r="K72" s="702"/>
      <c r="L72" s="702"/>
      <c r="M72" s="702"/>
      <c r="N72" s="702"/>
      <c r="O72" s="702"/>
      <c r="P72" s="702"/>
      <c r="Q72" s="702"/>
      <c r="R72" s="702"/>
      <c r="S72" s="702"/>
      <c r="T72" s="702"/>
      <c r="U72" s="702"/>
      <c r="V72" s="716"/>
      <c r="W72" s="716"/>
      <c r="X72" s="716"/>
      <c r="Y72" s="702"/>
      <c r="Z72" s="702"/>
      <c r="AA72" s="702"/>
      <c r="AB72" s="702"/>
    </row>
    <row r="73" spans="9:28" x14ac:dyDescent="0.3">
      <c r="I73" s="702"/>
      <c r="J73" s="702"/>
      <c r="K73" s="702"/>
      <c r="L73" s="702"/>
      <c r="M73" s="702"/>
      <c r="N73" s="702"/>
      <c r="O73" s="702"/>
      <c r="P73" s="702"/>
      <c r="Q73" s="702"/>
      <c r="R73" s="702"/>
      <c r="S73" s="702"/>
      <c r="T73" s="702"/>
      <c r="U73" s="702"/>
      <c r="V73" s="716"/>
      <c r="W73" s="716"/>
      <c r="X73" s="716"/>
      <c r="Y73" s="702"/>
      <c r="Z73" s="702"/>
      <c r="AA73" s="702"/>
      <c r="AB73" s="702"/>
    </row>
    <row r="74" spans="9:28" x14ac:dyDescent="0.3">
      <c r="I74" s="702"/>
      <c r="J74" s="702"/>
      <c r="K74" s="702"/>
      <c r="L74" s="702"/>
      <c r="M74" s="702"/>
      <c r="N74" s="702"/>
      <c r="O74" s="702"/>
      <c r="P74" s="702"/>
      <c r="Q74" s="702"/>
      <c r="R74" s="702"/>
      <c r="S74" s="702"/>
      <c r="T74" s="702"/>
      <c r="U74" s="702"/>
      <c r="V74" s="716"/>
      <c r="W74" s="716"/>
      <c r="X74" s="716"/>
      <c r="Y74" s="702"/>
      <c r="Z74" s="702"/>
      <c r="AA74" s="702"/>
      <c r="AB74" s="702"/>
    </row>
    <row r="75" spans="9:28" x14ac:dyDescent="0.3">
      <c r="I75" s="702"/>
      <c r="J75" s="702"/>
      <c r="K75" s="702"/>
      <c r="L75" s="702"/>
      <c r="M75" s="702"/>
      <c r="N75" s="702"/>
      <c r="O75" s="702"/>
      <c r="P75" s="702"/>
      <c r="Q75" s="702"/>
      <c r="R75" s="702"/>
      <c r="S75" s="702"/>
      <c r="T75" s="702"/>
      <c r="U75" s="702"/>
      <c r="V75" s="716"/>
      <c r="W75" s="716"/>
      <c r="X75" s="716"/>
      <c r="Y75" s="702"/>
      <c r="Z75" s="702"/>
      <c r="AA75" s="702"/>
      <c r="AB75" s="702"/>
    </row>
    <row r="76" spans="9:28" x14ac:dyDescent="0.3">
      <c r="I76" s="702"/>
      <c r="J76" s="702"/>
      <c r="K76" s="702"/>
      <c r="L76" s="702"/>
      <c r="M76" s="702"/>
      <c r="N76" s="702"/>
      <c r="O76" s="702"/>
      <c r="P76" s="702"/>
      <c r="Q76" s="702"/>
      <c r="R76" s="702"/>
      <c r="S76" s="702"/>
      <c r="T76" s="702"/>
      <c r="U76" s="702"/>
      <c r="V76" s="716"/>
      <c r="W76" s="716"/>
      <c r="X76" s="716"/>
      <c r="Y76" s="702"/>
      <c r="Z76" s="702"/>
      <c r="AA76" s="702"/>
      <c r="AB76" s="702"/>
    </row>
    <row r="77" spans="9:28" x14ac:dyDescent="0.3">
      <c r="I77" s="702"/>
      <c r="J77" s="702"/>
      <c r="K77" s="702"/>
      <c r="L77" s="702"/>
      <c r="M77" s="702"/>
      <c r="N77" s="702"/>
      <c r="O77" s="702"/>
      <c r="P77" s="702"/>
      <c r="Q77" s="702"/>
      <c r="R77" s="702"/>
      <c r="S77" s="702"/>
      <c r="T77" s="702"/>
      <c r="U77" s="702"/>
      <c r="V77" s="716"/>
      <c r="W77" s="716"/>
      <c r="X77" s="716"/>
      <c r="Y77" s="702"/>
      <c r="Z77" s="702"/>
      <c r="AA77" s="702"/>
      <c r="AB77" s="702"/>
    </row>
    <row r="78" spans="9:28" x14ac:dyDescent="0.3">
      <c r="I78" s="702"/>
      <c r="J78" s="702"/>
      <c r="K78" s="702"/>
      <c r="L78" s="702"/>
      <c r="M78" s="702"/>
      <c r="N78" s="702"/>
      <c r="O78" s="702"/>
      <c r="P78" s="702"/>
      <c r="Q78" s="702"/>
      <c r="R78" s="702"/>
      <c r="S78" s="702"/>
      <c r="T78" s="702"/>
      <c r="U78" s="702"/>
      <c r="V78" s="716"/>
      <c r="W78" s="716"/>
      <c r="X78" s="716"/>
      <c r="Y78" s="702"/>
      <c r="Z78" s="702"/>
      <c r="AA78" s="702"/>
      <c r="AB78" s="702"/>
    </row>
    <row r="79" spans="9:28" x14ac:dyDescent="0.3">
      <c r="I79" s="702"/>
      <c r="J79" s="702"/>
      <c r="K79" s="702"/>
      <c r="L79" s="702"/>
      <c r="M79" s="702"/>
      <c r="N79" s="702"/>
      <c r="O79" s="702"/>
      <c r="P79" s="702"/>
      <c r="Q79" s="702"/>
      <c r="R79" s="702"/>
      <c r="S79" s="702"/>
      <c r="T79" s="702"/>
      <c r="U79" s="702"/>
      <c r="V79" s="716"/>
      <c r="W79" s="716"/>
      <c r="X79" s="716"/>
      <c r="Y79" s="702"/>
      <c r="Z79" s="702"/>
      <c r="AA79" s="702"/>
      <c r="AB79" s="702"/>
    </row>
    <row r="80" spans="9:28" x14ac:dyDescent="0.3">
      <c r="I80" s="702"/>
      <c r="J80" s="702"/>
      <c r="K80" s="702"/>
      <c r="L80" s="702"/>
      <c r="M80" s="702"/>
      <c r="N80" s="702"/>
      <c r="O80" s="702"/>
      <c r="P80" s="702"/>
      <c r="Q80" s="702"/>
      <c r="R80" s="702"/>
      <c r="S80" s="702"/>
      <c r="T80" s="702"/>
      <c r="U80" s="702"/>
      <c r="V80" s="716"/>
      <c r="W80" s="716"/>
      <c r="X80" s="716"/>
      <c r="Y80" s="702"/>
      <c r="Z80" s="702"/>
      <c r="AA80" s="702"/>
      <c r="AB80" s="702"/>
    </row>
    <row r="81" spans="9:28" x14ac:dyDescent="0.3">
      <c r="I81" s="702"/>
      <c r="J81" s="702"/>
      <c r="K81" s="702"/>
      <c r="L81" s="702"/>
      <c r="M81" s="702"/>
      <c r="N81" s="702"/>
      <c r="O81" s="702"/>
      <c r="P81" s="702"/>
      <c r="Q81" s="702"/>
      <c r="R81" s="702"/>
      <c r="S81" s="702"/>
      <c r="T81" s="702"/>
      <c r="U81" s="702"/>
      <c r="V81" s="716"/>
      <c r="W81" s="716"/>
      <c r="X81" s="716"/>
      <c r="Y81" s="702"/>
      <c r="Z81" s="702"/>
      <c r="AA81" s="702"/>
      <c r="AB81" s="702"/>
    </row>
    <row r="82" spans="9:28" x14ac:dyDescent="0.3">
      <c r="I82" s="702"/>
      <c r="J82" s="702"/>
      <c r="K82" s="702"/>
      <c r="L82" s="702"/>
      <c r="M82" s="702"/>
      <c r="N82" s="702"/>
      <c r="O82" s="702"/>
      <c r="P82" s="702"/>
      <c r="Q82" s="702"/>
      <c r="R82" s="702"/>
      <c r="S82" s="702"/>
      <c r="T82" s="702"/>
      <c r="U82" s="702"/>
      <c r="V82" s="716"/>
      <c r="W82" s="716"/>
      <c r="X82" s="716"/>
      <c r="Y82" s="702"/>
      <c r="Z82" s="702"/>
      <c r="AA82" s="702"/>
      <c r="AB82" s="702"/>
    </row>
    <row r="83" spans="9:28" x14ac:dyDescent="0.3">
      <c r="I83" s="702"/>
      <c r="J83" s="702"/>
      <c r="K83" s="702"/>
      <c r="L83" s="702"/>
      <c r="M83" s="702"/>
      <c r="N83" s="702"/>
      <c r="O83" s="702"/>
      <c r="P83" s="702"/>
      <c r="Q83" s="702"/>
      <c r="R83" s="702"/>
      <c r="S83" s="702"/>
      <c r="T83" s="702"/>
      <c r="U83" s="702"/>
      <c r="V83" s="716"/>
      <c r="W83" s="716"/>
      <c r="X83" s="716"/>
      <c r="Y83" s="702"/>
      <c r="Z83" s="702"/>
      <c r="AA83" s="702"/>
      <c r="AB83" s="702"/>
    </row>
    <row r="84" spans="9:28" x14ac:dyDescent="0.3">
      <c r="I84" s="702"/>
      <c r="J84" s="702"/>
      <c r="K84" s="702"/>
      <c r="L84" s="702"/>
      <c r="M84" s="702"/>
      <c r="N84" s="702"/>
      <c r="O84" s="702"/>
      <c r="P84" s="702"/>
      <c r="Q84" s="702"/>
      <c r="R84" s="702"/>
      <c r="S84" s="702"/>
      <c r="T84" s="702"/>
      <c r="U84" s="702"/>
      <c r="V84" s="716"/>
      <c r="W84" s="716"/>
      <c r="X84" s="716"/>
      <c r="Y84" s="702"/>
      <c r="Z84" s="702"/>
      <c r="AA84" s="702"/>
      <c r="AB84" s="702"/>
    </row>
    <row r="85" spans="9:28" x14ac:dyDescent="0.3">
      <c r="I85" s="702"/>
      <c r="J85" s="702"/>
      <c r="K85" s="702"/>
      <c r="L85" s="702"/>
      <c r="M85" s="702"/>
      <c r="N85" s="702"/>
      <c r="O85" s="702"/>
      <c r="P85" s="702"/>
      <c r="Q85" s="702"/>
      <c r="R85" s="702"/>
      <c r="S85" s="702"/>
      <c r="T85" s="702"/>
      <c r="U85" s="702"/>
      <c r="V85" s="716"/>
      <c r="W85" s="716"/>
      <c r="X85" s="716"/>
      <c r="Y85" s="702"/>
      <c r="Z85" s="702"/>
      <c r="AA85" s="702"/>
      <c r="AB85" s="702"/>
    </row>
    <row r="86" spans="9:28" x14ac:dyDescent="0.3">
      <c r="I86" s="702"/>
      <c r="J86" s="702"/>
      <c r="K86" s="702"/>
      <c r="L86" s="702"/>
      <c r="M86" s="702"/>
      <c r="N86" s="702"/>
      <c r="O86" s="702"/>
      <c r="P86" s="702"/>
      <c r="Q86" s="702"/>
      <c r="R86" s="702"/>
      <c r="S86" s="702"/>
      <c r="T86" s="702"/>
      <c r="U86" s="702"/>
      <c r="V86" s="716"/>
      <c r="W86" s="716"/>
      <c r="X86" s="716"/>
      <c r="Y86" s="702"/>
      <c r="Z86" s="702"/>
      <c r="AA86" s="702"/>
      <c r="AB86" s="702"/>
    </row>
    <row r="87" spans="9:28" x14ac:dyDescent="0.3">
      <c r="I87" s="702"/>
      <c r="J87" s="702"/>
      <c r="K87" s="702"/>
      <c r="L87" s="702"/>
      <c r="M87" s="702"/>
      <c r="N87" s="702"/>
      <c r="O87" s="702"/>
      <c r="P87" s="702"/>
      <c r="Q87" s="702"/>
      <c r="R87" s="702"/>
      <c r="S87" s="702"/>
      <c r="T87" s="702"/>
      <c r="U87" s="702"/>
      <c r="V87" s="716"/>
      <c r="W87" s="716"/>
      <c r="X87" s="716"/>
      <c r="Y87" s="702"/>
      <c r="Z87" s="702"/>
      <c r="AA87" s="702"/>
      <c r="AB87" s="702"/>
    </row>
    <row r="88" spans="9:28" x14ac:dyDescent="0.3">
      <c r="I88" s="702"/>
      <c r="J88" s="702"/>
      <c r="K88" s="702"/>
      <c r="L88" s="702"/>
      <c r="M88" s="702"/>
      <c r="N88" s="702"/>
      <c r="O88" s="702"/>
      <c r="P88" s="702"/>
      <c r="Q88" s="702"/>
      <c r="R88" s="702"/>
      <c r="S88" s="702"/>
      <c r="T88" s="702"/>
      <c r="U88" s="702"/>
      <c r="V88" s="716"/>
      <c r="W88" s="716"/>
      <c r="X88" s="716"/>
      <c r="Y88" s="702"/>
      <c r="Z88" s="702"/>
      <c r="AA88" s="702"/>
      <c r="AB88" s="702"/>
    </row>
    <row r="89" spans="9:28" x14ac:dyDescent="0.3">
      <c r="I89" s="702"/>
      <c r="J89" s="702"/>
      <c r="K89" s="702"/>
      <c r="L89" s="702"/>
      <c r="M89" s="702"/>
      <c r="N89" s="702"/>
      <c r="O89" s="702"/>
      <c r="P89" s="702"/>
      <c r="Q89" s="702"/>
      <c r="R89" s="702"/>
      <c r="S89" s="702"/>
      <c r="T89" s="702"/>
      <c r="U89" s="702"/>
      <c r="V89" s="716"/>
      <c r="W89" s="716"/>
      <c r="X89" s="716"/>
      <c r="Y89" s="702"/>
      <c r="Z89" s="702"/>
      <c r="AA89" s="702"/>
      <c r="AB89" s="702"/>
    </row>
    <row r="90" spans="9:28" x14ac:dyDescent="0.3">
      <c r="I90" s="702"/>
      <c r="J90" s="702"/>
      <c r="K90" s="702"/>
      <c r="L90" s="702"/>
      <c r="M90" s="702"/>
      <c r="N90" s="702"/>
      <c r="O90" s="702"/>
      <c r="P90" s="702"/>
      <c r="Q90" s="702"/>
      <c r="R90" s="702"/>
      <c r="S90" s="702"/>
      <c r="T90" s="702"/>
      <c r="U90" s="702"/>
      <c r="V90" s="716"/>
      <c r="W90" s="716"/>
      <c r="X90" s="716"/>
      <c r="Y90" s="702"/>
      <c r="Z90" s="702"/>
      <c r="AA90" s="702"/>
      <c r="AB90" s="702"/>
    </row>
    <row r="91" spans="9:28" x14ac:dyDescent="0.3">
      <c r="I91" s="702"/>
      <c r="J91" s="702"/>
      <c r="K91" s="702"/>
      <c r="L91" s="702"/>
      <c r="M91" s="702"/>
      <c r="N91" s="702"/>
      <c r="O91" s="702"/>
      <c r="P91" s="702"/>
      <c r="Q91" s="702"/>
      <c r="R91" s="702"/>
      <c r="S91" s="702"/>
      <c r="T91" s="702"/>
      <c r="U91" s="702"/>
      <c r="V91" s="716"/>
      <c r="W91" s="716"/>
      <c r="X91" s="716"/>
      <c r="Y91" s="702"/>
      <c r="Z91" s="702"/>
      <c r="AA91" s="702"/>
      <c r="AB91" s="702"/>
    </row>
    <row r="92" spans="9:28" x14ac:dyDescent="0.3">
      <c r="I92" s="702"/>
      <c r="J92" s="702"/>
      <c r="K92" s="702"/>
      <c r="L92" s="702"/>
      <c r="M92" s="702"/>
      <c r="N92" s="702"/>
      <c r="O92" s="702"/>
      <c r="P92" s="702"/>
      <c r="Q92" s="702"/>
      <c r="R92" s="702"/>
      <c r="S92" s="702"/>
      <c r="T92" s="702"/>
      <c r="U92" s="702"/>
      <c r="V92" s="716"/>
      <c r="W92" s="716"/>
      <c r="X92" s="716"/>
      <c r="Y92" s="702"/>
      <c r="Z92" s="702"/>
      <c r="AA92" s="702"/>
      <c r="AB92" s="702"/>
    </row>
    <row r="93" spans="9:28" x14ac:dyDescent="0.3">
      <c r="I93" s="702"/>
      <c r="J93" s="702"/>
      <c r="K93" s="702"/>
      <c r="L93" s="702"/>
      <c r="M93" s="702"/>
      <c r="N93" s="702"/>
      <c r="O93" s="702"/>
      <c r="P93" s="702"/>
      <c r="Q93" s="702"/>
      <c r="R93" s="702"/>
      <c r="S93" s="702"/>
      <c r="T93" s="702"/>
      <c r="U93" s="702"/>
      <c r="V93" s="716"/>
      <c r="W93" s="716"/>
      <c r="X93" s="716"/>
      <c r="Y93" s="702"/>
      <c r="Z93" s="702"/>
      <c r="AA93" s="702"/>
      <c r="AB93" s="702"/>
    </row>
    <row r="94" spans="9:28" x14ac:dyDescent="0.3">
      <c r="I94" s="702"/>
      <c r="J94" s="702"/>
      <c r="K94" s="702"/>
      <c r="L94" s="702"/>
      <c r="M94" s="702"/>
      <c r="N94" s="702"/>
      <c r="O94" s="702"/>
      <c r="P94" s="702"/>
      <c r="Q94" s="702"/>
      <c r="R94" s="702"/>
      <c r="S94" s="702"/>
      <c r="T94" s="702"/>
      <c r="U94" s="702"/>
      <c r="V94" s="716"/>
      <c r="W94" s="716"/>
      <c r="X94" s="716"/>
      <c r="Y94" s="702"/>
      <c r="Z94" s="702"/>
      <c r="AA94" s="702"/>
      <c r="AB94" s="702"/>
    </row>
    <row r="95" spans="9:28" x14ac:dyDescent="0.3">
      <c r="I95" s="702"/>
      <c r="J95" s="702"/>
      <c r="K95" s="702"/>
      <c r="L95" s="702"/>
      <c r="M95" s="702"/>
      <c r="N95" s="702"/>
      <c r="O95" s="702"/>
      <c r="P95" s="702"/>
      <c r="Q95" s="702"/>
      <c r="R95" s="702"/>
      <c r="S95" s="702"/>
      <c r="T95" s="702"/>
      <c r="U95" s="702"/>
      <c r="V95" s="716"/>
      <c r="W95" s="716"/>
      <c r="X95" s="716"/>
      <c r="Y95" s="702"/>
      <c r="Z95" s="702"/>
      <c r="AA95" s="702"/>
      <c r="AB95" s="702"/>
    </row>
    <row r="96" spans="9:28" x14ac:dyDescent="0.3">
      <c r="I96" s="702"/>
      <c r="J96" s="702"/>
      <c r="K96" s="702"/>
      <c r="L96" s="702"/>
      <c r="M96" s="702"/>
      <c r="N96" s="702"/>
      <c r="O96" s="702"/>
      <c r="P96" s="702"/>
      <c r="Q96" s="702"/>
      <c r="R96" s="702"/>
      <c r="S96" s="702"/>
      <c r="T96" s="702"/>
      <c r="U96" s="702"/>
      <c r="V96" s="716"/>
      <c r="W96" s="716"/>
      <c r="X96" s="716"/>
      <c r="Y96" s="702"/>
      <c r="Z96" s="702"/>
      <c r="AA96" s="702"/>
      <c r="AB96" s="702"/>
    </row>
    <row r="97" spans="9:28" x14ac:dyDescent="0.3">
      <c r="I97" s="702"/>
      <c r="J97" s="702"/>
      <c r="K97" s="702"/>
      <c r="L97" s="702"/>
      <c r="M97" s="702"/>
      <c r="N97" s="702"/>
      <c r="O97" s="702"/>
      <c r="P97" s="702"/>
      <c r="Q97" s="702"/>
      <c r="R97" s="702"/>
      <c r="S97" s="702"/>
      <c r="T97" s="702"/>
      <c r="U97" s="702"/>
      <c r="V97" s="716"/>
      <c r="W97" s="716"/>
      <c r="X97" s="716"/>
      <c r="Y97" s="702"/>
      <c r="Z97" s="702"/>
      <c r="AA97" s="702"/>
      <c r="AB97" s="702"/>
    </row>
    <row r="98" spans="9:28" x14ac:dyDescent="0.3">
      <c r="I98" s="702"/>
      <c r="J98" s="702"/>
      <c r="K98" s="702"/>
      <c r="L98" s="702"/>
      <c r="M98" s="702"/>
      <c r="N98" s="702"/>
      <c r="O98" s="702"/>
      <c r="P98" s="702"/>
      <c r="Q98" s="702"/>
      <c r="R98" s="702"/>
      <c r="S98" s="702"/>
      <c r="T98" s="702"/>
      <c r="U98" s="702"/>
      <c r="V98" s="716"/>
      <c r="W98" s="716"/>
      <c r="X98" s="716"/>
      <c r="Y98" s="702"/>
      <c r="Z98" s="702"/>
      <c r="AA98" s="702"/>
      <c r="AB98" s="702"/>
    </row>
    <row r="99" spans="9:28" x14ac:dyDescent="0.3">
      <c r="I99" s="702"/>
      <c r="J99" s="702"/>
      <c r="K99" s="702"/>
      <c r="L99" s="702"/>
      <c r="M99" s="702"/>
      <c r="N99" s="702"/>
      <c r="O99" s="702"/>
      <c r="P99" s="702"/>
      <c r="Q99" s="702"/>
      <c r="R99" s="702"/>
      <c r="S99" s="702"/>
      <c r="T99" s="702"/>
      <c r="U99" s="702"/>
      <c r="V99" s="716"/>
      <c r="W99" s="716"/>
      <c r="X99" s="716"/>
      <c r="Y99" s="702"/>
      <c r="Z99" s="702"/>
      <c r="AA99" s="702"/>
      <c r="AB99" s="702"/>
    </row>
    <row r="100" spans="9:28" x14ac:dyDescent="0.3">
      <c r="I100" s="702"/>
      <c r="J100" s="702"/>
      <c r="K100" s="702"/>
      <c r="L100" s="702"/>
      <c r="M100" s="702"/>
      <c r="N100" s="702"/>
      <c r="O100" s="702"/>
      <c r="P100" s="702"/>
      <c r="Q100" s="702"/>
      <c r="R100" s="702"/>
      <c r="S100" s="702"/>
      <c r="T100" s="702"/>
      <c r="U100" s="702"/>
      <c r="V100" s="716"/>
      <c r="W100" s="716"/>
      <c r="X100" s="716"/>
      <c r="Y100" s="702"/>
      <c r="Z100" s="702"/>
      <c r="AA100" s="702"/>
      <c r="AB100" s="702"/>
    </row>
    <row r="101" spans="9:28" x14ac:dyDescent="0.3">
      <c r="I101" s="702"/>
      <c r="J101" s="702"/>
      <c r="K101" s="702"/>
      <c r="L101" s="702"/>
      <c r="M101" s="702"/>
      <c r="N101" s="702"/>
      <c r="O101" s="702"/>
      <c r="P101" s="702"/>
      <c r="Q101" s="702"/>
      <c r="R101" s="702"/>
      <c r="S101" s="702"/>
      <c r="T101" s="702"/>
      <c r="U101" s="702"/>
      <c r="V101" s="716"/>
      <c r="W101" s="716"/>
      <c r="X101" s="716"/>
      <c r="Y101" s="702"/>
      <c r="Z101" s="702"/>
      <c r="AA101" s="702"/>
      <c r="AB101" s="702"/>
    </row>
    <row r="102" spans="9:28" x14ac:dyDescent="0.3">
      <c r="I102" s="702"/>
      <c r="J102" s="702"/>
      <c r="K102" s="702"/>
      <c r="L102" s="702"/>
      <c r="M102" s="702"/>
      <c r="N102" s="702"/>
      <c r="O102" s="702"/>
      <c r="P102" s="702"/>
      <c r="Q102" s="702"/>
      <c r="R102" s="702"/>
      <c r="S102" s="702"/>
      <c r="T102" s="702"/>
      <c r="U102" s="702"/>
      <c r="V102" s="716"/>
      <c r="W102" s="716"/>
      <c r="X102" s="716"/>
      <c r="Y102" s="702"/>
      <c r="Z102" s="702"/>
      <c r="AA102" s="702"/>
      <c r="AB102" s="702"/>
    </row>
    <row r="103" spans="9:28" x14ac:dyDescent="0.3">
      <c r="I103" s="702"/>
      <c r="J103" s="702"/>
      <c r="K103" s="702"/>
      <c r="L103" s="702"/>
      <c r="M103" s="702"/>
      <c r="N103" s="702"/>
      <c r="O103" s="702"/>
      <c r="P103" s="702"/>
      <c r="Q103" s="702"/>
      <c r="R103" s="702"/>
      <c r="S103" s="702"/>
      <c r="T103" s="702"/>
      <c r="U103" s="702"/>
      <c r="V103" s="716"/>
      <c r="W103" s="716"/>
      <c r="X103" s="716"/>
      <c r="Y103" s="702"/>
      <c r="Z103" s="702"/>
      <c r="AA103" s="702"/>
      <c r="AB103" s="702"/>
    </row>
    <row r="104" spans="9:28" x14ac:dyDescent="0.3">
      <c r="I104" s="702"/>
      <c r="J104" s="702"/>
      <c r="K104" s="702"/>
      <c r="L104" s="702"/>
      <c r="M104" s="702"/>
      <c r="N104" s="702"/>
      <c r="O104" s="702"/>
      <c r="P104" s="702"/>
      <c r="Q104" s="702"/>
      <c r="R104" s="702"/>
      <c r="S104" s="702"/>
      <c r="T104" s="702"/>
      <c r="U104" s="702"/>
      <c r="V104" s="716"/>
      <c r="W104" s="716"/>
      <c r="X104" s="716"/>
      <c r="Y104" s="702"/>
      <c r="Z104" s="702"/>
      <c r="AA104" s="702"/>
      <c r="AB104" s="702"/>
    </row>
    <row r="105" spans="9:28" x14ac:dyDescent="0.3">
      <c r="I105" s="702"/>
      <c r="J105" s="702"/>
      <c r="K105" s="702"/>
      <c r="L105" s="702"/>
      <c r="M105" s="702"/>
      <c r="N105" s="702"/>
      <c r="O105" s="702"/>
      <c r="P105" s="702"/>
      <c r="Q105" s="702"/>
      <c r="R105" s="702"/>
      <c r="S105" s="702"/>
      <c r="T105" s="702"/>
      <c r="U105" s="702"/>
      <c r="V105" s="716"/>
      <c r="W105" s="716"/>
      <c r="X105" s="716"/>
      <c r="Y105" s="702"/>
      <c r="Z105" s="702"/>
      <c r="AA105" s="702"/>
      <c r="AB105" s="702"/>
    </row>
    <row r="106" spans="9:28" x14ac:dyDescent="0.3">
      <c r="I106" s="702"/>
      <c r="J106" s="702"/>
      <c r="K106" s="702"/>
      <c r="L106" s="702"/>
      <c r="M106" s="702"/>
      <c r="N106" s="702"/>
      <c r="O106" s="702"/>
      <c r="P106" s="702"/>
      <c r="Q106" s="702"/>
      <c r="R106" s="702"/>
      <c r="S106" s="702"/>
      <c r="T106" s="702"/>
      <c r="U106" s="702"/>
      <c r="V106" s="716"/>
      <c r="W106" s="716"/>
      <c r="X106" s="716"/>
      <c r="Y106" s="702"/>
      <c r="Z106" s="702"/>
      <c r="AA106" s="702"/>
      <c r="AB106" s="702"/>
    </row>
    <row r="107" spans="9:28" x14ac:dyDescent="0.3">
      <c r="I107" s="702"/>
      <c r="J107" s="702"/>
      <c r="K107" s="702"/>
      <c r="L107" s="702"/>
      <c r="M107" s="702"/>
      <c r="N107" s="702"/>
      <c r="O107" s="702"/>
      <c r="P107" s="702"/>
      <c r="Q107" s="702"/>
      <c r="R107" s="702"/>
      <c r="S107" s="702"/>
      <c r="T107" s="702"/>
      <c r="U107" s="702"/>
      <c r="V107" s="716"/>
      <c r="W107" s="716"/>
      <c r="X107" s="716"/>
      <c r="Y107" s="702"/>
      <c r="Z107" s="702"/>
      <c r="AA107" s="702"/>
      <c r="AB107" s="702"/>
    </row>
    <row r="108" spans="9:28" x14ac:dyDescent="0.3">
      <c r="I108" s="702"/>
      <c r="J108" s="702"/>
      <c r="K108" s="702"/>
      <c r="L108" s="702"/>
      <c r="M108" s="702"/>
      <c r="N108" s="702"/>
      <c r="O108" s="702"/>
      <c r="P108" s="702"/>
      <c r="Q108" s="702"/>
      <c r="R108" s="702"/>
      <c r="S108" s="702"/>
      <c r="T108" s="702"/>
      <c r="U108" s="702"/>
      <c r="V108" s="716"/>
      <c r="W108" s="716"/>
      <c r="X108" s="716"/>
      <c r="Y108" s="702"/>
      <c r="Z108" s="702"/>
      <c r="AA108" s="702"/>
      <c r="AB108" s="702"/>
    </row>
    <row r="109" spans="9:28" x14ac:dyDescent="0.3">
      <c r="I109" s="702"/>
      <c r="J109" s="702"/>
      <c r="K109" s="702"/>
      <c r="L109" s="702"/>
      <c r="M109" s="702"/>
      <c r="N109" s="702"/>
      <c r="O109" s="702"/>
      <c r="P109" s="702"/>
      <c r="Q109" s="702"/>
      <c r="R109" s="702"/>
      <c r="S109" s="702"/>
      <c r="T109" s="702"/>
      <c r="U109" s="702"/>
      <c r="V109" s="716"/>
      <c r="W109" s="716"/>
      <c r="X109" s="716"/>
      <c r="Y109" s="702"/>
      <c r="Z109" s="702"/>
      <c r="AA109" s="702"/>
      <c r="AB109" s="702"/>
    </row>
    <row r="110" spans="9:28" x14ac:dyDescent="0.3">
      <c r="I110" s="702"/>
      <c r="J110" s="702"/>
      <c r="K110" s="702"/>
      <c r="L110" s="702"/>
      <c r="M110" s="702"/>
      <c r="N110" s="702"/>
      <c r="O110" s="702"/>
      <c r="P110" s="702"/>
      <c r="Q110" s="702"/>
      <c r="R110" s="702"/>
      <c r="S110" s="702"/>
      <c r="T110" s="702"/>
      <c r="U110" s="702"/>
      <c r="V110" s="716"/>
      <c r="W110" s="716"/>
      <c r="X110" s="716"/>
      <c r="Y110" s="702"/>
      <c r="Z110" s="702"/>
      <c r="AA110" s="702"/>
      <c r="AB110" s="702"/>
    </row>
    <row r="111" spans="9:28" x14ac:dyDescent="0.3">
      <c r="I111" s="702"/>
      <c r="J111" s="702"/>
      <c r="K111" s="702"/>
      <c r="L111" s="702"/>
      <c r="M111" s="702"/>
      <c r="N111" s="702"/>
      <c r="O111" s="702"/>
      <c r="P111" s="702"/>
      <c r="Q111" s="702"/>
      <c r="R111" s="702"/>
      <c r="S111" s="702"/>
      <c r="T111" s="702"/>
      <c r="U111" s="702"/>
      <c r="V111" s="716"/>
      <c r="W111" s="716"/>
      <c r="X111" s="716"/>
      <c r="Y111" s="702"/>
      <c r="Z111" s="702"/>
      <c r="AA111" s="702"/>
      <c r="AB111" s="702"/>
    </row>
    <row r="112" spans="9:28" x14ac:dyDescent="0.3">
      <c r="I112" s="702"/>
      <c r="J112" s="702"/>
      <c r="K112" s="702"/>
      <c r="L112" s="702"/>
      <c r="M112" s="702"/>
      <c r="N112" s="702"/>
      <c r="O112" s="702"/>
      <c r="P112" s="702"/>
      <c r="Q112" s="702"/>
      <c r="R112" s="702"/>
      <c r="S112" s="702"/>
      <c r="T112" s="702"/>
      <c r="U112" s="702"/>
      <c r="V112" s="716"/>
      <c r="W112" s="716"/>
      <c r="X112" s="716"/>
      <c r="Y112" s="702"/>
      <c r="Z112" s="702"/>
      <c r="AA112" s="702"/>
      <c r="AB112" s="702"/>
    </row>
    <row r="113" spans="9:28" x14ac:dyDescent="0.3">
      <c r="I113" s="702"/>
      <c r="J113" s="702"/>
      <c r="K113" s="702"/>
      <c r="L113" s="702"/>
      <c r="M113" s="702"/>
      <c r="N113" s="702"/>
      <c r="O113" s="702"/>
      <c r="P113" s="702"/>
      <c r="Q113" s="702"/>
      <c r="R113" s="702"/>
      <c r="S113" s="702"/>
      <c r="T113" s="702"/>
      <c r="U113" s="702"/>
      <c r="V113" s="716"/>
      <c r="W113" s="716"/>
      <c r="X113" s="716"/>
      <c r="Y113" s="702"/>
      <c r="Z113" s="702"/>
      <c r="AA113" s="702"/>
      <c r="AB113" s="702"/>
    </row>
    <row r="114" spans="9:28" x14ac:dyDescent="0.3">
      <c r="I114" s="702"/>
      <c r="J114" s="702"/>
      <c r="K114" s="702"/>
      <c r="L114" s="702"/>
      <c r="M114" s="702"/>
      <c r="N114" s="702"/>
      <c r="O114" s="702"/>
      <c r="P114" s="702"/>
      <c r="Q114" s="702"/>
      <c r="R114" s="702"/>
      <c r="S114" s="702"/>
      <c r="T114" s="702"/>
      <c r="U114" s="702"/>
      <c r="V114" s="716"/>
      <c r="W114" s="716"/>
      <c r="X114" s="716"/>
      <c r="Y114" s="702"/>
      <c r="Z114" s="702"/>
      <c r="AA114" s="702"/>
      <c r="AB114" s="702"/>
    </row>
    <row r="115" spans="9:28" x14ac:dyDescent="0.3">
      <c r="I115" s="702"/>
      <c r="J115" s="702"/>
      <c r="K115" s="702"/>
      <c r="L115" s="702"/>
      <c r="M115" s="702"/>
      <c r="N115" s="702"/>
      <c r="O115" s="702"/>
      <c r="P115" s="702"/>
      <c r="Q115" s="702"/>
      <c r="R115" s="702"/>
      <c r="S115" s="702"/>
      <c r="T115" s="702"/>
      <c r="U115" s="702"/>
      <c r="V115" s="716"/>
      <c r="W115" s="716"/>
      <c r="X115" s="716"/>
      <c r="Y115" s="702"/>
      <c r="Z115" s="702"/>
      <c r="AA115" s="702"/>
      <c r="AB115" s="702"/>
    </row>
    <row r="116" spans="9:28" x14ac:dyDescent="0.3">
      <c r="I116" s="702"/>
      <c r="J116" s="702"/>
      <c r="K116" s="702"/>
      <c r="L116" s="702"/>
      <c r="M116" s="702"/>
      <c r="N116" s="702"/>
      <c r="O116" s="702"/>
      <c r="P116" s="702"/>
      <c r="Q116" s="702"/>
      <c r="R116" s="702"/>
      <c r="S116" s="702"/>
      <c r="T116" s="702"/>
      <c r="U116" s="702"/>
      <c r="V116" s="716"/>
      <c r="W116" s="716"/>
      <c r="X116" s="716"/>
      <c r="Y116" s="702"/>
      <c r="Z116" s="702"/>
      <c r="AA116" s="702"/>
      <c r="AB116" s="702"/>
    </row>
    <row r="117" spans="9:28" x14ac:dyDescent="0.3">
      <c r="I117" s="702"/>
      <c r="J117" s="702"/>
      <c r="K117" s="702"/>
      <c r="L117" s="702"/>
      <c r="M117" s="702"/>
      <c r="N117" s="702"/>
      <c r="O117" s="702"/>
      <c r="P117" s="702"/>
      <c r="Q117" s="702"/>
      <c r="R117" s="702"/>
      <c r="S117" s="702"/>
      <c r="T117" s="702"/>
      <c r="U117" s="702"/>
      <c r="V117" s="716"/>
      <c r="W117" s="716"/>
      <c r="X117" s="716"/>
      <c r="Y117" s="702"/>
      <c r="Z117" s="702"/>
      <c r="AA117" s="702"/>
      <c r="AB117" s="702"/>
    </row>
    <row r="118" spans="9:28" x14ac:dyDescent="0.3">
      <c r="I118" s="702"/>
      <c r="J118" s="702"/>
      <c r="K118" s="702"/>
      <c r="L118" s="702"/>
      <c r="M118" s="702"/>
      <c r="N118" s="702"/>
      <c r="O118" s="702"/>
      <c r="P118" s="702"/>
      <c r="Q118" s="702"/>
      <c r="R118" s="702"/>
      <c r="S118" s="702"/>
      <c r="T118" s="702"/>
      <c r="U118" s="702"/>
      <c r="V118" s="716"/>
      <c r="W118" s="716"/>
      <c r="X118" s="716"/>
      <c r="Y118" s="702"/>
      <c r="Z118" s="702"/>
      <c r="AA118" s="702"/>
      <c r="AB118" s="702"/>
    </row>
    <row r="119" spans="9:28" x14ac:dyDescent="0.3">
      <c r="I119" s="702"/>
      <c r="J119" s="702"/>
      <c r="K119" s="702"/>
      <c r="L119" s="702"/>
      <c r="M119" s="702"/>
      <c r="N119" s="702"/>
      <c r="O119" s="702"/>
      <c r="P119" s="702"/>
      <c r="Q119" s="702"/>
      <c r="R119" s="702"/>
      <c r="S119" s="702"/>
      <c r="T119" s="702"/>
      <c r="U119" s="702"/>
      <c r="V119" s="716"/>
      <c r="W119" s="716"/>
      <c r="X119" s="716"/>
      <c r="Y119" s="702"/>
      <c r="Z119" s="702"/>
      <c r="AA119" s="702"/>
      <c r="AB119" s="702"/>
    </row>
    <row r="120" spans="9:28" x14ac:dyDescent="0.3">
      <c r="I120" s="702"/>
      <c r="J120" s="702"/>
      <c r="K120" s="702"/>
      <c r="L120" s="702"/>
      <c r="M120" s="702"/>
      <c r="N120" s="702"/>
      <c r="O120" s="702"/>
      <c r="P120" s="702"/>
      <c r="Q120" s="702"/>
      <c r="R120" s="702"/>
      <c r="S120" s="702"/>
      <c r="T120" s="702"/>
      <c r="U120" s="702"/>
      <c r="V120" s="716"/>
      <c r="W120" s="716"/>
      <c r="X120" s="716"/>
      <c r="Y120" s="702"/>
      <c r="Z120" s="702"/>
      <c r="AA120" s="702"/>
      <c r="AB120" s="702"/>
    </row>
    <row r="121" spans="9:28" x14ac:dyDescent="0.3">
      <c r="I121" s="702"/>
      <c r="J121" s="702"/>
      <c r="K121" s="702"/>
      <c r="L121" s="702"/>
      <c r="M121" s="702"/>
      <c r="N121" s="702"/>
      <c r="O121" s="702"/>
      <c r="P121" s="702"/>
      <c r="Q121" s="702"/>
      <c r="R121" s="702"/>
      <c r="S121" s="702"/>
      <c r="T121" s="702"/>
      <c r="U121" s="702"/>
      <c r="V121" s="716"/>
      <c r="W121" s="716"/>
      <c r="X121" s="716"/>
      <c r="Y121" s="702"/>
      <c r="Z121" s="702"/>
      <c r="AA121" s="702"/>
      <c r="AB121" s="702"/>
    </row>
    <row r="122" spans="9:28" x14ac:dyDescent="0.3">
      <c r="I122" s="702"/>
      <c r="J122" s="702"/>
      <c r="K122" s="702"/>
      <c r="L122" s="702"/>
      <c r="M122" s="702"/>
      <c r="N122" s="702"/>
      <c r="O122" s="702"/>
      <c r="P122" s="702"/>
      <c r="Q122" s="702"/>
      <c r="R122" s="702"/>
      <c r="S122" s="702"/>
      <c r="T122" s="702"/>
      <c r="U122" s="702"/>
      <c r="V122" s="716"/>
      <c r="W122" s="716"/>
      <c r="X122" s="716"/>
      <c r="Y122" s="702"/>
      <c r="Z122" s="702"/>
      <c r="AA122" s="702"/>
      <c r="AB122" s="702"/>
    </row>
    <row r="123" spans="9:28" x14ac:dyDescent="0.3">
      <c r="I123" s="702"/>
      <c r="J123" s="702"/>
      <c r="K123" s="702"/>
      <c r="L123" s="702"/>
      <c r="M123" s="702"/>
      <c r="N123" s="702"/>
      <c r="O123" s="702"/>
      <c r="P123" s="702"/>
      <c r="Q123" s="702"/>
      <c r="R123" s="702"/>
      <c r="S123" s="702"/>
      <c r="T123" s="702"/>
      <c r="U123" s="702"/>
      <c r="V123" s="716"/>
      <c r="W123" s="716"/>
      <c r="X123" s="716"/>
      <c r="Y123" s="702"/>
      <c r="Z123" s="702"/>
      <c r="AA123" s="702"/>
      <c r="AB123" s="702"/>
    </row>
    <row r="124" spans="9:28" x14ac:dyDescent="0.3">
      <c r="I124" s="702"/>
      <c r="J124" s="702"/>
      <c r="K124" s="702"/>
      <c r="L124" s="702"/>
      <c r="M124" s="702"/>
      <c r="N124" s="702"/>
      <c r="O124" s="702"/>
      <c r="P124" s="702"/>
      <c r="Q124" s="702"/>
      <c r="R124" s="702"/>
      <c r="S124" s="702"/>
      <c r="T124" s="702"/>
      <c r="U124" s="702"/>
      <c r="V124" s="716"/>
      <c r="W124" s="716"/>
      <c r="X124" s="716"/>
      <c r="Y124" s="702"/>
      <c r="Z124" s="702"/>
      <c r="AA124" s="702"/>
      <c r="AB124" s="702"/>
    </row>
    <row r="125" spans="9:28" x14ac:dyDescent="0.3">
      <c r="I125" s="702"/>
      <c r="J125" s="702"/>
      <c r="K125" s="702"/>
      <c r="L125" s="702"/>
      <c r="M125" s="702"/>
      <c r="N125" s="702"/>
      <c r="O125" s="702"/>
      <c r="P125" s="702"/>
      <c r="Q125" s="702"/>
      <c r="R125" s="702"/>
      <c r="S125" s="702"/>
      <c r="T125" s="702"/>
      <c r="U125" s="702"/>
      <c r="V125" s="716"/>
      <c r="W125" s="716"/>
      <c r="X125" s="716"/>
      <c r="Y125" s="702"/>
      <c r="Z125" s="702"/>
      <c r="AA125" s="702"/>
      <c r="AB125" s="702"/>
    </row>
    <row r="126" spans="9:28" x14ac:dyDescent="0.3">
      <c r="I126" s="702"/>
      <c r="J126" s="702"/>
      <c r="K126" s="702"/>
      <c r="L126" s="702"/>
      <c r="M126" s="702"/>
      <c r="N126" s="702"/>
      <c r="O126" s="702"/>
      <c r="P126" s="702"/>
      <c r="Q126" s="702"/>
      <c r="R126" s="702"/>
      <c r="S126" s="702"/>
      <c r="T126" s="702"/>
      <c r="U126" s="702"/>
      <c r="V126" s="716"/>
      <c r="W126" s="716"/>
      <c r="X126" s="716"/>
      <c r="Y126" s="702"/>
      <c r="Z126" s="702"/>
      <c r="AA126" s="702"/>
      <c r="AB126" s="702"/>
    </row>
    <row r="127" spans="9:28" x14ac:dyDescent="0.3">
      <c r="I127" s="702"/>
      <c r="J127" s="702"/>
      <c r="K127" s="702"/>
      <c r="L127" s="702"/>
      <c r="M127" s="702"/>
      <c r="N127" s="702"/>
      <c r="O127" s="702"/>
      <c r="P127" s="702"/>
      <c r="Q127" s="702"/>
      <c r="R127" s="702"/>
      <c r="S127" s="702"/>
      <c r="T127" s="702"/>
      <c r="U127" s="702"/>
      <c r="V127" s="716"/>
      <c r="W127" s="716"/>
      <c r="X127" s="716"/>
      <c r="Y127" s="702"/>
      <c r="Z127" s="702"/>
      <c r="AA127" s="702"/>
      <c r="AB127" s="702"/>
    </row>
    <row r="128" spans="9:28" x14ac:dyDescent="0.3">
      <c r="I128" s="702"/>
      <c r="J128" s="702"/>
      <c r="K128" s="702"/>
      <c r="L128" s="702"/>
      <c r="M128" s="702"/>
      <c r="N128" s="702"/>
      <c r="O128" s="702"/>
      <c r="P128" s="702"/>
      <c r="Q128" s="702"/>
      <c r="R128" s="702"/>
      <c r="S128" s="702"/>
      <c r="T128" s="702"/>
      <c r="U128" s="702"/>
      <c r="V128" s="716"/>
      <c r="W128" s="716"/>
      <c r="X128" s="716"/>
      <c r="Y128" s="702"/>
      <c r="Z128" s="702"/>
      <c r="AA128" s="702"/>
      <c r="AB128" s="702"/>
    </row>
    <row r="129" spans="9:28" x14ac:dyDescent="0.3">
      <c r="I129" s="702"/>
      <c r="J129" s="702"/>
      <c r="K129" s="702"/>
      <c r="L129" s="702"/>
      <c r="M129" s="702"/>
      <c r="N129" s="702"/>
      <c r="O129" s="702"/>
      <c r="P129" s="702"/>
      <c r="Q129" s="702"/>
      <c r="R129" s="702"/>
      <c r="S129" s="702"/>
      <c r="T129" s="702"/>
      <c r="U129" s="702"/>
      <c r="V129" s="716"/>
      <c r="W129" s="716"/>
      <c r="X129" s="716"/>
      <c r="Y129" s="702"/>
      <c r="Z129" s="702"/>
      <c r="AA129" s="702"/>
      <c r="AB129" s="702"/>
    </row>
    <row r="130" spans="9:28" x14ac:dyDescent="0.3">
      <c r="I130" s="702"/>
      <c r="J130" s="702"/>
      <c r="K130" s="702"/>
      <c r="L130" s="702"/>
      <c r="M130" s="702"/>
      <c r="N130" s="702"/>
      <c r="O130" s="702"/>
      <c r="P130" s="702"/>
      <c r="Q130" s="702"/>
      <c r="R130" s="702"/>
      <c r="S130" s="702"/>
      <c r="T130" s="702"/>
      <c r="U130" s="702"/>
      <c r="V130" s="716"/>
      <c r="W130" s="716"/>
      <c r="X130" s="716"/>
      <c r="Y130" s="702"/>
      <c r="Z130" s="702"/>
      <c r="AA130" s="702"/>
      <c r="AB130" s="702"/>
    </row>
    <row r="131" spans="9:28" x14ac:dyDescent="0.3">
      <c r="I131" s="702"/>
      <c r="J131" s="702"/>
      <c r="K131" s="702"/>
      <c r="L131" s="702"/>
      <c r="M131" s="702"/>
      <c r="N131" s="702"/>
      <c r="O131" s="702"/>
      <c r="P131" s="702"/>
      <c r="Q131" s="702"/>
      <c r="R131" s="702"/>
      <c r="S131" s="702"/>
      <c r="T131" s="702"/>
      <c r="U131" s="702"/>
      <c r="V131" s="716"/>
      <c r="W131" s="716"/>
      <c r="X131" s="716"/>
      <c r="Y131" s="702"/>
      <c r="Z131" s="702"/>
      <c r="AA131" s="702"/>
      <c r="AB131" s="702"/>
    </row>
    <row r="132" spans="9:28" x14ac:dyDescent="0.3">
      <c r="I132" s="702"/>
      <c r="J132" s="702"/>
      <c r="K132" s="702"/>
      <c r="L132" s="702"/>
      <c r="M132" s="702"/>
      <c r="N132" s="702"/>
      <c r="O132" s="702"/>
      <c r="P132" s="702"/>
      <c r="Q132" s="702"/>
      <c r="R132" s="702"/>
      <c r="S132" s="702"/>
      <c r="T132" s="702"/>
      <c r="U132" s="702"/>
      <c r="V132" s="716"/>
      <c r="W132" s="716"/>
      <c r="X132" s="716"/>
      <c r="Y132" s="702"/>
      <c r="Z132" s="702"/>
      <c r="AA132" s="702"/>
      <c r="AB132" s="702"/>
    </row>
    <row r="133" spans="9:28" x14ac:dyDescent="0.3">
      <c r="I133" s="702"/>
      <c r="J133" s="702"/>
      <c r="K133" s="702"/>
      <c r="L133" s="702"/>
      <c r="M133" s="702"/>
      <c r="N133" s="702"/>
      <c r="O133" s="702"/>
      <c r="P133" s="702"/>
      <c r="Q133" s="702"/>
      <c r="R133" s="702"/>
      <c r="S133" s="702"/>
      <c r="T133" s="702"/>
      <c r="U133" s="702"/>
      <c r="V133" s="716"/>
      <c r="W133" s="716"/>
      <c r="X133" s="716"/>
      <c r="Y133" s="702"/>
      <c r="Z133" s="702"/>
      <c r="AA133" s="702"/>
      <c r="AB133" s="702"/>
    </row>
    <row r="134" spans="9:28" x14ac:dyDescent="0.3">
      <c r="I134" s="702"/>
      <c r="J134" s="702"/>
      <c r="K134" s="702"/>
      <c r="L134" s="702"/>
      <c r="M134" s="702"/>
      <c r="N134" s="702"/>
      <c r="O134" s="702"/>
      <c r="P134" s="702"/>
      <c r="Q134" s="702"/>
      <c r="R134" s="702"/>
      <c r="S134" s="702"/>
      <c r="T134" s="702"/>
      <c r="U134" s="702"/>
      <c r="V134" s="716"/>
      <c r="W134" s="716"/>
      <c r="X134" s="716"/>
      <c r="Y134" s="702"/>
      <c r="Z134" s="702"/>
      <c r="AA134" s="702"/>
      <c r="AB134" s="702"/>
    </row>
    <row r="135" spans="9:28" x14ac:dyDescent="0.3">
      <c r="I135" s="702"/>
      <c r="J135" s="702"/>
      <c r="K135" s="702"/>
      <c r="L135" s="702"/>
      <c r="M135" s="702"/>
      <c r="N135" s="702"/>
      <c r="O135" s="702"/>
      <c r="P135" s="702"/>
      <c r="Q135" s="702"/>
      <c r="R135" s="702"/>
      <c r="S135" s="702"/>
      <c r="T135" s="702"/>
      <c r="U135" s="702"/>
      <c r="V135" s="716"/>
      <c r="W135" s="716"/>
      <c r="X135" s="716"/>
      <c r="Y135" s="702"/>
      <c r="Z135" s="702"/>
      <c r="AA135" s="702"/>
      <c r="AB135" s="702"/>
    </row>
    <row r="136" spans="9:28" x14ac:dyDescent="0.3">
      <c r="I136" s="702"/>
      <c r="J136" s="702"/>
      <c r="K136" s="702"/>
      <c r="L136" s="702"/>
      <c r="M136" s="702"/>
      <c r="N136" s="702"/>
      <c r="O136" s="702"/>
      <c r="P136" s="702"/>
      <c r="Q136" s="702"/>
      <c r="R136" s="702"/>
      <c r="S136" s="702"/>
      <c r="T136" s="702"/>
      <c r="U136" s="702"/>
      <c r="V136" s="716"/>
      <c r="W136" s="716"/>
      <c r="X136" s="716"/>
      <c r="Y136" s="702"/>
      <c r="Z136" s="702"/>
      <c r="AA136" s="702"/>
      <c r="AB136" s="702"/>
    </row>
    <row r="137" spans="9:28" x14ac:dyDescent="0.3">
      <c r="I137" s="702"/>
      <c r="J137" s="702"/>
      <c r="K137" s="702"/>
      <c r="L137" s="702"/>
      <c r="M137" s="702"/>
      <c r="N137" s="702"/>
      <c r="O137" s="702"/>
      <c r="P137" s="702"/>
      <c r="Q137" s="702"/>
      <c r="R137" s="702"/>
      <c r="S137" s="702"/>
      <c r="T137" s="702"/>
      <c r="U137" s="702"/>
      <c r="V137" s="716"/>
      <c r="W137" s="716"/>
      <c r="X137" s="716"/>
      <c r="Y137" s="702"/>
      <c r="Z137" s="702"/>
      <c r="AA137" s="702"/>
      <c r="AB137" s="702"/>
    </row>
    <row r="138" spans="9:28" x14ac:dyDescent="0.3">
      <c r="I138" s="702"/>
      <c r="J138" s="702"/>
      <c r="K138" s="702"/>
      <c r="L138" s="702"/>
      <c r="M138" s="702"/>
      <c r="N138" s="702"/>
      <c r="O138" s="702"/>
      <c r="P138" s="702"/>
      <c r="Q138" s="702"/>
      <c r="R138" s="702"/>
      <c r="S138" s="702"/>
      <c r="T138" s="702"/>
      <c r="U138" s="702"/>
      <c r="V138" s="716"/>
      <c r="W138" s="716"/>
      <c r="X138" s="716"/>
      <c r="Y138" s="702"/>
      <c r="Z138" s="702"/>
      <c r="AA138" s="702"/>
      <c r="AB138" s="702"/>
    </row>
    <row r="139" spans="9:28" x14ac:dyDescent="0.3">
      <c r="I139" s="702"/>
      <c r="J139" s="702"/>
      <c r="K139" s="702"/>
      <c r="L139" s="702"/>
      <c r="M139" s="702"/>
      <c r="N139" s="702"/>
      <c r="O139" s="702"/>
      <c r="P139" s="702"/>
      <c r="Q139" s="702"/>
      <c r="R139" s="702"/>
      <c r="S139" s="702"/>
      <c r="T139" s="702"/>
      <c r="U139" s="702"/>
      <c r="V139" s="716"/>
      <c r="W139" s="716"/>
      <c r="X139" s="716"/>
      <c r="Y139" s="702"/>
      <c r="Z139" s="702"/>
      <c r="AA139" s="702"/>
      <c r="AB139" s="702"/>
    </row>
    <row r="140" spans="9:28" x14ac:dyDescent="0.3">
      <c r="I140" s="702"/>
      <c r="J140" s="702"/>
      <c r="K140" s="702"/>
      <c r="L140" s="702"/>
      <c r="M140" s="702"/>
      <c r="N140" s="702"/>
      <c r="O140" s="702"/>
      <c r="P140" s="702"/>
      <c r="Q140" s="702"/>
      <c r="R140" s="702"/>
      <c r="S140" s="702"/>
      <c r="T140" s="702"/>
      <c r="U140" s="702"/>
      <c r="V140" s="716"/>
      <c r="W140" s="716"/>
      <c r="X140" s="716"/>
      <c r="Y140" s="702"/>
      <c r="Z140" s="702"/>
      <c r="AA140" s="702"/>
      <c r="AB140" s="702"/>
    </row>
    <row r="141" spans="9:28" x14ac:dyDescent="0.3">
      <c r="I141" s="702"/>
      <c r="J141" s="702"/>
      <c r="K141" s="702"/>
      <c r="L141" s="702"/>
      <c r="M141" s="702"/>
      <c r="N141" s="702"/>
      <c r="O141" s="702"/>
      <c r="P141" s="702"/>
      <c r="Q141" s="702"/>
      <c r="R141" s="702"/>
      <c r="S141" s="702"/>
      <c r="T141" s="702"/>
      <c r="U141" s="702"/>
      <c r="V141" s="716"/>
      <c r="W141" s="716"/>
      <c r="X141" s="716"/>
      <c r="Y141" s="702"/>
      <c r="Z141" s="702"/>
      <c r="AA141" s="702"/>
      <c r="AB141" s="702"/>
    </row>
    <row r="142" spans="9:28" x14ac:dyDescent="0.3">
      <c r="I142" s="702"/>
      <c r="J142" s="702"/>
      <c r="K142" s="702"/>
      <c r="L142" s="702"/>
      <c r="M142" s="702"/>
      <c r="N142" s="702"/>
      <c r="O142" s="702"/>
      <c r="P142" s="702"/>
      <c r="Q142" s="702"/>
      <c r="R142" s="702"/>
      <c r="S142" s="702"/>
      <c r="T142" s="702"/>
      <c r="U142" s="702"/>
      <c r="V142" s="716"/>
      <c r="W142" s="716"/>
      <c r="X142" s="716"/>
      <c r="Y142" s="702"/>
      <c r="Z142" s="702"/>
      <c r="AA142" s="702"/>
      <c r="AB142" s="702"/>
    </row>
    <row r="143" spans="9:28" x14ac:dyDescent="0.3">
      <c r="I143" s="702"/>
      <c r="J143" s="702"/>
      <c r="K143" s="702"/>
      <c r="L143" s="702"/>
      <c r="M143" s="702"/>
      <c r="N143" s="702"/>
      <c r="O143" s="702"/>
      <c r="P143" s="702"/>
      <c r="Q143" s="702"/>
      <c r="R143" s="702"/>
      <c r="S143" s="702"/>
      <c r="T143" s="702"/>
      <c r="U143" s="702"/>
      <c r="V143" s="716"/>
      <c r="W143" s="716"/>
      <c r="X143" s="716"/>
      <c r="Y143" s="702"/>
      <c r="Z143" s="702"/>
      <c r="AA143" s="702"/>
      <c r="AB143" s="702"/>
    </row>
    <row r="144" spans="9:28" x14ac:dyDescent="0.3">
      <c r="I144" s="702"/>
      <c r="J144" s="702"/>
      <c r="K144" s="702"/>
      <c r="L144" s="702"/>
      <c r="M144" s="702"/>
      <c r="N144" s="702"/>
      <c r="O144" s="702"/>
      <c r="P144" s="702"/>
      <c r="Q144" s="702"/>
      <c r="R144" s="702"/>
      <c r="S144" s="702"/>
      <c r="T144" s="702"/>
      <c r="U144" s="702"/>
      <c r="V144" s="716"/>
      <c r="W144" s="716"/>
      <c r="X144" s="716"/>
      <c r="Y144" s="702"/>
      <c r="Z144" s="702"/>
      <c r="AA144" s="702"/>
      <c r="AB144" s="702"/>
    </row>
    <row r="145" spans="9:28" x14ac:dyDescent="0.3">
      <c r="I145" s="702"/>
      <c r="J145" s="702"/>
      <c r="K145" s="702"/>
      <c r="L145" s="702"/>
      <c r="M145" s="702"/>
      <c r="N145" s="702"/>
      <c r="O145" s="702"/>
      <c r="P145" s="702"/>
      <c r="Q145" s="702"/>
      <c r="R145" s="702"/>
      <c r="S145" s="702"/>
      <c r="T145" s="702"/>
      <c r="U145" s="702"/>
      <c r="V145" s="716"/>
      <c r="W145" s="716"/>
      <c r="X145" s="716"/>
      <c r="Y145" s="702"/>
      <c r="Z145" s="702"/>
      <c r="AA145" s="702"/>
      <c r="AB145" s="702"/>
    </row>
    <row r="146" spans="9:28" x14ac:dyDescent="0.3">
      <c r="I146" s="702"/>
      <c r="J146" s="702"/>
      <c r="K146" s="702"/>
      <c r="L146" s="702"/>
      <c r="M146" s="702"/>
      <c r="N146" s="702"/>
      <c r="O146" s="702"/>
      <c r="P146" s="702"/>
      <c r="Q146" s="702"/>
      <c r="R146" s="702"/>
      <c r="S146" s="702"/>
      <c r="T146" s="702"/>
      <c r="U146" s="702"/>
      <c r="V146" s="716"/>
      <c r="W146" s="716"/>
      <c r="X146" s="716"/>
      <c r="Y146" s="702"/>
      <c r="Z146" s="702"/>
      <c r="AA146" s="702"/>
      <c r="AB146" s="702"/>
    </row>
    <row r="147" spans="9:28" x14ac:dyDescent="0.3">
      <c r="I147" s="702"/>
      <c r="J147" s="702"/>
      <c r="K147" s="702"/>
      <c r="L147" s="702"/>
      <c r="M147" s="702"/>
      <c r="N147" s="702"/>
      <c r="O147" s="702"/>
      <c r="P147" s="702"/>
      <c r="Q147" s="702"/>
      <c r="R147" s="702"/>
      <c r="S147" s="702"/>
      <c r="T147" s="702"/>
      <c r="U147" s="702"/>
      <c r="V147" s="716"/>
      <c r="W147" s="716"/>
      <c r="X147" s="716"/>
      <c r="Y147" s="702"/>
      <c r="Z147" s="702"/>
      <c r="AA147" s="702"/>
      <c r="AB147" s="702"/>
    </row>
    <row r="148" spans="9:28" x14ac:dyDescent="0.3">
      <c r="I148" s="702"/>
      <c r="J148" s="702"/>
      <c r="K148" s="702"/>
      <c r="L148" s="702"/>
      <c r="M148" s="702"/>
      <c r="N148" s="702"/>
      <c r="O148" s="702"/>
      <c r="P148" s="702"/>
      <c r="Q148" s="702"/>
      <c r="R148" s="702"/>
      <c r="S148" s="702"/>
      <c r="T148" s="702"/>
      <c r="U148" s="702"/>
      <c r="V148" s="716"/>
      <c r="W148" s="716"/>
      <c r="X148" s="716"/>
      <c r="Y148" s="702"/>
      <c r="Z148" s="702"/>
      <c r="AA148" s="702"/>
      <c r="AB148" s="702"/>
    </row>
    <row r="149" spans="9:28" x14ac:dyDescent="0.3">
      <c r="I149" s="702"/>
      <c r="J149" s="702"/>
      <c r="K149" s="702"/>
      <c r="L149" s="702"/>
      <c r="M149" s="702"/>
      <c r="N149" s="702"/>
      <c r="O149" s="702"/>
      <c r="P149" s="702"/>
      <c r="Q149" s="702"/>
      <c r="R149" s="702"/>
      <c r="S149" s="702"/>
      <c r="T149" s="702"/>
      <c r="U149" s="702"/>
      <c r="V149" s="716"/>
      <c r="W149" s="716"/>
      <c r="X149" s="716"/>
      <c r="Y149" s="702"/>
      <c r="Z149" s="702"/>
      <c r="AA149" s="702"/>
      <c r="AB149" s="702"/>
    </row>
    <row r="150" spans="9:28" x14ac:dyDescent="0.3">
      <c r="I150" s="702"/>
      <c r="J150" s="702"/>
      <c r="K150" s="702"/>
      <c r="L150" s="702"/>
      <c r="M150" s="702"/>
      <c r="N150" s="702"/>
      <c r="O150" s="702"/>
      <c r="P150" s="702"/>
      <c r="Q150" s="702"/>
      <c r="R150" s="702"/>
      <c r="S150" s="702"/>
      <c r="T150" s="702"/>
      <c r="U150" s="702"/>
      <c r="V150" s="716"/>
      <c r="W150" s="716"/>
      <c r="X150" s="716"/>
      <c r="Y150" s="702"/>
      <c r="Z150" s="702"/>
      <c r="AA150" s="702"/>
      <c r="AB150" s="702"/>
    </row>
    <row r="151" spans="9:28" x14ac:dyDescent="0.3">
      <c r="I151" s="702"/>
      <c r="J151" s="702"/>
      <c r="K151" s="702"/>
      <c r="L151" s="702"/>
      <c r="M151" s="702"/>
      <c r="N151" s="702"/>
      <c r="O151" s="702"/>
      <c r="P151" s="702"/>
      <c r="Q151" s="702"/>
      <c r="R151" s="702"/>
      <c r="S151" s="702"/>
      <c r="T151" s="702"/>
      <c r="U151" s="702"/>
      <c r="V151" s="716"/>
      <c r="W151" s="716"/>
      <c r="X151" s="716"/>
      <c r="Y151" s="702"/>
      <c r="Z151" s="702"/>
      <c r="AA151" s="702"/>
      <c r="AB151" s="702"/>
    </row>
    <row r="152" spans="9:28" x14ac:dyDescent="0.3">
      <c r="I152" s="702"/>
      <c r="J152" s="702"/>
      <c r="K152" s="702"/>
      <c r="L152" s="702"/>
      <c r="M152" s="702"/>
      <c r="N152" s="702"/>
      <c r="O152" s="702"/>
      <c r="P152" s="702"/>
      <c r="Q152" s="702"/>
      <c r="R152" s="702"/>
      <c r="S152" s="702"/>
      <c r="T152" s="702"/>
      <c r="U152" s="702"/>
      <c r="V152" s="716"/>
      <c r="W152" s="716"/>
      <c r="X152" s="716"/>
      <c r="Y152" s="702"/>
      <c r="Z152" s="702"/>
      <c r="AA152" s="702"/>
      <c r="AB152" s="702"/>
    </row>
    <row r="153" spans="9:28" x14ac:dyDescent="0.3">
      <c r="I153" s="702"/>
      <c r="J153" s="702"/>
      <c r="K153" s="702"/>
      <c r="L153" s="702"/>
      <c r="M153" s="702"/>
      <c r="N153" s="702"/>
      <c r="O153" s="702"/>
      <c r="P153" s="702"/>
      <c r="Q153" s="702"/>
      <c r="R153" s="702"/>
      <c r="S153" s="702"/>
      <c r="T153" s="702"/>
      <c r="U153" s="702"/>
      <c r="V153" s="716"/>
      <c r="W153" s="716"/>
      <c r="X153" s="716"/>
      <c r="Y153" s="702"/>
      <c r="Z153" s="702"/>
      <c r="AA153" s="702"/>
      <c r="AB153" s="702"/>
    </row>
    <row r="154" spans="9:28" x14ac:dyDescent="0.3">
      <c r="I154" s="702"/>
      <c r="J154" s="702"/>
      <c r="K154" s="702"/>
      <c r="L154" s="702"/>
      <c r="M154" s="702"/>
      <c r="N154" s="702"/>
      <c r="O154" s="702"/>
      <c r="P154" s="702"/>
      <c r="Q154" s="702"/>
      <c r="R154" s="702"/>
      <c r="S154" s="702"/>
      <c r="T154" s="702"/>
      <c r="U154" s="702"/>
      <c r="V154" s="716"/>
      <c r="W154" s="716"/>
      <c r="X154" s="716"/>
      <c r="Y154" s="702"/>
      <c r="Z154" s="702"/>
      <c r="AA154" s="702"/>
      <c r="AB154" s="702"/>
    </row>
    <row r="155" spans="9:28" x14ac:dyDescent="0.3">
      <c r="I155" s="702"/>
      <c r="J155" s="702"/>
      <c r="K155" s="702"/>
      <c r="L155" s="702"/>
      <c r="M155" s="702"/>
      <c r="N155" s="702"/>
      <c r="O155" s="702"/>
      <c r="P155" s="702"/>
      <c r="Q155" s="702"/>
      <c r="R155" s="702"/>
      <c r="S155" s="702"/>
      <c r="T155" s="702"/>
      <c r="U155" s="702"/>
      <c r="V155" s="716"/>
      <c r="W155" s="716"/>
      <c r="X155" s="716"/>
      <c r="Y155" s="702"/>
      <c r="Z155" s="702"/>
      <c r="AA155" s="702"/>
      <c r="AB155" s="702"/>
    </row>
    <row r="156" spans="9:28" x14ac:dyDescent="0.3">
      <c r="I156" s="702"/>
      <c r="J156" s="702"/>
      <c r="K156" s="702"/>
      <c r="L156" s="702"/>
      <c r="M156" s="702"/>
      <c r="N156" s="702"/>
      <c r="O156" s="702"/>
      <c r="P156" s="702"/>
      <c r="Q156" s="702"/>
      <c r="R156" s="702"/>
      <c r="S156" s="702"/>
      <c r="T156" s="702"/>
      <c r="U156" s="702"/>
      <c r="V156" s="716"/>
      <c r="W156" s="716"/>
      <c r="X156" s="716"/>
      <c r="Y156" s="702"/>
      <c r="Z156" s="702"/>
      <c r="AA156" s="702"/>
      <c r="AB156" s="702"/>
    </row>
    <row r="157" spans="9:28" x14ac:dyDescent="0.3">
      <c r="I157" s="702"/>
      <c r="J157" s="702"/>
      <c r="K157" s="702"/>
      <c r="L157" s="702"/>
      <c r="M157" s="702"/>
      <c r="N157" s="702"/>
      <c r="O157" s="702"/>
      <c r="P157" s="702"/>
      <c r="Q157" s="702"/>
      <c r="R157" s="702"/>
      <c r="S157" s="702"/>
      <c r="T157" s="702"/>
      <c r="U157" s="702"/>
      <c r="V157" s="716"/>
      <c r="W157" s="716"/>
      <c r="X157" s="716"/>
      <c r="Y157" s="702"/>
      <c r="Z157" s="702"/>
      <c r="AA157" s="702"/>
      <c r="AB157" s="702"/>
    </row>
    <row r="158" spans="9:28" x14ac:dyDescent="0.3">
      <c r="I158" s="702"/>
      <c r="J158" s="702"/>
      <c r="K158" s="702"/>
      <c r="L158" s="702"/>
      <c r="M158" s="702"/>
      <c r="N158" s="702"/>
      <c r="O158" s="702"/>
      <c r="P158" s="702"/>
      <c r="Q158" s="702"/>
      <c r="R158" s="702"/>
      <c r="S158" s="702"/>
      <c r="T158" s="702"/>
      <c r="U158" s="702"/>
      <c r="V158" s="716"/>
      <c r="W158" s="716"/>
      <c r="X158" s="716"/>
      <c r="Y158" s="702"/>
      <c r="Z158" s="702"/>
      <c r="AA158" s="702"/>
      <c r="AB158" s="702"/>
    </row>
    <row r="159" spans="9:28" x14ac:dyDescent="0.3">
      <c r="I159" s="702"/>
      <c r="J159" s="702"/>
      <c r="K159" s="702"/>
      <c r="L159" s="702"/>
      <c r="M159" s="702"/>
      <c r="N159" s="702"/>
      <c r="O159" s="702"/>
      <c r="P159" s="702"/>
      <c r="Q159" s="702"/>
      <c r="R159" s="702"/>
      <c r="S159" s="702"/>
      <c r="T159" s="702"/>
      <c r="U159" s="702"/>
      <c r="V159" s="716"/>
      <c r="W159" s="716"/>
      <c r="X159" s="716"/>
      <c r="Y159" s="702"/>
      <c r="Z159" s="702"/>
      <c r="AA159" s="702"/>
      <c r="AB159" s="702"/>
    </row>
    <row r="160" spans="9:28" x14ac:dyDescent="0.3">
      <c r="I160" s="702"/>
      <c r="J160" s="702"/>
      <c r="K160" s="702"/>
      <c r="L160" s="702"/>
      <c r="M160" s="702"/>
      <c r="N160" s="702"/>
      <c r="O160" s="702"/>
      <c r="P160" s="702"/>
      <c r="Q160" s="702"/>
      <c r="R160" s="702"/>
      <c r="S160" s="702"/>
      <c r="T160" s="702"/>
      <c r="U160" s="702"/>
      <c r="V160" s="716"/>
      <c r="W160" s="716"/>
      <c r="X160" s="716"/>
      <c r="Y160" s="702"/>
      <c r="Z160" s="702"/>
      <c r="AA160" s="702"/>
      <c r="AB160" s="702"/>
    </row>
    <row r="161" spans="9:28" x14ac:dyDescent="0.3">
      <c r="I161" s="702"/>
      <c r="J161" s="702"/>
      <c r="K161" s="702"/>
      <c r="L161" s="702"/>
      <c r="M161" s="702"/>
      <c r="N161" s="702"/>
      <c r="O161" s="702"/>
      <c r="P161" s="702"/>
      <c r="Q161" s="702"/>
      <c r="R161" s="702"/>
      <c r="S161" s="702"/>
      <c r="T161" s="702"/>
      <c r="U161" s="702"/>
      <c r="V161" s="716"/>
      <c r="W161" s="716"/>
      <c r="X161" s="716"/>
      <c r="Y161" s="702"/>
      <c r="Z161" s="702"/>
      <c r="AA161" s="702"/>
      <c r="AB161" s="702"/>
    </row>
    <row r="162" spans="9:28" x14ac:dyDescent="0.3">
      <c r="I162" s="702"/>
      <c r="J162" s="702"/>
      <c r="K162" s="702"/>
      <c r="L162" s="702"/>
      <c r="M162" s="702"/>
      <c r="N162" s="702"/>
      <c r="O162" s="702"/>
      <c r="P162" s="702"/>
      <c r="Q162" s="702"/>
      <c r="R162" s="702"/>
      <c r="S162" s="702"/>
      <c r="T162" s="702"/>
      <c r="U162" s="702"/>
      <c r="V162" s="716"/>
      <c r="W162" s="716"/>
      <c r="X162" s="716"/>
      <c r="Y162" s="702"/>
      <c r="Z162" s="702"/>
      <c r="AA162" s="702"/>
      <c r="AB162" s="702"/>
    </row>
    <row r="163" spans="9:28" x14ac:dyDescent="0.3">
      <c r="I163" s="702"/>
      <c r="J163" s="702"/>
      <c r="K163" s="702"/>
      <c r="L163" s="702"/>
      <c r="M163" s="702"/>
      <c r="N163" s="702"/>
      <c r="O163" s="702"/>
      <c r="P163" s="702"/>
      <c r="Q163" s="702"/>
      <c r="R163" s="702"/>
      <c r="S163" s="702"/>
      <c r="T163" s="702"/>
      <c r="U163" s="702"/>
      <c r="V163" s="716"/>
      <c r="W163" s="716"/>
      <c r="X163" s="716"/>
      <c r="Y163" s="702"/>
      <c r="Z163" s="702"/>
      <c r="AA163" s="702"/>
      <c r="AB163" s="702"/>
    </row>
    <row r="164" spans="9:28" x14ac:dyDescent="0.3">
      <c r="I164" s="702"/>
      <c r="J164" s="702"/>
      <c r="K164" s="702"/>
      <c r="L164" s="702"/>
      <c r="M164" s="702"/>
      <c r="N164" s="702"/>
      <c r="O164" s="702"/>
      <c r="P164" s="702"/>
      <c r="Q164" s="702"/>
      <c r="R164" s="702"/>
      <c r="S164" s="702"/>
      <c r="T164" s="702"/>
      <c r="U164" s="702"/>
      <c r="V164" s="716"/>
      <c r="W164" s="716"/>
      <c r="X164" s="716"/>
      <c r="Y164" s="702"/>
      <c r="Z164" s="702"/>
      <c r="AA164" s="702"/>
      <c r="AB164" s="702"/>
    </row>
    <row r="165" spans="9:28" x14ac:dyDescent="0.3">
      <c r="I165" s="702"/>
      <c r="J165" s="702"/>
      <c r="K165" s="702"/>
      <c r="L165" s="702"/>
      <c r="M165" s="702"/>
      <c r="N165" s="702"/>
      <c r="O165" s="702"/>
      <c r="P165" s="702"/>
      <c r="Q165" s="702"/>
      <c r="R165" s="702"/>
      <c r="S165" s="702"/>
      <c r="T165" s="702"/>
      <c r="U165" s="702"/>
      <c r="V165" s="716"/>
      <c r="W165" s="716"/>
      <c r="X165" s="716"/>
      <c r="Y165" s="702"/>
      <c r="Z165" s="702"/>
      <c r="AA165" s="702"/>
      <c r="AB165" s="702"/>
    </row>
    <row r="166" spans="9:28" x14ac:dyDescent="0.3">
      <c r="I166" s="702"/>
      <c r="J166" s="702"/>
      <c r="K166" s="702"/>
      <c r="L166" s="702"/>
      <c r="M166" s="702"/>
      <c r="N166" s="702"/>
      <c r="O166" s="702"/>
      <c r="P166" s="702"/>
      <c r="Q166" s="702"/>
      <c r="R166" s="702"/>
      <c r="S166" s="702"/>
      <c r="T166" s="702"/>
      <c r="U166" s="702"/>
      <c r="V166" s="716"/>
      <c r="W166" s="716"/>
      <c r="X166" s="716"/>
      <c r="Y166" s="702"/>
      <c r="Z166" s="702"/>
      <c r="AA166" s="702"/>
      <c r="AB166" s="702"/>
    </row>
    <row r="167" spans="9:28" x14ac:dyDescent="0.3">
      <c r="I167" s="702"/>
      <c r="J167" s="702"/>
      <c r="K167" s="702"/>
      <c r="L167" s="702"/>
      <c r="M167" s="702"/>
      <c r="N167" s="702"/>
      <c r="O167" s="702"/>
      <c r="P167" s="702"/>
      <c r="Q167" s="702"/>
      <c r="R167" s="702"/>
      <c r="S167" s="702"/>
      <c r="T167" s="702"/>
      <c r="U167" s="702"/>
      <c r="V167" s="716"/>
      <c r="W167" s="716"/>
      <c r="X167" s="716"/>
      <c r="Y167" s="702"/>
      <c r="Z167" s="702"/>
      <c r="AA167" s="702"/>
      <c r="AB167" s="702"/>
    </row>
    <row r="168" spans="9:28" x14ac:dyDescent="0.3">
      <c r="I168" s="702"/>
      <c r="J168" s="702"/>
      <c r="K168" s="702"/>
      <c r="L168" s="702"/>
      <c r="M168" s="702"/>
      <c r="N168" s="702"/>
      <c r="O168" s="702"/>
      <c r="P168" s="702"/>
      <c r="Q168" s="702"/>
      <c r="R168" s="702"/>
      <c r="S168" s="702"/>
      <c r="T168" s="702"/>
      <c r="U168" s="702"/>
      <c r="V168" s="716"/>
      <c r="W168" s="716"/>
      <c r="X168" s="716"/>
      <c r="Y168" s="702"/>
      <c r="Z168" s="702"/>
      <c r="AA168" s="702"/>
      <c r="AB168" s="702"/>
    </row>
    <row r="169" spans="9:28" x14ac:dyDescent="0.3">
      <c r="I169" s="702"/>
      <c r="J169" s="702"/>
      <c r="K169" s="702"/>
      <c r="L169" s="702"/>
      <c r="M169" s="702"/>
      <c r="N169" s="702"/>
      <c r="O169" s="702"/>
      <c r="P169" s="702"/>
      <c r="Q169" s="702"/>
      <c r="R169" s="702"/>
      <c r="S169" s="702"/>
      <c r="T169" s="702"/>
      <c r="U169" s="702"/>
      <c r="V169" s="716"/>
      <c r="W169" s="716"/>
      <c r="X169" s="716"/>
      <c r="Y169" s="702"/>
      <c r="Z169" s="702"/>
      <c r="AA169" s="702"/>
      <c r="AB169" s="702"/>
    </row>
    <row r="170" spans="9:28" x14ac:dyDescent="0.3">
      <c r="I170" s="702"/>
      <c r="J170" s="702"/>
      <c r="K170" s="702"/>
      <c r="L170" s="702"/>
      <c r="M170" s="702"/>
      <c r="N170" s="702"/>
      <c r="O170" s="702"/>
      <c r="P170" s="702"/>
      <c r="Q170" s="702"/>
      <c r="R170" s="702"/>
      <c r="S170" s="702"/>
      <c r="T170" s="702"/>
      <c r="U170" s="702"/>
      <c r="V170" s="716"/>
      <c r="W170" s="716"/>
      <c r="X170" s="716"/>
      <c r="Y170" s="702"/>
      <c r="Z170" s="702"/>
      <c r="AA170" s="702"/>
      <c r="AB170" s="702"/>
    </row>
    <row r="171" spans="9:28" x14ac:dyDescent="0.3">
      <c r="I171" s="702"/>
      <c r="J171" s="702"/>
      <c r="K171" s="702"/>
      <c r="L171" s="702"/>
      <c r="M171" s="702"/>
      <c r="N171" s="702"/>
      <c r="O171" s="702"/>
      <c r="P171" s="702"/>
      <c r="Q171" s="702"/>
      <c r="R171" s="702"/>
      <c r="S171" s="702"/>
      <c r="T171" s="702"/>
      <c r="U171" s="702"/>
      <c r="V171" s="716"/>
      <c r="W171" s="716"/>
      <c r="X171" s="716"/>
      <c r="Y171" s="702"/>
      <c r="Z171" s="702"/>
      <c r="AA171" s="702"/>
      <c r="AB171" s="702"/>
    </row>
    <row r="172" spans="9:28" x14ac:dyDescent="0.3">
      <c r="I172" s="702"/>
      <c r="J172" s="702"/>
      <c r="K172" s="702"/>
      <c r="L172" s="702"/>
      <c r="M172" s="702"/>
      <c r="N172" s="702"/>
      <c r="O172" s="702"/>
      <c r="P172" s="702"/>
      <c r="Q172" s="702"/>
      <c r="R172" s="702"/>
      <c r="S172" s="702"/>
      <c r="T172" s="702"/>
      <c r="U172" s="702"/>
      <c r="V172" s="716"/>
      <c r="W172" s="716"/>
      <c r="X172" s="716"/>
      <c r="Y172" s="702"/>
      <c r="Z172" s="702"/>
      <c r="AA172" s="702"/>
      <c r="AB172" s="702"/>
    </row>
    <row r="173" spans="9:28" x14ac:dyDescent="0.3">
      <c r="I173" s="702"/>
      <c r="J173" s="702"/>
      <c r="K173" s="702"/>
      <c r="L173" s="702"/>
      <c r="M173" s="702"/>
      <c r="N173" s="702"/>
      <c r="O173" s="702"/>
      <c r="P173" s="702"/>
      <c r="Q173" s="702"/>
      <c r="R173" s="702"/>
      <c r="S173" s="702"/>
      <c r="T173" s="702"/>
      <c r="U173" s="702"/>
      <c r="V173" s="716"/>
      <c r="W173" s="716"/>
      <c r="X173" s="716"/>
      <c r="Y173" s="702"/>
      <c r="Z173" s="702"/>
      <c r="AA173" s="702"/>
      <c r="AB173" s="702"/>
    </row>
    <row r="174" spans="9:28" x14ac:dyDescent="0.3">
      <c r="I174" s="702"/>
      <c r="J174" s="702"/>
      <c r="K174" s="702"/>
      <c r="L174" s="702"/>
      <c r="M174" s="702"/>
      <c r="N174" s="702"/>
      <c r="O174" s="702"/>
      <c r="P174" s="702"/>
      <c r="Q174" s="702"/>
      <c r="R174" s="702"/>
      <c r="S174" s="702"/>
      <c r="T174" s="702"/>
      <c r="U174" s="702"/>
      <c r="V174" s="716"/>
      <c r="W174" s="716"/>
      <c r="X174" s="716"/>
      <c r="Y174" s="702"/>
      <c r="Z174" s="702"/>
      <c r="AA174" s="702"/>
      <c r="AB174" s="702"/>
    </row>
    <row r="175" spans="9:28" x14ac:dyDescent="0.3">
      <c r="I175" s="702"/>
      <c r="J175" s="702"/>
      <c r="K175" s="702"/>
      <c r="L175" s="702"/>
      <c r="M175" s="702"/>
      <c r="N175" s="702"/>
      <c r="O175" s="702"/>
      <c r="P175" s="702"/>
      <c r="Q175" s="702"/>
      <c r="R175" s="702"/>
      <c r="S175" s="702"/>
      <c r="T175" s="702"/>
      <c r="U175" s="702"/>
      <c r="V175" s="716"/>
      <c r="W175" s="716"/>
      <c r="X175" s="716"/>
      <c r="Y175" s="702"/>
      <c r="Z175" s="702"/>
      <c r="AA175" s="702"/>
      <c r="AB175" s="702"/>
    </row>
    <row r="176" spans="9:28" x14ac:dyDescent="0.3">
      <c r="I176" s="702"/>
      <c r="J176" s="702"/>
      <c r="K176" s="702"/>
      <c r="L176" s="702"/>
      <c r="M176" s="702"/>
      <c r="N176" s="702"/>
      <c r="O176" s="702"/>
      <c r="P176" s="702"/>
      <c r="Q176" s="702"/>
      <c r="R176" s="702"/>
      <c r="S176" s="702"/>
      <c r="T176" s="702"/>
      <c r="U176" s="702"/>
      <c r="V176" s="716"/>
      <c r="W176" s="716"/>
      <c r="X176" s="716"/>
      <c r="Y176" s="702"/>
      <c r="Z176" s="702"/>
      <c r="AA176" s="702"/>
      <c r="AB176" s="702"/>
    </row>
    <row r="177" spans="9:28" x14ac:dyDescent="0.3">
      <c r="I177" s="702"/>
      <c r="J177" s="702"/>
      <c r="K177" s="702"/>
      <c r="L177" s="702"/>
      <c r="M177" s="702"/>
      <c r="N177" s="702"/>
      <c r="O177" s="702"/>
      <c r="P177" s="702"/>
      <c r="Q177" s="702"/>
      <c r="R177" s="702"/>
      <c r="S177" s="702"/>
      <c r="T177" s="702"/>
      <c r="U177" s="702"/>
      <c r="V177" s="716"/>
      <c r="W177" s="716"/>
      <c r="X177" s="716"/>
      <c r="Y177" s="702"/>
      <c r="Z177" s="702"/>
      <c r="AA177" s="702"/>
      <c r="AB177" s="702"/>
    </row>
    <row r="178" spans="9:28" x14ac:dyDescent="0.3">
      <c r="I178" s="702"/>
      <c r="J178" s="702"/>
      <c r="K178" s="702"/>
      <c r="L178" s="702"/>
      <c r="M178" s="702"/>
      <c r="N178" s="702"/>
      <c r="O178" s="702"/>
      <c r="P178" s="702"/>
      <c r="Q178" s="702"/>
      <c r="R178" s="702"/>
      <c r="S178" s="702"/>
      <c r="T178" s="702"/>
      <c r="U178" s="702"/>
      <c r="V178" s="716"/>
      <c r="W178" s="716"/>
      <c r="X178" s="716"/>
      <c r="Y178" s="702"/>
      <c r="Z178" s="702"/>
      <c r="AA178" s="702"/>
      <c r="AB178" s="702"/>
    </row>
    <row r="179" spans="9:28" x14ac:dyDescent="0.3">
      <c r="I179" s="702"/>
      <c r="J179" s="702"/>
      <c r="K179" s="702"/>
      <c r="L179" s="702"/>
      <c r="M179" s="702"/>
      <c r="N179" s="702"/>
      <c r="O179" s="702"/>
      <c r="P179" s="702"/>
      <c r="Q179" s="702"/>
      <c r="R179" s="702"/>
      <c r="S179" s="702"/>
      <c r="T179" s="702"/>
      <c r="U179" s="702"/>
      <c r="V179" s="716"/>
      <c r="W179" s="716"/>
      <c r="X179" s="716"/>
      <c r="Y179" s="702"/>
      <c r="Z179" s="702"/>
      <c r="AA179" s="702"/>
      <c r="AB179" s="702"/>
    </row>
    <row r="180" spans="9:28" x14ac:dyDescent="0.3">
      <c r="I180" s="702"/>
      <c r="J180" s="702"/>
      <c r="K180" s="702"/>
      <c r="L180" s="702"/>
      <c r="M180" s="702"/>
      <c r="N180" s="702"/>
      <c r="O180" s="702"/>
      <c r="P180" s="702"/>
      <c r="Q180" s="702"/>
      <c r="R180" s="702"/>
      <c r="S180" s="702"/>
      <c r="T180" s="702"/>
      <c r="U180" s="702"/>
      <c r="V180" s="716"/>
      <c r="W180" s="716"/>
      <c r="X180" s="716"/>
      <c r="Y180" s="702"/>
      <c r="Z180" s="702"/>
      <c r="AA180" s="702"/>
      <c r="AB180" s="702"/>
    </row>
    <row r="181" spans="9:28" x14ac:dyDescent="0.3">
      <c r="I181" s="702"/>
      <c r="J181" s="702"/>
      <c r="K181" s="702"/>
      <c r="L181" s="702"/>
      <c r="M181" s="702"/>
      <c r="N181" s="702"/>
      <c r="O181" s="702"/>
      <c r="P181" s="702"/>
      <c r="Q181" s="702"/>
      <c r="R181" s="702"/>
      <c r="S181" s="702"/>
      <c r="T181" s="702"/>
      <c r="U181" s="702"/>
      <c r="V181" s="716"/>
      <c r="W181" s="716"/>
      <c r="X181" s="716"/>
      <c r="Y181" s="702"/>
      <c r="Z181" s="702"/>
      <c r="AA181" s="702"/>
      <c r="AB181" s="702"/>
    </row>
    <row r="182" spans="9:28" x14ac:dyDescent="0.3">
      <c r="I182" s="702"/>
      <c r="J182" s="702"/>
      <c r="K182" s="702"/>
      <c r="L182" s="702"/>
      <c r="M182" s="702"/>
      <c r="N182" s="702"/>
      <c r="O182" s="702"/>
      <c r="P182" s="702"/>
      <c r="Q182" s="702"/>
      <c r="R182" s="702"/>
      <c r="S182" s="702"/>
      <c r="T182" s="702"/>
      <c r="U182" s="702"/>
      <c r="V182" s="716"/>
      <c r="W182" s="716"/>
      <c r="X182" s="716"/>
      <c r="Y182" s="702"/>
      <c r="Z182" s="702"/>
      <c r="AA182" s="702"/>
      <c r="AB182" s="702"/>
    </row>
    <row r="183" spans="9:28" x14ac:dyDescent="0.3">
      <c r="I183" s="702"/>
      <c r="J183" s="702"/>
      <c r="K183" s="702"/>
      <c r="L183" s="702"/>
      <c r="M183" s="702"/>
      <c r="N183" s="702"/>
      <c r="O183" s="702"/>
      <c r="P183" s="702"/>
      <c r="Q183" s="702"/>
      <c r="R183" s="702"/>
      <c r="S183" s="702"/>
      <c r="T183" s="702"/>
      <c r="U183" s="702"/>
      <c r="V183" s="716"/>
      <c r="W183" s="716"/>
      <c r="X183" s="716"/>
      <c r="Y183" s="702"/>
      <c r="Z183" s="702"/>
      <c r="AA183" s="702"/>
      <c r="AB183" s="702"/>
    </row>
    <row r="184" spans="9:28" x14ac:dyDescent="0.3">
      <c r="I184" s="702"/>
      <c r="J184" s="702"/>
      <c r="K184" s="702"/>
      <c r="L184" s="702"/>
      <c r="M184" s="702"/>
      <c r="N184" s="702"/>
      <c r="O184" s="702"/>
      <c r="P184" s="702"/>
      <c r="Q184" s="702"/>
      <c r="R184" s="702"/>
      <c r="S184" s="702"/>
      <c r="T184" s="702"/>
      <c r="U184" s="702"/>
      <c r="V184" s="716"/>
      <c r="W184" s="716"/>
      <c r="X184" s="716"/>
      <c r="Y184" s="702"/>
      <c r="Z184" s="702"/>
      <c r="AA184" s="702"/>
      <c r="AB184" s="702"/>
    </row>
    <row r="185" spans="9:28" x14ac:dyDescent="0.3">
      <c r="I185" s="702"/>
      <c r="J185" s="702"/>
      <c r="K185" s="702"/>
      <c r="L185" s="702"/>
      <c r="M185" s="702"/>
      <c r="N185" s="702"/>
      <c r="O185" s="702"/>
      <c r="P185" s="702"/>
      <c r="Q185" s="702"/>
      <c r="R185" s="702"/>
      <c r="S185" s="702"/>
      <c r="T185" s="702"/>
      <c r="U185" s="702"/>
      <c r="V185" s="716"/>
      <c r="W185" s="716"/>
      <c r="X185" s="716"/>
      <c r="Y185" s="702"/>
      <c r="Z185" s="702"/>
      <c r="AA185" s="702"/>
      <c r="AB185" s="702"/>
    </row>
    <row r="186" spans="9:28" x14ac:dyDescent="0.3">
      <c r="I186" s="702"/>
      <c r="J186" s="702"/>
      <c r="K186" s="702"/>
      <c r="L186" s="702"/>
      <c r="M186" s="702"/>
      <c r="N186" s="702"/>
      <c r="O186" s="702"/>
      <c r="P186" s="702"/>
      <c r="Q186" s="702"/>
      <c r="R186" s="702"/>
      <c r="S186" s="702"/>
      <c r="T186" s="702"/>
      <c r="U186" s="702"/>
      <c r="V186" s="716"/>
      <c r="W186" s="716"/>
      <c r="X186" s="716"/>
      <c r="Y186" s="702"/>
      <c r="Z186" s="702"/>
      <c r="AA186" s="702"/>
      <c r="AB186" s="702"/>
    </row>
    <row r="187" spans="9:28" x14ac:dyDescent="0.3">
      <c r="I187" s="702"/>
      <c r="J187" s="702"/>
      <c r="K187" s="702"/>
      <c r="L187" s="702"/>
      <c r="M187" s="702"/>
      <c r="N187" s="702"/>
      <c r="O187" s="702"/>
      <c r="P187" s="702"/>
      <c r="Q187" s="702"/>
      <c r="R187" s="702"/>
      <c r="S187" s="702"/>
      <c r="T187" s="702"/>
      <c r="U187" s="702"/>
      <c r="V187" s="716"/>
      <c r="W187" s="716"/>
      <c r="X187" s="716"/>
      <c r="Y187" s="702"/>
      <c r="Z187" s="702"/>
      <c r="AA187" s="702"/>
      <c r="AB187" s="702"/>
    </row>
    <row r="188" spans="9:28" x14ac:dyDescent="0.3">
      <c r="I188" s="702"/>
      <c r="J188" s="702"/>
      <c r="K188" s="702"/>
      <c r="L188" s="702"/>
      <c r="M188" s="702"/>
      <c r="N188" s="702"/>
      <c r="O188" s="702"/>
      <c r="P188" s="702"/>
      <c r="Q188" s="702"/>
      <c r="R188" s="702"/>
      <c r="S188" s="702"/>
      <c r="T188" s="702"/>
      <c r="U188" s="702"/>
      <c r="V188" s="716"/>
      <c r="W188" s="716"/>
      <c r="X188" s="716"/>
      <c r="Y188" s="702"/>
      <c r="Z188" s="702"/>
      <c r="AA188" s="702"/>
      <c r="AB188" s="702"/>
    </row>
    <row r="189" spans="9:28" x14ac:dyDescent="0.3">
      <c r="I189" s="702"/>
      <c r="J189" s="702"/>
      <c r="K189" s="702"/>
      <c r="L189" s="702"/>
      <c r="M189" s="702"/>
      <c r="N189" s="702"/>
      <c r="O189" s="702"/>
      <c r="P189" s="702"/>
      <c r="Q189" s="702"/>
      <c r="R189" s="702"/>
      <c r="S189" s="702"/>
      <c r="T189" s="702"/>
      <c r="U189" s="702"/>
      <c r="V189" s="716"/>
      <c r="W189" s="716"/>
      <c r="X189" s="716"/>
      <c r="Y189" s="702"/>
      <c r="Z189" s="702"/>
      <c r="AA189" s="702"/>
      <c r="AB189" s="702"/>
    </row>
    <row r="190" spans="9:28" x14ac:dyDescent="0.3">
      <c r="I190" s="702"/>
      <c r="J190" s="702"/>
      <c r="K190" s="702"/>
      <c r="L190" s="702"/>
      <c r="M190" s="702"/>
      <c r="N190" s="702"/>
      <c r="O190" s="702"/>
      <c r="P190" s="702"/>
      <c r="Q190" s="702"/>
      <c r="R190" s="702"/>
      <c r="S190" s="702"/>
      <c r="T190" s="702"/>
      <c r="U190" s="702"/>
      <c r="V190" s="716"/>
      <c r="W190" s="716"/>
      <c r="X190" s="716"/>
      <c r="Y190" s="702"/>
      <c r="Z190" s="702"/>
      <c r="AA190" s="702"/>
      <c r="AB190" s="702"/>
    </row>
    <row r="191" spans="9:28" x14ac:dyDescent="0.3">
      <c r="I191" s="702"/>
      <c r="J191" s="702"/>
      <c r="K191" s="702"/>
      <c r="L191" s="702"/>
      <c r="M191" s="702"/>
      <c r="N191" s="702"/>
      <c r="O191" s="702"/>
      <c r="P191" s="702"/>
      <c r="Q191" s="702"/>
      <c r="R191" s="702"/>
      <c r="S191" s="702"/>
      <c r="T191" s="702"/>
      <c r="U191" s="702"/>
      <c r="V191" s="716"/>
      <c r="W191" s="716"/>
      <c r="X191" s="716"/>
      <c r="Y191" s="702"/>
      <c r="Z191" s="702"/>
      <c r="AA191" s="702"/>
      <c r="AB191" s="702"/>
    </row>
    <row r="192" spans="9:28" x14ac:dyDescent="0.3">
      <c r="I192" s="702"/>
      <c r="J192" s="702"/>
      <c r="K192" s="702"/>
      <c r="L192" s="702"/>
      <c r="M192" s="702"/>
      <c r="N192" s="702"/>
      <c r="O192" s="702"/>
      <c r="P192" s="702"/>
      <c r="Q192" s="702"/>
      <c r="R192" s="702"/>
      <c r="S192" s="702"/>
      <c r="T192" s="702"/>
      <c r="U192" s="702"/>
      <c r="V192" s="716"/>
      <c r="W192" s="716"/>
      <c r="X192" s="716"/>
      <c r="Y192" s="702"/>
      <c r="Z192" s="702"/>
      <c r="AA192" s="702"/>
      <c r="AB192" s="702"/>
    </row>
    <row r="193" spans="9:28" x14ac:dyDescent="0.3">
      <c r="I193" s="702"/>
      <c r="J193" s="702"/>
      <c r="K193" s="702"/>
      <c r="L193" s="702"/>
      <c r="M193" s="702"/>
      <c r="N193" s="702"/>
      <c r="O193" s="702"/>
      <c r="P193" s="702"/>
      <c r="Q193" s="702"/>
      <c r="R193" s="702"/>
      <c r="S193" s="702"/>
      <c r="T193" s="702"/>
      <c r="U193" s="702"/>
      <c r="V193" s="716"/>
      <c r="W193" s="716"/>
      <c r="X193" s="716"/>
      <c r="Y193" s="702"/>
      <c r="Z193" s="702"/>
      <c r="AA193" s="702"/>
      <c r="AB193" s="702"/>
    </row>
    <row r="194" spans="9:28" x14ac:dyDescent="0.3">
      <c r="I194" s="702"/>
      <c r="J194" s="702"/>
      <c r="K194" s="702"/>
      <c r="L194" s="702"/>
      <c r="M194" s="702"/>
      <c r="N194" s="702"/>
      <c r="O194" s="702"/>
      <c r="P194" s="702"/>
      <c r="Q194" s="702"/>
      <c r="R194" s="702"/>
      <c r="S194" s="702"/>
      <c r="T194" s="702"/>
      <c r="U194" s="702"/>
      <c r="V194" s="716"/>
      <c r="W194" s="716"/>
      <c r="X194" s="716"/>
      <c r="Y194" s="702"/>
      <c r="Z194" s="702"/>
      <c r="AA194" s="702"/>
      <c r="AB194" s="702"/>
    </row>
    <row r="195" spans="9:28" x14ac:dyDescent="0.3">
      <c r="I195" s="702"/>
      <c r="J195" s="702"/>
      <c r="K195" s="702"/>
      <c r="L195" s="702"/>
      <c r="M195" s="702"/>
      <c r="N195" s="702"/>
      <c r="O195" s="702"/>
      <c r="P195" s="702"/>
      <c r="Q195" s="702"/>
      <c r="R195" s="702"/>
      <c r="S195" s="702"/>
      <c r="T195" s="702"/>
      <c r="U195" s="702"/>
      <c r="V195" s="716"/>
      <c r="W195" s="716"/>
      <c r="X195" s="716"/>
      <c r="Y195" s="702"/>
      <c r="Z195" s="702"/>
      <c r="AA195" s="702"/>
      <c r="AB195" s="702"/>
    </row>
    <row r="196" spans="9:28" x14ac:dyDescent="0.3">
      <c r="I196" s="702"/>
      <c r="J196" s="702"/>
      <c r="K196" s="702"/>
      <c r="L196" s="702"/>
      <c r="M196" s="702"/>
      <c r="N196" s="702"/>
      <c r="O196" s="702"/>
      <c r="P196" s="702"/>
      <c r="Q196" s="702"/>
      <c r="R196" s="702"/>
      <c r="S196" s="702"/>
      <c r="T196" s="702"/>
      <c r="U196" s="702"/>
      <c r="V196" s="716"/>
      <c r="W196" s="716"/>
      <c r="X196" s="716"/>
      <c r="Y196" s="702"/>
      <c r="Z196" s="702"/>
      <c r="AA196" s="702"/>
      <c r="AB196" s="702"/>
    </row>
    <row r="197" spans="9:28" x14ac:dyDescent="0.3">
      <c r="I197" s="702"/>
      <c r="J197" s="702"/>
      <c r="K197" s="702"/>
      <c r="L197" s="702"/>
      <c r="M197" s="702"/>
      <c r="N197" s="702"/>
      <c r="O197" s="702"/>
      <c r="P197" s="702"/>
      <c r="Q197" s="702"/>
      <c r="R197" s="702"/>
      <c r="S197" s="702"/>
      <c r="T197" s="702"/>
      <c r="U197" s="702"/>
      <c r="V197" s="716"/>
      <c r="W197" s="716"/>
      <c r="X197" s="716"/>
      <c r="Y197" s="702"/>
      <c r="Z197" s="702"/>
      <c r="AA197" s="702"/>
      <c r="AB197" s="702"/>
    </row>
    <row r="198" spans="9:28" x14ac:dyDescent="0.3">
      <c r="I198" s="702"/>
      <c r="J198" s="702"/>
      <c r="K198" s="702"/>
      <c r="L198" s="702"/>
      <c r="M198" s="702"/>
      <c r="N198" s="702"/>
      <c r="O198" s="702"/>
      <c r="P198" s="702"/>
      <c r="Q198" s="702"/>
      <c r="R198" s="702"/>
      <c r="S198" s="702"/>
      <c r="T198" s="702"/>
      <c r="U198" s="702"/>
      <c r="V198" s="716"/>
      <c r="W198" s="716"/>
      <c r="X198" s="716"/>
      <c r="Y198" s="702"/>
      <c r="Z198" s="702"/>
      <c r="AA198" s="702"/>
      <c r="AB198" s="702"/>
    </row>
    <row r="199" spans="9:28" x14ac:dyDescent="0.3">
      <c r="I199" s="702"/>
      <c r="J199" s="702"/>
      <c r="K199" s="702"/>
      <c r="L199" s="702"/>
      <c r="M199" s="702"/>
      <c r="N199" s="702"/>
      <c r="O199" s="702"/>
      <c r="P199" s="702"/>
      <c r="Q199" s="702"/>
      <c r="R199" s="702"/>
      <c r="S199" s="702"/>
      <c r="T199" s="702"/>
      <c r="U199" s="702"/>
      <c r="V199" s="716"/>
      <c r="W199" s="716"/>
      <c r="X199" s="716"/>
      <c r="Y199" s="702"/>
      <c r="Z199" s="702"/>
      <c r="AA199" s="702"/>
      <c r="AB199" s="702"/>
    </row>
    <row r="200" spans="9:28" x14ac:dyDescent="0.3">
      <c r="I200" s="702"/>
      <c r="J200" s="702"/>
      <c r="K200" s="702"/>
      <c r="L200" s="702"/>
      <c r="M200" s="702"/>
      <c r="N200" s="702"/>
      <c r="O200" s="702"/>
      <c r="P200" s="702"/>
      <c r="Q200" s="702"/>
      <c r="R200" s="702"/>
      <c r="S200" s="702"/>
      <c r="T200" s="702"/>
      <c r="U200" s="702"/>
      <c r="V200" s="716"/>
      <c r="W200" s="716"/>
      <c r="X200" s="716"/>
      <c r="Y200" s="702"/>
      <c r="Z200" s="702"/>
      <c r="AA200" s="702"/>
      <c r="AB200" s="702"/>
    </row>
    <row r="201" spans="9:28" x14ac:dyDescent="0.3">
      <c r="I201" s="702"/>
      <c r="J201" s="702"/>
      <c r="K201" s="702"/>
      <c r="L201" s="702"/>
      <c r="M201" s="702"/>
      <c r="N201" s="702"/>
      <c r="O201" s="702"/>
      <c r="P201" s="702"/>
      <c r="Q201" s="702"/>
      <c r="R201" s="702"/>
      <c r="S201" s="702"/>
      <c r="T201" s="702"/>
      <c r="U201" s="702"/>
      <c r="V201" s="716"/>
      <c r="W201" s="716"/>
      <c r="X201" s="716"/>
      <c r="Y201" s="702"/>
      <c r="Z201" s="702"/>
      <c r="AA201" s="702"/>
      <c r="AB201" s="702"/>
    </row>
    <row r="202" spans="9:28" x14ac:dyDescent="0.3">
      <c r="I202" s="702"/>
      <c r="J202" s="702"/>
      <c r="K202" s="702"/>
      <c r="L202" s="702"/>
      <c r="M202" s="702"/>
      <c r="N202" s="702"/>
      <c r="O202" s="702"/>
      <c r="P202" s="702"/>
      <c r="Q202" s="702"/>
      <c r="R202" s="702"/>
      <c r="S202" s="702"/>
      <c r="T202" s="702"/>
      <c r="U202" s="702"/>
      <c r="V202" s="716"/>
      <c r="W202" s="716"/>
      <c r="X202" s="716"/>
      <c r="Y202" s="702"/>
      <c r="Z202" s="702"/>
      <c r="AA202" s="702"/>
      <c r="AB202" s="702"/>
    </row>
    <row r="203" spans="9:28" x14ac:dyDescent="0.3">
      <c r="I203" s="702"/>
      <c r="J203" s="702"/>
      <c r="K203" s="702"/>
      <c r="L203" s="702"/>
      <c r="M203" s="702"/>
      <c r="N203" s="702"/>
      <c r="O203" s="702"/>
      <c r="P203" s="702"/>
      <c r="Q203" s="702"/>
      <c r="R203" s="702"/>
      <c r="S203" s="702"/>
      <c r="T203" s="702"/>
      <c r="U203" s="702"/>
      <c r="V203" s="716"/>
      <c r="W203" s="716"/>
      <c r="X203" s="716"/>
      <c r="Y203" s="702"/>
      <c r="Z203" s="702"/>
      <c r="AA203" s="702"/>
      <c r="AB203" s="702"/>
    </row>
    <row r="204" spans="9:28" x14ac:dyDescent="0.3">
      <c r="I204" s="702"/>
      <c r="J204" s="702"/>
      <c r="K204" s="702"/>
      <c r="L204" s="702"/>
      <c r="M204" s="702"/>
      <c r="N204" s="702"/>
      <c r="O204" s="702"/>
      <c r="P204" s="702"/>
      <c r="Q204" s="702"/>
      <c r="R204" s="702"/>
      <c r="S204" s="702"/>
      <c r="T204" s="702"/>
      <c r="U204" s="702"/>
      <c r="V204" s="716"/>
      <c r="W204" s="716"/>
      <c r="X204" s="716"/>
      <c r="Y204" s="702"/>
      <c r="Z204" s="702"/>
      <c r="AA204" s="702"/>
      <c r="AB204" s="702"/>
    </row>
    <row r="205" spans="9:28" x14ac:dyDescent="0.3">
      <c r="I205" s="702"/>
      <c r="J205" s="702"/>
      <c r="K205" s="702"/>
      <c r="L205" s="702"/>
      <c r="M205" s="702"/>
      <c r="N205" s="702"/>
      <c r="O205" s="702"/>
      <c r="P205" s="702"/>
      <c r="Q205" s="702"/>
      <c r="R205" s="702"/>
      <c r="S205" s="702"/>
      <c r="T205" s="702"/>
      <c r="U205" s="702"/>
      <c r="V205" s="716"/>
      <c r="W205" s="716"/>
      <c r="X205" s="716"/>
      <c r="Y205" s="702"/>
      <c r="Z205" s="702"/>
      <c r="AA205" s="702"/>
      <c r="AB205" s="702"/>
    </row>
    <row r="206" spans="9:28" x14ac:dyDescent="0.3">
      <c r="I206" s="702"/>
      <c r="J206" s="702"/>
      <c r="K206" s="702"/>
      <c r="L206" s="702"/>
      <c r="M206" s="702"/>
      <c r="N206" s="702"/>
      <c r="O206" s="702"/>
      <c r="P206" s="702"/>
      <c r="Q206" s="702"/>
      <c r="R206" s="702"/>
      <c r="S206" s="702"/>
      <c r="T206" s="702"/>
      <c r="U206" s="702"/>
      <c r="V206" s="716"/>
      <c r="W206" s="716"/>
      <c r="X206" s="716"/>
      <c r="Y206" s="702"/>
      <c r="Z206" s="702"/>
      <c r="AA206" s="702"/>
      <c r="AB206" s="702"/>
    </row>
    <row r="207" spans="9:28" x14ac:dyDescent="0.3">
      <c r="I207" s="702"/>
      <c r="J207" s="702"/>
      <c r="K207" s="702"/>
      <c r="L207" s="702"/>
      <c r="M207" s="702"/>
      <c r="N207" s="702"/>
      <c r="O207" s="702"/>
      <c r="P207" s="702"/>
      <c r="Q207" s="702"/>
      <c r="R207" s="702"/>
      <c r="S207" s="702"/>
      <c r="T207" s="702"/>
      <c r="U207" s="702"/>
      <c r="V207" s="716"/>
      <c r="W207" s="716"/>
      <c r="X207" s="716"/>
      <c r="Y207" s="702"/>
      <c r="Z207" s="702"/>
      <c r="AA207" s="702"/>
      <c r="AB207" s="702"/>
    </row>
    <row r="208" spans="9:28" x14ac:dyDescent="0.3">
      <c r="I208" s="702"/>
      <c r="J208" s="702"/>
      <c r="K208" s="702"/>
      <c r="L208" s="702"/>
      <c r="M208" s="702"/>
      <c r="N208" s="702"/>
      <c r="O208" s="702"/>
      <c r="P208" s="702"/>
      <c r="Q208" s="702"/>
      <c r="R208" s="702"/>
      <c r="S208" s="702"/>
      <c r="T208" s="702"/>
      <c r="U208" s="702"/>
      <c r="V208" s="716"/>
      <c r="W208" s="716"/>
      <c r="X208" s="716"/>
      <c r="Y208" s="702"/>
      <c r="Z208" s="702"/>
      <c r="AA208" s="702"/>
      <c r="AB208" s="702"/>
    </row>
    <row r="209" spans="9:28" x14ac:dyDescent="0.3">
      <c r="I209" s="702"/>
      <c r="J209" s="702"/>
      <c r="K209" s="702"/>
      <c r="L209" s="702"/>
      <c r="M209" s="702"/>
      <c r="N209" s="702"/>
      <c r="O209" s="702"/>
      <c r="P209" s="702"/>
      <c r="Q209" s="702"/>
      <c r="R209" s="702"/>
      <c r="S209" s="702"/>
      <c r="T209" s="702"/>
      <c r="U209" s="702"/>
      <c r="V209" s="716"/>
      <c r="W209" s="716"/>
      <c r="X209" s="716"/>
      <c r="Y209" s="702"/>
      <c r="Z209" s="702"/>
      <c r="AA209" s="702"/>
      <c r="AB209" s="702"/>
    </row>
    <row r="210" spans="9:28" x14ac:dyDescent="0.3">
      <c r="I210" s="702"/>
      <c r="J210" s="702"/>
      <c r="K210" s="702"/>
      <c r="L210" s="702"/>
      <c r="M210" s="702"/>
      <c r="N210" s="702"/>
      <c r="O210" s="702"/>
      <c r="P210" s="702"/>
      <c r="Q210" s="702"/>
      <c r="R210" s="702"/>
      <c r="S210" s="702"/>
      <c r="T210" s="702"/>
      <c r="U210" s="702"/>
      <c r="V210" s="716"/>
      <c r="W210" s="716"/>
      <c r="X210" s="716"/>
      <c r="Y210" s="702"/>
      <c r="Z210" s="702"/>
      <c r="AA210" s="702"/>
      <c r="AB210" s="702"/>
    </row>
    <row r="211" spans="9:28" x14ac:dyDescent="0.3">
      <c r="I211" s="702"/>
      <c r="J211" s="702"/>
      <c r="K211" s="702"/>
      <c r="L211" s="702"/>
      <c r="M211" s="702"/>
      <c r="N211" s="702"/>
      <c r="O211" s="702"/>
      <c r="P211" s="702"/>
      <c r="Q211" s="702"/>
      <c r="R211" s="702"/>
      <c r="S211" s="702"/>
      <c r="T211" s="702"/>
      <c r="U211" s="702"/>
      <c r="V211" s="716"/>
      <c r="W211" s="716"/>
      <c r="X211" s="716"/>
      <c r="Y211" s="702"/>
      <c r="Z211" s="702"/>
      <c r="AA211" s="702"/>
      <c r="AB211" s="702"/>
    </row>
    <row r="212" spans="9:28" x14ac:dyDescent="0.3">
      <c r="I212" s="702"/>
      <c r="J212" s="702"/>
      <c r="K212" s="702"/>
      <c r="L212" s="702"/>
      <c r="M212" s="702"/>
      <c r="N212" s="702"/>
      <c r="O212" s="702"/>
      <c r="P212" s="702"/>
      <c r="Q212" s="702"/>
      <c r="R212" s="702"/>
      <c r="S212" s="702"/>
      <c r="T212" s="702"/>
      <c r="U212" s="702"/>
      <c r="V212" s="716"/>
      <c r="W212" s="716"/>
      <c r="X212" s="716"/>
      <c r="Y212" s="702"/>
      <c r="Z212" s="702"/>
      <c r="AA212" s="702"/>
      <c r="AB212" s="702"/>
    </row>
    <row r="213" spans="9:28" x14ac:dyDescent="0.3">
      <c r="I213" s="702"/>
      <c r="J213" s="702"/>
      <c r="K213" s="702"/>
      <c r="L213" s="702"/>
      <c r="M213" s="702"/>
      <c r="N213" s="702"/>
      <c r="O213" s="702"/>
      <c r="P213" s="702"/>
      <c r="Q213" s="702"/>
      <c r="R213" s="702"/>
      <c r="S213" s="702"/>
      <c r="T213" s="702"/>
      <c r="U213" s="702"/>
      <c r="V213" s="716"/>
      <c r="W213" s="716"/>
      <c r="X213" s="716"/>
      <c r="Y213" s="702"/>
      <c r="Z213" s="702"/>
      <c r="AA213" s="702"/>
      <c r="AB213" s="702"/>
    </row>
    <row r="214" spans="9:28" x14ac:dyDescent="0.3">
      <c r="I214" s="702"/>
      <c r="J214" s="702"/>
      <c r="K214" s="702"/>
      <c r="L214" s="702"/>
      <c r="M214" s="702"/>
      <c r="N214" s="702"/>
      <c r="O214" s="702"/>
      <c r="P214" s="702"/>
      <c r="Q214" s="702"/>
      <c r="R214" s="702"/>
      <c r="S214" s="702"/>
      <c r="T214" s="702"/>
      <c r="U214" s="702"/>
      <c r="V214" s="716"/>
      <c r="W214" s="716"/>
      <c r="X214" s="716"/>
      <c r="Y214" s="702"/>
      <c r="Z214" s="702"/>
      <c r="AA214" s="702"/>
      <c r="AB214" s="702"/>
    </row>
    <row r="215" spans="9:28" x14ac:dyDescent="0.3">
      <c r="I215" s="702"/>
      <c r="J215" s="702"/>
      <c r="K215" s="702"/>
      <c r="L215" s="702"/>
      <c r="M215" s="702"/>
      <c r="N215" s="702"/>
      <c r="O215" s="702"/>
      <c r="P215" s="702"/>
      <c r="Q215" s="702"/>
      <c r="R215" s="702"/>
      <c r="S215" s="702"/>
      <c r="T215" s="702"/>
      <c r="U215" s="702"/>
      <c r="V215" s="716"/>
      <c r="W215" s="716"/>
      <c r="X215" s="716"/>
      <c r="Y215" s="702"/>
      <c r="Z215" s="702"/>
      <c r="AA215" s="702"/>
      <c r="AB215" s="702"/>
    </row>
    <row r="216" spans="9:28" x14ac:dyDescent="0.3">
      <c r="I216" s="702"/>
      <c r="J216" s="702"/>
      <c r="K216" s="702"/>
      <c r="L216" s="702"/>
      <c r="M216" s="702"/>
      <c r="N216" s="702"/>
      <c r="O216" s="702"/>
      <c r="P216" s="702"/>
      <c r="Q216" s="702"/>
      <c r="R216" s="702"/>
      <c r="S216" s="702"/>
      <c r="T216" s="702"/>
      <c r="U216" s="702"/>
      <c r="V216" s="716"/>
      <c r="W216" s="716"/>
      <c r="X216" s="716"/>
      <c r="Y216" s="702"/>
      <c r="Z216" s="702"/>
      <c r="AA216" s="702"/>
      <c r="AB216" s="702"/>
    </row>
    <row r="217" spans="9:28" x14ac:dyDescent="0.3">
      <c r="I217" s="702"/>
      <c r="J217" s="702"/>
      <c r="K217" s="702"/>
      <c r="L217" s="702"/>
      <c r="M217" s="702"/>
      <c r="N217" s="702"/>
      <c r="O217" s="702"/>
      <c r="P217" s="702"/>
      <c r="Q217" s="702"/>
      <c r="R217" s="702"/>
      <c r="S217" s="702"/>
      <c r="T217" s="702"/>
      <c r="U217" s="702"/>
      <c r="V217" s="716"/>
      <c r="W217" s="716"/>
      <c r="X217" s="716"/>
      <c r="Y217" s="702"/>
      <c r="Z217" s="702"/>
      <c r="AA217" s="702"/>
      <c r="AB217" s="702"/>
    </row>
    <row r="218" spans="9:28" x14ac:dyDescent="0.3">
      <c r="I218" s="702"/>
      <c r="J218" s="702"/>
      <c r="K218" s="702"/>
      <c r="L218" s="702"/>
      <c r="M218" s="702"/>
      <c r="N218" s="702"/>
      <c r="O218" s="702"/>
      <c r="P218" s="702"/>
      <c r="Q218" s="702"/>
      <c r="R218" s="702"/>
      <c r="S218" s="702"/>
      <c r="T218" s="702"/>
      <c r="U218" s="702"/>
      <c r="V218" s="716"/>
      <c r="W218" s="716"/>
      <c r="X218" s="716"/>
      <c r="Y218" s="702"/>
      <c r="Z218" s="702"/>
      <c r="AA218" s="702"/>
      <c r="AB218" s="702"/>
    </row>
    <row r="219" spans="9:28" x14ac:dyDescent="0.3">
      <c r="I219" s="702"/>
      <c r="J219" s="702"/>
      <c r="K219" s="702"/>
      <c r="L219" s="702"/>
      <c r="M219" s="702"/>
      <c r="N219" s="702"/>
      <c r="O219" s="702"/>
      <c r="P219" s="702"/>
      <c r="Q219" s="702"/>
      <c r="R219" s="702"/>
      <c r="S219" s="702"/>
      <c r="T219" s="702"/>
      <c r="U219" s="702"/>
      <c r="V219" s="716"/>
      <c r="W219" s="716"/>
      <c r="X219" s="716"/>
      <c r="Y219" s="702"/>
      <c r="Z219" s="702"/>
      <c r="AA219" s="702"/>
      <c r="AB219" s="702"/>
    </row>
    <row r="220" spans="9:28" x14ac:dyDescent="0.3">
      <c r="I220" s="702"/>
      <c r="J220" s="702"/>
      <c r="K220" s="702"/>
      <c r="L220" s="702"/>
      <c r="M220" s="702"/>
      <c r="N220" s="702"/>
      <c r="O220" s="702"/>
      <c r="P220" s="702"/>
      <c r="Q220" s="702"/>
      <c r="R220" s="702"/>
      <c r="S220" s="702"/>
      <c r="T220" s="702"/>
      <c r="U220" s="702"/>
      <c r="V220" s="716"/>
      <c r="W220" s="716"/>
      <c r="X220" s="716"/>
      <c r="Y220" s="702"/>
      <c r="Z220" s="702"/>
      <c r="AA220" s="702"/>
      <c r="AB220" s="702"/>
    </row>
    <row r="221" spans="9:28" x14ac:dyDescent="0.3">
      <c r="I221" s="702"/>
      <c r="J221" s="702"/>
      <c r="K221" s="702"/>
      <c r="L221" s="702"/>
      <c r="M221" s="702"/>
      <c r="N221" s="702"/>
      <c r="O221" s="702"/>
      <c r="P221" s="702"/>
      <c r="Q221" s="702"/>
      <c r="R221" s="702"/>
      <c r="S221" s="702"/>
      <c r="T221" s="702"/>
      <c r="U221" s="702"/>
      <c r="V221" s="716"/>
      <c r="W221" s="716"/>
      <c r="X221" s="716"/>
      <c r="Y221" s="702"/>
      <c r="Z221" s="702"/>
      <c r="AA221" s="702"/>
      <c r="AB221" s="702"/>
    </row>
    <row r="222" spans="9:28" x14ac:dyDescent="0.3">
      <c r="I222" s="702"/>
      <c r="J222" s="702"/>
      <c r="K222" s="702"/>
      <c r="L222" s="702"/>
      <c r="M222" s="702"/>
      <c r="N222" s="702"/>
      <c r="O222" s="702"/>
      <c r="P222" s="702"/>
      <c r="Q222" s="702"/>
      <c r="R222" s="702"/>
      <c r="S222" s="702"/>
      <c r="T222" s="702"/>
      <c r="U222" s="702"/>
      <c r="V222" s="716"/>
      <c r="W222" s="716"/>
      <c r="X222" s="716"/>
      <c r="Y222" s="702"/>
      <c r="Z222" s="702"/>
      <c r="AA222" s="702"/>
      <c r="AB222" s="702"/>
    </row>
    <row r="223" spans="9:28" x14ac:dyDescent="0.3">
      <c r="I223" s="702"/>
      <c r="J223" s="702"/>
      <c r="K223" s="702"/>
      <c r="L223" s="702"/>
      <c r="M223" s="702"/>
      <c r="N223" s="702"/>
      <c r="O223" s="702"/>
      <c r="P223" s="702"/>
      <c r="Q223" s="702"/>
      <c r="R223" s="702"/>
      <c r="S223" s="702"/>
      <c r="T223" s="702"/>
      <c r="U223" s="702"/>
      <c r="V223" s="716"/>
      <c r="W223" s="716"/>
      <c r="X223" s="716"/>
      <c r="Y223" s="702"/>
      <c r="Z223" s="702"/>
      <c r="AA223" s="702"/>
      <c r="AB223" s="702"/>
    </row>
    <row r="224" spans="9:28" x14ac:dyDescent="0.3">
      <c r="I224" s="702"/>
      <c r="J224" s="702"/>
      <c r="K224" s="702"/>
      <c r="L224" s="702"/>
      <c r="M224" s="702"/>
      <c r="N224" s="702"/>
      <c r="O224" s="702"/>
      <c r="P224" s="702"/>
      <c r="Q224" s="702"/>
      <c r="R224" s="702"/>
      <c r="S224" s="702"/>
      <c r="T224" s="702"/>
      <c r="U224" s="702"/>
      <c r="V224" s="716"/>
      <c r="W224" s="716"/>
      <c r="X224" s="716"/>
      <c r="Y224" s="702"/>
      <c r="Z224" s="702"/>
      <c r="AA224" s="702"/>
      <c r="AB224" s="702"/>
    </row>
    <row r="225" spans="9:28" x14ac:dyDescent="0.3">
      <c r="I225" s="702"/>
      <c r="J225" s="702"/>
      <c r="K225" s="702"/>
      <c r="L225" s="702"/>
      <c r="M225" s="702"/>
      <c r="N225" s="702"/>
      <c r="O225" s="702"/>
      <c r="P225" s="702"/>
      <c r="Q225" s="702"/>
      <c r="R225" s="702"/>
      <c r="S225" s="702"/>
      <c r="T225" s="702"/>
      <c r="U225" s="702"/>
      <c r="V225" s="716"/>
      <c r="W225" s="716"/>
      <c r="X225" s="716"/>
      <c r="Y225" s="702"/>
      <c r="Z225" s="702"/>
      <c r="AA225" s="702"/>
      <c r="AB225" s="702"/>
    </row>
    <row r="226" spans="9:28" x14ac:dyDescent="0.3">
      <c r="I226" s="702"/>
      <c r="J226" s="702"/>
      <c r="K226" s="702"/>
      <c r="L226" s="702"/>
      <c r="M226" s="702"/>
      <c r="N226" s="702"/>
      <c r="O226" s="702"/>
      <c r="P226" s="702"/>
      <c r="Q226" s="702"/>
      <c r="R226" s="702"/>
      <c r="S226" s="702"/>
      <c r="T226" s="702"/>
      <c r="U226" s="702"/>
      <c r="V226" s="716"/>
      <c r="W226" s="716"/>
      <c r="X226" s="716"/>
      <c r="Y226" s="702"/>
      <c r="Z226" s="702"/>
      <c r="AA226" s="702"/>
      <c r="AB226" s="702"/>
    </row>
    <row r="227" spans="9:28" x14ac:dyDescent="0.3">
      <c r="I227" s="702"/>
      <c r="J227" s="702"/>
      <c r="K227" s="702"/>
      <c r="L227" s="702"/>
      <c r="M227" s="702"/>
      <c r="N227" s="702"/>
      <c r="O227" s="702"/>
      <c r="P227" s="702"/>
      <c r="Q227" s="702"/>
      <c r="R227" s="702"/>
      <c r="S227" s="702"/>
      <c r="T227" s="702"/>
      <c r="U227" s="702"/>
      <c r="V227" s="716"/>
      <c r="W227" s="716"/>
      <c r="X227" s="716"/>
      <c r="Y227" s="702"/>
      <c r="Z227" s="702"/>
      <c r="AA227" s="702"/>
      <c r="AB227" s="702"/>
    </row>
    <row r="228" spans="9:28" x14ac:dyDescent="0.3">
      <c r="I228" s="702"/>
      <c r="J228" s="702"/>
      <c r="K228" s="702"/>
      <c r="L228" s="702"/>
      <c r="M228" s="702"/>
      <c r="N228" s="702"/>
      <c r="O228" s="702"/>
      <c r="P228" s="702"/>
      <c r="Q228" s="702"/>
      <c r="R228" s="702"/>
      <c r="S228" s="702"/>
      <c r="T228" s="702"/>
      <c r="U228" s="702"/>
      <c r="V228" s="716"/>
      <c r="W228" s="716"/>
      <c r="X228" s="716"/>
      <c r="Y228" s="702"/>
      <c r="Z228" s="702"/>
      <c r="AA228" s="702"/>
      <c r="AB228" s="702"/>
    </row>
    <row r="229" spans="9:28" x14ac:dyDescent="0.3">
      <c r="I229" s="702"/>
      <c r="J229" s="702"/>
      <c r="K229" s="702"/>
      <c r="L229" s="702"/>
      <c r="M229" s="702"/>
      <c r="N229" s="702"/>
      <c r="O229" s="702"/>
      <c r="P229" s="702"/>
      <c r="Q229" s="702"/>
      <c r="R229" s="702"/>
      <c r="S229" s="702"/>
      <c r="T229" s="702"/>
      <c r="U229" s="702"/>
      <c r="V229" s="716"/>
      <c r="W229" s="716"/>
      <c r="X229" s="716"/>
      <c r="Y229" s="702"/>
      <c r="Z229" s="702"/>
      <c r="AA229" s="702"/>
      <c r="AB229" s="702"/>
    </row>
    <row r="230" spans="9:28" x14ac:dyDescent="0.3">
      <c r="I230" s="702"/>
      <c r="J230" s="702"/>
      <c r="K230" s="702"/>
      <c r="L230" s="702"/>
      <c r="M230" s="702"/>
      <c r="N230" s="702"/>
      <c r="O230" s="702"/>
      <c r="P230" s="702"/>
      <c r="Q230" s="702"/>
      <c r="R230" s="702"/>
      <c r="S230" s="702"/>
      <c r="T230" s="702"/>
      <c r="U230" s="702"/>
      <c r="V230" s="716"/>
      <c r="W230" s="716"/>
      <c r="X230" s="716"/>
      <c r="Y230" s="702"/>
      <c r="Z230" s="702"/>
      <c r="AA230" s="702"/>
      <c r="AB230" s="702"/>
    </row>
    <row r="231" spans="9:28" x14ac:dyDescent="0.3">
      <c r="I231" s="702"/>
      <c r="J231" s="702"/>
      <c r="K231" s="702"/>
      <c r="L231" s="702"/>
      <c r="M231" s="702"/>
      <c r="N231" s="702"/>
      <c r="O231" s="702"/>
      <c r="P231" s="702"/>
      <c r="Q231" s="702"/>
      <c r="R231" s="702"/>
      <c r="S231" s="702"/>
      <c r="T231" s="702"/>
      <c r="U231" s="702"/>
      <c r="V231" s="716"/>
      <c r="W231" s="716"/>
      <c r="X231" s="716"/>
      <c r="Y231" s="702"/>
      <c r="Z231" s="702"/>
      <c r="AA231" s="702"/>
      <c r="AB231" s="702"/>
    </row>
    <row r="232" spans="9:28" x14ac:dyDescent="0.3">
      <c r="I232" s="702"/>
      <c r="J232" s="702"/>
      <c r="K232" s="702"/>
      <c r="L232" s="702"/>
      <c r="M232" s="702"/>
      <c r="N232" s="702"/>
      <c r="O232" s="702"/>
      <c r="P232" s="702"/>
      <c r="Q232" s="702"/>
      <c r="R232" s="702"/>
      <c r="S232" s="702"/>
      <c r="T232" s="702"/>
      <c r="U232" s="702"/>
      <c r="V232" s="716"/>
      <c r="W232" s="716"/>
      <c r="X232" s="716"/>
      <c r="Y232" s="702"/>
      <c r="Z232" s="702"/>
      <c r="AA232" s="702"/>
      <c r="AB232" s="702"/>
    </row>
    <row r="233" spans="9:28" x14ac:dyDescent="0.3">
      <c r="I233" s="702"/>
      <c r="J233" s="702"/>
      <c r="K233" s="702"/>
      <c r="L233" s="702"/>
      <c r="M233" s="702"/>
      <c r="N233" s="702"/>
      <c r="O233" s="702"/>
      <c r="P233" s="702"/>
      <c r="Q233" s="702"/>
      <c r="R233" s="702"/>
      <c r="S233" s="702"/>
      <c r="T233" s="702"/>
      <c r="U233" s="702"/>
      <c r="V233" s="716"/>
      <c r="W233" s="716"/>
      <c r="X233" s="716"/>
      <c r="Y233" s="702"/>
      <c r="Z233" s="702"/>
      <c r="AA233" s="702"/>
      <c r="AB233" s="702"/>
    </row>
    <row r="234" spans="9:28" x14ac:dyDescent="0.3">
      <c r="I234" s="702"/>
      <c r="J234" s="702"/>
      <c r="K234" s="702"/>
      <c r="L234" s="702"/>
      <c r="M234" s="702"/>
      <c r="N234" s="702"/>
      <c r="O234" s="702"/>
      <c r="P234" s="702"/>
      <c r="Q234" s="702"/>
      <c r="R234" s="702"/>
      <c r="S234" s="702"/>
      <c r="T234" s="702"/>
      <c r="U234" s="702"/>
      <c r="V234" s="716"/>
      <c r="W234" s="716"/>
      <c r="X234" s="716"/>
      <c r="Y234" s="702"/>
      <c r="Z234" s="702"/>
      <c r="AA234" s="702"/>
      <c r="AB234" s="702"/>
    </row>
    <row r="235" spans="9:28" x14ac:dyDescent="0.3">
      <c r="I235" s="702"/>
      <c r="J235" s="702"/>
      <c r="K235" s="702"/>
      <c r="L235" s="702"/>
      <c r="M235" s="702"/>
      <c r="N235" s="702"/>
      <c r="O235" s="702"/>
      <c r="P235" s="702"/>
      <c r="Q235" s="702"/>
      <c r="R235" s="702"/>
      <c r="S235" s="702"/>
      <c r="T235" s="702"/>
      <c r="U235" s="702"/>
      <c r="V235" s="716"/>
      <c r="W235" s="716"/>
      <c r="X235" s="716"/>
      <c r="Y235" s="702"/>
      <c r="Z235" s="702"/>
      <c r="AA235" s="702"/>
      <c r="AB235" s="702"/>
    </row>
    <row r="236" spans="9:28" x14ac:dyDescent="0.3">
      <c r="I236" s="702"/>
      <c r="J236" s="702"/>
      <c r="K236" s="702"/>
      <c r="L236" s="702"/>
      <c r="M236" s="702"/>
      <c r="N236" s="702"/>
      <c r="O236" s="702"/>
      <c r="P236" s="702"/>
      <c r="Q236" s="702"/>
      <c r="R236" s="702"/>
      <c r="S236" s="702"/>
      <c r="T236" s="702"/>
      <c r="U236" s="702"/>
      <c r="V236" s="716"/>
      <c r="W236" s="716"/>
      <c r="X236" s="716"/>
      <c r="Y236" s="702"/>
      <c r="Z236" s="702"/>
      <c r="AA236" s="702"/>
      <c r="AB236" s="702"/>
    </row>
    <row r="237" spans="9:28" x14ac:dyDescent="0.3">
      <c r="I237" s="702"/>
      <c r="J237" s="702"/>
      <c r="K237" s="702"/>
      <c r="L237" s="702"/>
      <c r="M237" s="702"/>
      <c r="N237" s="702"/>
      <c r="O237" s="702"/>
      <c r="P237" s="702"/>
      <c r="Q237" s="702"/>
      <c r="R237" s="702"/>
      <c r="S237" s="702"/>
      <c r="T237" s="702"/>
      <c r="U237" s="702"/>
      <c r="V237" s="716"/>
      <c r="W237" s="716"/>
      <c r="X237" s="716"/>
      <c r="Y237" s="702"/>
      <c r="Z237" s="702"/>
      <c r="AA237" s="702"/>
      <c r="AB237" s="702"/>
    </row>
    <row r="238" spans="9:28" x14ac:dyDescent="0.3">
      <c r="I238" s="702"/>
      <c r="J238" s="702"/>
      <c r="K238" s="702"/>
      <c r="L238" s="702"/>
      <c r="M238" s="702"/>
      <c r="N238" s="702"/>
      <c r="O238" s="702"/>
      <c r="P238" s="702"/>
      <c r="Q238" s="702"/>
      <c r="R238" s="702"/>
      <c r="S238" s="702"/>
      <c r="T238" s="702"/>
      <c r="U238" s="702"/>
      <c r="V238" s="716"/>
      <c r="W238" s="716"/>
      <c r="X238" s="716"/>
      <c r="Y238" s="702"/>
      <c r="Z238" s="702"/>
      <c r="AA238" s="702"/>
      <c r="AB238" s="702"/>
    </row>
    <row r="239" spans="9:28" x14ac:dyDescent="0.3">
      <c r="I239" s="702"/>
      <c r="J239" s="702"/>
      <c r="K239" s="702"/>
      <c r="L239" s="702"/>
      <c r="M239" s="702"/>
      <c r="N239" s="702"/>
      <c r="O239" s="702"/>
      <c r="P239" s="702"/>
      <c r="Q239" s="702"/>
      <c r="R239" s="702"/>
      <c r="S239" s="702"/>
      <c r="T239" s="702"/>
      <c r="U239" s="702"/>
      <c r="V239" s="716"/>
      <c r="W239" s="716"/>
      <c r="X239" s="716"/>
      <c r="Y239" s="702"/>
      <c r="Z239" s="702"/>
      <c r="AA239" s="702"/>
      <c r="AB239" s="702"/>
    </row>
    <row r="240" spans="9:28" x14ac:dyDescent="0.3">
      <c r="I240" s="702"/>
      <c r="J240" s="702"/>
      <c r="K240" s="702"/>
      <c r="L240" s="702"/>
      <c r="M240" s="702"/>
      <c r="N240" s="702"/>
      <c r="O240" s="702"/>
      <c r="P240" s="702"/>
      <c r="Q240" s="702"/>
      <c r="R240" s="702"/>
      <c r="S240" s="702"/>
      <c r="T240" s="702"/>
      <c r="U240" s="702"/>
      <c r="V240" s="716"/>
      <c r="W240" s="716"/>
      <c r="X240" s="716"/>
      <c r="Y240" s="702"/>
      <c r="Z240" s="702"/>
      <c r="AA240" s="702"/>
      <c r="AB240" s="702"/>
    </row>
    <row r="241" spans="9:28" x14ac:dyDescent="0.3">
      <c r="I241" s="702"/>
      <c r="J241" s="702"/>
      <c r="K241" s="702"/>
      <c r="L241" s="702"/>
      <c r="M241" s="702"/>
      <c r="N241" s="702"/>
      <c r="O241" s="702"/>
      <c r="P241" s="702"/>
      <c r="Q241" s="702"/>
      <c r="R241" s="702"/>
      <c r="S241" s="702"/>
      <c r="T241" s="702"/>
      <c r="U241" s="702"/>
      <c r="V241" s="716"/>
      <c r="W241" s="716"/>
      <c r="X241" s="716"/>
      <c r="Y241" s="702"/>
      <c r="Z241" s="702"/>
      <c r="AA241" s="702"/>
      <c r="AB241" s="702"/>
    </row>
    <row r="242" spans="9:28" x14ac:dyDescent="0.3">
      <c r="I242" s="702"/>
      <c r="J242" s="702"/>
      <c r="K242" s="702"/>
      <c r="L242" s="702"/>
      <c r="M242" s="702"/>
      <c r="N242" s="702"/>
      <c r="O242" s="702"/>
      <c r="P242" s="702"/>
      <c r="Q242" s="702"/>
      <c r="R242" s="702"/>
      <c r="S242" s="702"/>
      <c r="T242" s="702"/>
      <c r="U242" s="702"/>
      <c r="V242" s="716"/>
      <c r="W242" s="716"/>
      <c r="X242" s="716"/>
      <c r="Y242" s="702"/>
      <c r="Z242" s="702"/>
      <c r="AA242" s="702"/>
      <c r="AB242" s="702"/>
    </row>
    <row r="243" spans="9:28" x14ac:dyDescent="0.3">
      <c r="I243" s="702"/>
      <c r="J243" s="702"/>
      <c r="K243" s="702"/>
      <c r="L243" s="702"/>
      <c r="M243" s="702"/>
      <c r="N243" s="702"/>
      <c r="O243" s="702"/>
      <c r="P243" s="702"/>
      <c r="Q243" s="702"/>
      <c r="R243" s="702"/>
      <c r="S243" s="702"/>
      <c r="T243" s="702"/>
      <c r="U243" s="702"/>
      <c r="V243" s="716"/>
      <c r="W243" s="716"/>
      <c r="X243" s="716"/>
      <c r="Y243" s="702"/>
      <c r="Z243" s="702"/>
      <c r="AA243" s="702"/>
      <c r="AB243" s="702"/>
    </row>
    <row r="244" spans="9:28" x14ac:dyDescent="0.3">
      <c r="I244" s="702"/>
      <c r="J244" s="702"/>
      <c r="K244" s="702"/>
      <c r="L244" s="702"/>
      <c r="M244" s="702"/>
      <c r="N244" s="702"/>
      <c r="O244" s="702"/>
      <c r="P244" s="702"/>
      <c r="Q244" s="702"/>
      <c r="R244" s="702"/>
      <c r="S244" s="702"/>
      <c r="T244" s="702"/>
      <c r="U244" s="702"/>
      <c r="V244" s="716"/>
      <c r="W244" s="716"/>
      <c r="X244" s="716"/>
      <c r="Y244" s="702"/>
      <c r="Z244" s="702"/>
      <c r="AA244" s="702"/>
      <c r="AB244" s="702"/>
    </row>
    <row r="245" spans="9:28" x14ac:dyDescent="0.3">
      <c r="I245" s="702"/>
      <c r="J245" s="702"/>
      <c r="K245" s="702"/>
      <c r="L245" s="702"/>
      <c r="M245" s="702"/>
      <c r="N245" s="702"/>
      <c r="O245" s="702"/>
      <c r="P245" s="702"/>
      <c r="Q245" s="702"/>
      <c r="R245" s="702"/>
      <c r="S245" s="702"/>
      <c r="T245" s="702"/>
      <c r="U245" s="702"/>
      <c r="V245" s="716"/>
      <c r="W245" s="716"/>
      <c r="X245" s="716"/>
      <c r="Y245" s="702"/>
      <c r="Z245" s="702"/>
      <c r="AA245" s="702"/>
      <c r="AB245" s="702"/>
    </row>
    <row r="246" spans="9:28" x14ac:dyDescent="0.3">
      <c r="I246" s="702"/>
      <c r="J246" s="702"/>
      <c r="K246" s="702"/>
      <c r="L246" s="702"/>
      <c r="M246" s="702"/>
      <c r="N246" s="702"/>
      <c r="O246" s="702"/>
      <c r="P246" s="702"/>
      <c r="Q246" s="702"/>
      <c r="R246" s="702"/>
      <c r="S246" s="702"/>
      <c r="T246" s="702"/>
      <c r="U246" s="702"/>
      <c r="V246" s="716"/>
      <c r="W246" s="716"/>
      <c r="X246" s="716"/>
      <c r="Y246" s="702"/>
      <c r="Z246" s="702"/>
      <c r="AA246" s="702"/>
      <c r="AB246" s="702"/>
    </row>
    <row r="247" spans="9:28" x14ac:dyDescent="0.3">
      <c r="I247" s="702"/>
      <c r="J247" s="702"/>
      <c r="K247" s="702"/>
      <c r="L247" s="702"/>
      <c r="M247" s="702"/>
      <c r="N247" s="702"/>
      <c r="O247" s="702"/>
      <c r="P247" s="702"/>
      <c r="Q247" s="702"/>
      <c r="R247" s="702"/>
      <c r="S247" s="702"/>
      <c r="T247" s="702"/>
      <c r="U247" s="702"/>
      <c r="V247" s="716"/>
      <c r="W247" s="716"/>
      <c r="X247" s="716"/>
      <c r="Y247" s="702"/>
      <c r="Z247" s="702"/>
      <c r="AA247" s="702"/>
      <c r="AB247" s="702"/>
    </row>
    <row r="248" spans="9:28" x14ac:dyDescent="0.3">
      <c r="I248" s="702"/>
      <c r="J248" s="702"/>
      <c r="K248" s="702"/>
      <c r="L248" s="702"/>
      <c r="M248" s="702"/>
      <c r="N248" s="702"/>
      <c r="O248" s="702"/>
      <c r="P248" s="702"/>
      <c r="Q248" s="702"/>
      <c r="R248" s="702"/>
      <c r="S248" s="702"/>
      <c r="T248" s="702"/>
      <c r="U248" s="702"/>
      <c r="V248" s="716"/>
      <c r="W248" s="716"/>
      <c r="X248" s="716"/>
      <c r="Y248" s="702"/>
      <c r="Z248" s="702"/>
      <c r="AA248" s="702"/>
      <c r="AB248" s="702"/>
    </row>
    <row r="249" spans="9:28" x14ac:dyDescent="0.3">
      <c r="I249" s="702"/>
      <c r="J249" s="702"/>
      <c r="K249" s="702"/>
      <c r="L249" s="702"/>
      <c r="M249" s="702"/>
      <c r="N249" s="702"/>
      <c r="O249" s="702"/>
      <c r="P249" s="702"/>
      <c r="Q249" s="702"/>
      <c r="R249" s="702"/>
      <c r="S249" s="702"/>
      <c r="T249" s="702"/>
      <c r="U249" s="702"/>
      <c r="V249" s="716"/>
      <c r="W249" s="716"/>
      <c r="X249" s="716"/>
      <c r="Y249" s="702"/>
      <c r="Z249" s="702"/>
      <c r="AA249" s="702"/>
      <c r="AB249" s="702"/>
    </row>
    <row r="250" spans="9:28" x14ac:dyDescent="0.3">
      <c r="I250" s="702"/>
      <c r="J250" s="702"/>
      <c r="K250" s="702"/>
      <c r="L250" s="702"/>
      <c r="M250" s="702"/>
      <c r="N250" s="702"/>
      <c r="O250" s="702"/>
      <c r="P250" s="702"/>
      <c r="Q250" s="702"/>
      <c r="R250" s="702"/>
      <c r="S250" s="702"/>
      <c r="T250" s="702"/>
      <c r="U250" s="702"/>
      <c r="V250" s="716"/>
      <c r="W250" s="716"/>
      <c r="X250" s="716"/>
      <c r="Y250" s="702"/>
      <c r="Z250" s="702"/>
      <c r="AA250" s="702"/>
      <c r="AB250" s="702"/>
    </row>
    <row r="251" spans="9:28" x14ac:dyDescent="0.3">
      <c r="I251" s="702"/>
      <c r="J251" s="702"/>
      <c r="K251" s="702"/>
      <c r="L251" s="702"/>
      <c r="M251" s="702"/>
      <c r="N251" s="702"/>
      <c r="O251" s="702"/>
      <c r="P251" s="702"/>
      <c r="Q251" s="702"/>
      <c r="R251" s="702"/>
      <c r="S251" s="702"/>
      <c r="T251" s="702"/>
      <c r="U251" s="702"/>
      <c r="V251" s="716"/>
      <c r="W251" s="716"/>
      <c r="X251" s="716"/>
      <c r="Y251" s="702"/>
      <c r="Z251" s="702"/>
      <c r="AA251" s="702"/>
      <c r="AB251" s="702"/>
    </row>
    <row r="252" spans="9:28" x14ac:dyDescent="0.3">
      <c r="I252" s="702"/>
      <c r="J252" s="702"/>
      <c r="K252" s="702"/>
      <c r="L252" s="702"/>
      <c r="M252" s="702"/>
      <c r="N252" s="702"/>
      <c r="O252" s="702"/>
      <c r="P252" s="702"/>
      <c r="Q252" s="702"/>
      <c r="R252" s="702"/>
      <c r="S252" s="702"/>
      <c r="T252" s="702"/>
      <c r="U252" s="702"/>
      <c r="V252" s="716"/>
      <c r="W252" s="716"/>
      <c r="X252" s="716"/>
      <c r="Y252" s="702"/>
      <c r="Z252" s="702"/>
      <c r="AA252" s="702"/>
      <c r="AB252" s="702"/>
    </row>
    <row r="253" spans="9:28" x14ac:dyDescent="0.3">
      <c r="I253" s="702"/>
      <c r="J253" s="702"/>
      <c r="K253" s="702"/>
      <c r="L253" s="702"/>
      <c r="M253" s="702"/>
      <c r="N253" s="702"/>
      <c r="O253" s="702"/>
      <c r="P253" s="702"/>
      <c r="Q253" s="702"/>
      <c r="R253" s="702"/>
      <c r="S253" s="702"/>
      <c r="T253" s="702"/>
      <c r="U253" s="702"/>
      <c r="V253" s="716"/>
      <c r="W253" s="716"/>
      <c r="X253" s="716"/>
      <c r="Y253" s="702"/>
      <c r="Z253" s="702"/>
      <c r="AA253" s="702"/>
      <c r="AB253" s="702"/>
    </row>
    <row r="254" spans="9:28" x14ac:dyDescent="0.3">
      <c r="I254" s="702"/>
      <c r="J254" s="702"/>
      <c r="K254" s="702"/>
      <c r="L254" s="702"/>
      <c r="M254" s="702"/>
      <c r="N254" s="702"/>
      <c r="O254" s="702"/>
      <c r="P254" s="702"/>
      <c r="Q254" s="702"/>
      <c r="R254" s="702"/>
      <c r="S254" s="702"/>
      <c r="T254" s="702"/>
      <c r="U254" s="702"/>
      <c r="V254" s="716"/>
      <c r="W254" s="716"/>
      <c r="X254" s="716"/>
      <c r="Y254" s="702"/>
      <c r="Z254" s="702"/>
      <c r="AA254" s="702"/>
      <c r="AB254" s="702"/>
    </row>
    <row r="255" spans="9:28" x14ac:dyDescent="0.3">
      <c r="I255" s="702"/>
      <c r="J255" s="702"/>
      <c r="K255" s="702"/>
      <c r="L255" s="702"/>
      <c r="M255" s="702"/>
      <c r="N255" s="702"/>
      <c r="O255" s="702"/>
      <c r="P255" s="702"/>
      <c r="Q255" s="702"/>
      <c r="R255" s="702"/>
      <c r="S255" s="702"/>
      <c r="T255" s="702"/>
      <c r="U255" s="702"/>
      <c r="V255" s="716"/>
      <c r="W255" s="716"/>
      <c r="X255" s="716"/>
      <c r="Y255" s="702"/>
      <c r="Z255" s="702"/>
      <c r="AA255" s="702"/>
      <c r="AB255" s="702"/>
    </row>
    <row r="256" spans="9:28" x14ac:dyDescent="0.3">
      <c r="I256" s="702"/>
      <c r="J256" s="702"/>
      <c r="K256" s="702"/>
      <c r="L256" s="702"/>
      <c r="M256" s="702"/>
      <c r="N256" s="702"/>
      <c r="O256" s="702"/>
      <c r="P256" s="702"/>
      <c r="Q256" s="702"/>
      <c r="R256" s="702"/>
      <c r="S256" s="702"/>
      <c r="T256" s="702"/>
      <c r="U256" s="702"/>
      <c r="V256" s="716"/>
      <c r="W256" s="716"/>
      <c r="X256" s="716"/>
      <c r="Y256" s="702"/>
      <c r="Z256" s="702"/>
      <c r="AA256" s="702"/>
      <c r="AB256" s="702"/>
    </row>
    <row r="257" spans="9:28" x14ac:dyDescent="0.3">
      <c r="I257" s="702"/>
      <c r="J257" s="702"/>
      <c r="K257" s="702"/>
      <c r="L257" s="702"/>
      <c r="M257" s="702"/>
      <c r="N257" s="702"/>
      <c r="O257" s="702"/>
      <c r="P257" s="702"/>
      <c r="Q257" s="702"/>
      <c r="R257" s="702"/>
      <c r="S257" s="702"/>
      <c r="T257" s="702"/>
      <c r="U257" s="702"/>
      <c r="V257" s="716"/>
      <c r="W257" s="716"/>
      <c r="X257" s="716"/>
      <c r="Y257" s="702"/>
      <c r="Z257" s="702"/>
      <c r="AA257" s="702"/>
      <c r="AB257" s="702"/>
    </row>
    <row r="258" spans="9:28" x14ac:dyDescent="0.3">
      <c r="I258" s="702"/>
      <c r="J258" s="702"/>
      <c r="K258" s="702"/>
      <c r="L258" s="702"/>
      <c r="M258" s="702"/>
      <c r="N258" s="702"/>
      <c r="O258" s="702"/>
      <c r="P258" s="702"/>
      <c r="Q258" s="702"/>
      <c r="R258" s="702"/>
      <c r="S258" s="702"/>
      <c r="T258" s="702"/>
      <c r="U258" s="702"/>
      <c r="V258" s="716"/>
      <c r="W258" s="716"/>
      <c r="X258" s="716"/>
      <c r="Y258" s="702"/>
      <c r="Z258" s="702"/>
      <c r="AA258" s="702"/>
      <c r="AB258" s="702"/>
    </row>
    <row r="259" spans="9:28" x14ac:dyDescent="0.3">
      <c r="I259" s="702"/>
      <c r="J259" s="702"/>
      <c r="K259" s="702"/>
      <c r="L259" s="702"/>
      <c r="M259" s="702"/>
      <c r="N259" s="702"/>
      <c r="O259" s="702"/>
      <c r="P259" s="702"/>
      <c r="Q259" s="702"/>
      <c r="R259" s="702"/>
      <c r="S259" s="702"/>
      <c r="T259" s="702"/>
      <c r="U259" s="702"/>
      <c r="V259" s="716"/>
      <c r="W259" s="716"/>
      <c r="X259" s="716"/>
      <c r="Y259" s="702"/>
      <c r="Z259" s="702"/>
      <c r="AA259" s="702"/>
      <c r="AB259" s="702"/>
    </row>
    <row r="260" spans="9:28" x14ac:dyDescent="0.3">
      <c r="I260" s="702"/>
      <c r="J260" s="702"/>
      <c r="K260" s="702"/>
      <c r="L260" s="702"/>
      <c r="M260" s="702"/>
      <c r="N260" s="702"/>
      <c r="O260" s="702"/>
      <c r="P260" s="702"/>
      <c r="Q260" s="702"/>
      <c r="R260" s="702"/>
      <c r="S260" s="702"/>
      <c r="T260" s="702"/>
      <c r="U260" s="702"/>
      <c r="V260" s="716"/>
      <c r="W260" s="716"/>
      <c r="X260" s="716"/>
      <c r="Y260" s="702"/>
      <c r="Z260" s="702"/>
      <c r="AA260" s="702"/>
      <c r="AB260" s="702"/>
    </row>
    <row r="261" spans="9:28" x14ac:dyDescent="0.3">
      <c r="I261" s="702"/>
      <c r="J261" s="702"/>
      <c r="K261" s="702"/>
      <c r="L261" s="702"/>
      <c r="M261" s="702"/>
      <c r="N261" s="702"/>
      <c r="O261" s="702"/>
      <c r="P261" s="702"/>
      <c r="Q261" s="702"/>
      <c r="R261" s="702"/>
      <c r="S261" s="702"/>
      <c r="T261" s="702"/>
      <c r="U261" s="702"/>
      <c r="V261" s="716"/>
      <c r="W261" s="716"/>
      <c r="X261" s="716"/>
      <c r="Y261" s="702"/>
      <c r="Z261" s="702"/>
      <c r="AA261" s="702"/>
      <c r="AB261" s="702"/>
    </row>
    <row r="262" spans="9:28" x14ac:dyDescent="0.3">
      <c r="I262" s="702"/>
      <c r="J262" s="702"/>
      <c r="K262" s="702"/>
      <c r="L262" s="702"/>
      <c r="M262" s="702"/>
      <c r="N262" s="702"/>
      <c r="O262" s="702"/>
      <c r="P262" s="702"/>
      <c r="Q262" s="702"/>
      <c r="R262" s="702"/>
      <c r="S262" s="702"/>
      <c r="T262" s="702"/>
      <c r="U262" s="702"/>
      <c r="V262" s="716"/>
      <c r="W262" s="716"/>
      <c r="X262" s="716"/>
      <c r="Y262" s="702"/>
      <c r="Z262" s="702"/>
      <c r="AA262" s="702"/>
      <c r="AB262" s="702"/>
    </row>
    <row r="263" spans="9:28" x14ac:dyDescent="0.3">
      <c r="I263" s="702"/>
      <c r="J263" s="702"/>
      <c r="K263" s="702"/>
      <c r="L263" s="702"/>
      <c r="M263" s="702"/>
      <c r="N263" s="702"/>
      <c r="O263" s="702"/>
      <c r="P263" s="702"/>
      <c r="Q263" s="702"/>
      <c r="R263" s="702"/>
      <c r="S263" s="702"/>
      <c r="T263" s="702"/>
      <c r="U263" s="702"/>
      <c r="V263" s="716"/>
      <c r="W263" s="716"/>
      <c r="X263" s="716"/>
      <c r="Y263" s="702"/>
      <c r="Z263" s="702"/>
      <c r="AA263" s="702"/>
      <c r="AB263" s="702"/>
    </row>
    <row r="264" spans="9:28" x14ac:dyDescent="0.3">
      <c r="I264" s="702"/>
      <c r="J264" s="702"/>
      <c r="K264" s="702"/>
      <c r="L264" s="702"/>
      <c r="M264" s="702"/>
      <c r="N264" s="702"/>
      <c r="O264" s="702"/>
      <c r="P264" s="702"/>
      <c r="Q264" s="702"/>
      <c r="R264" s="702"/>
      <c r="S264" s="702"/>
      <c r="T264" s="702"/>
      <c r="U264" s="702"/>
      <c r="V264" s="716"/>
      <c r="W264" s="716"/>
      <c r="X264" s="716"/>
      <c r="Y264" s="702"/>
      <c r="Z264" s="702"/>
      <c r="AA264" s="702"/>
      <c r="AB264" s="702"/>
    </row>
    <row r="265" spans="9:28" x14ac:dyDescent="0.3">
      <c r="I265" s="702"/>
      <c r="J265" s="702"/>
      <c r="K265" s="702"/>
      <c r="L265" s="702"/>
      <c r="M265" s="702"/>
      <c r="N265" s="702"/>
      <c r="O265" s="702"/>
      <c r="P265" s="702"/>
      <c r="Q265" s="702"/>
      <c r="R265" s="702"/>
      <c r="S265" s="702"/>
      <c r="T265" s="702"/>
      <c r="U265" s="702"/>
      <c r="V265" s="716"/>
      <c r="W265" s="716"/>
      <c r="X265" s="716"/>
      <c r="Y265" s="702"/>
      <c r="Z265" s="702"/>
      <c r="AA265" s="702"/>
      <c r="AB265" s="702"/>
    </row>
    <row r="266" spans="9:28" x14ac:dyDescent="0.3">
      <c r="I266" s="702"/>
      <c r="J266" s="702"/>
      <c r="K266" s="702"/>
      <c r="L266" s="702"/>
      <c r="M266" s="702"/>
      <c r="N266" s="702"/>
      <c r="O266" s="702"/>
      <c r="P266" s="702"/>
      <c r="Q266" s="702"/>
      <c r="R266" s="702"/>
      <c r="S266" s="702"/>
      <c r="T266" s="702"/>
      <c r="U266" s="702"/>
      <c r="V266" s="716"/>
      <c r="W266" s="716"/>
      <c r="X266" s="716"/>
      <c r="Y266" s="702"/>
      <c r="Z266" s="702"/>
      <c r="AA266" s="702"/>
      <c r="AB266" s="702"/>
    </row>
    <row r="267" spans="9:28" x14ac:dyDescent="0.3">
      <c r="I267" s="702"/>
      <c r="J267" s="702"/>
      <c r="K267" s="702"/>
      <c r="L267" s="702"/>
      <c r="M267" s="702"/>
      <c r="N267" s="702"/>
      <c r="O267" s="702"/>
      <c r="P267" s="702"/>
      <c r="Q267" s="702"/>
      <c r="R267" s="702"/>
      <c r="S267" s="702"/>
      <c r="T267" s="702"/>
      <c r="U267" s="702"/>
      <c r="V267" s="716"/>
      <c r="W267" s="716"/>
      <c r="X267" s="716"/>
      <c r="Y267" s="702"/>
      <c r="Z267" s="702"/>
      <c r="AA267" s="702"/>
      <c r="AB267" s="702"/>
    </row>
    <row r="268" spans="9:28" x14ac:dyDescent="0.3">
      <c r="I268" s="702"/>
      <c r="J268" s="702"/>
      <c r="K268" s="702"/>
      <c r="L268" s="702"/>
      <c r="M268" s="702"/>
      <c r="N268" s="702"/>
      <c r="O268" s="702"/>
      <c r="P268" s="702"/>
      <c r="Q268" s="702"/>
      <c r="R268" s="702"/>
      <c r="S268" s="702"/>
      <c r="T268" s="702"/>
      <c r="U268" s="702"/>
      <c r="V268" s="716"/>
      <c r="W268" s="716"/>
      <c r="X268" s="716"/>
      <c r="Y268" s="702"/>
      <c r="Z268" s="702"/>
      <c r="AA268" s="702"/>
      <c r="AB268" s="702"/>
    </row>
    <row r="269" spans="9:28" x14ac:dyDescent="0.3">
      <c r="I269" s="702"/>
      <c r="J269" s="702"/>
      <c r="K269" s="702"/>
      <c r="L269" s="702"/>
      <c r="M269" s="702"/>
      <c r="N269" s="702"/>
      <c r="O269" s="702"/>
      <c r="P269" s="702"/>
      <c r="Q269" s="702"/>
      <c r="R269" s="702"/>
      <c r="S269" s="702"/>
      <c r="T269" s="702"/>
      <c r="U269" s="702"/>
      <c r="V269" s="716"/>
      <c r="W269" s="716"/>
      <c r="X269" s="716"/>
      <c r="Y269" s="702"/>
      <c r="Z269" s="702"/>
      <c r="AA269" s="702"/>
      <c r="AB269" s="702"/>
    </row>
    <row r="270" spans="9:28" x14ac:dyDescent="0.3">
      <c r="I270" s="702"/>
      <c r="J270" s="702"/>
      <c r="K270" s="702"/>
      <c r="L270" s="702"/>
      <c r="M270" s="702"/>
      <c r="N270" s="702"/>
      <c r="O270" s="702"/>
      <c r="P270" s="702"/>
      <c r="Q270" s="702"/>
      <c r="R270" s="702"/>
      <c r="S270" s="702"/>
      <c r="T270" s="702"/>
      <c r="U270" s="702"/>
      <c r="V270" s="716"/>
      <c r="W270" s="716"/>
      <c r="X270" s="716"/>
      <c r="Y270" s="702"/>
      <c r="Z270" s="702"/>
      <c r="AA270" s="702"/>
      <c r="AB270" s="702"/>
    </row>
    <row r="271" spans="9:28" x14ac:dyDescent="0.3">
      <c r="I271" s="702"/>
      <c r="J271" s="702"/>
      <c r="K271" s="702"/>
      <c r="L271" s="702"/>
      <c r="M271" s="702"/>
      <c r="N271" s="702"/>
      <c r="O271" s="702"/>
      <c r="P271" s="702"/>
      <c r="Q271" s="702"/>
      <c r="R271" s="702"/>
      <c r="S271" s="702"/>
      <c r="T271" s="702"/>
      <c r="U271" s="702"/>
      <c r="V271" s="716"/>
      <c r="W271" s="716"/>
      <c r="X271" s="716"/>
      <c r="Y271" s="702"/>
      <c r="Z271" s="702"/>
      <c r="AA271" s="702"/>
      <c r="AB271" s="702"/>
    </row>
    <row r="272" spans="9:28" x14ac:dyDescent="0.3">
      <c r="I272" s="702"/>
      <c r="J272" s="702"/>
      <c r="K272" s="702"/>
      <c r="L272" s="702"/>
      <c r="M272" s="702"/>
      <c r="N272" s="702"/>
      <c r="O272" s="702"/>
      <c r="P272" s="702"/>
      <c r="Q272" s="702"/>
      <c r="R272" s="702"/>
      <c r="S272" s="702"/>
      <c r="T272" s="702"/>
      <c r="U272" s="702"/>
      <c r="V272" s="716"/>
      <c r="W272" s="716"/>
      <c r="X272" s="716"/>
      <c r="Y272" s="702"/>
      <c r="Z272" s="702"/>
      <c r="AA272" s="702"/>
      <c r="AB272" s="702"/>
    </row>
    <row r="273" spans="9:28" x14ac:dyDescent="0.3">
      <c r="I273" s="702"/>
      <c r="J273" s="702"/>
      <c r="K273" s="702"/>
      <c r="L273" s="702"/>
      <c r="M273" s="702"/>
      <c r="N273" s="702"/>
      <c r="O273" s="702"/>
      <c r="P273" s="702"/>
      <c r="Q273" s="702"/>
      <c r="R273" s="702"/>
      <c r="S273" s="702"/>
      <c r="T273" s="702"/>
      <c r="U273" s="702"/>
      <c r="V273" s="716"/>
      <c r="W273" s="716"/>
      <c r="X273" s="716"/>
      <c r="Y273" s="702"/>
      <c r="Z273" s="702"/>
      <c r="AA273" s="702"/>
      <c r="AB273" s="702"/>
    </row>
    <row r="274" spans="9:28" x14ac:dyDescent="0.3">
      <c r="I274" s="702"/>
      <c r="J274" s="702"/>
      <c r="K274" s="702"/>
      <c r="L274" s="702"/>
      <c r="M274" s="702"/>
      <c r="N274" s="702"/>
      <c r="O274" s="702"/>
      <c r="P274" s="702"/>
      <c r="Q274" s="702"/>
      <c r="R274" s="702"/>
      <c r="S274" s="702"/>
      <c r="T274" s="702"/>
      <c r="U274" s="702"/>
      <c r="V274" s="716"/>
      <c r="W274" s="716"/>
      <c r="X274" s="716"/>
      <c r="Y274" s="702"/>
      <c r="Z274" s="702"/>
      <c r="AA274" s="702"/>
      <c r="AB274" s="702"/>
    </row>
    <row r="275" spans="9:28" x14ac:dyDescent="0.3">
      <c r="I275" s="702"/>
      <c r="J275" s="702"/>
      <c r="K275" s="702"/>
      <c r="L275" s="702"/>
      <c r="M275" s="702"/>
      <c r="N275" s="702"/>
      <c r="O275" s="702"/>
      <c r="P275" s="702"/>
      <c r="Q275" s="702"/>
      <c r="R275" s="702"/>
      <c r="S275" s="702"/>
      <c r="T275" s="702"/>
      <c r="U275" s="702"/>
      <c r="V275" s="716"/>
      <c r="W275" s="716"/>
      <c r="X275" s="716"/>
      <c r="Y275" s="702"/>
      <c r="Z275" s="702"/>
      <c r="AA275" s="702"/>
      <c r="AB275" s="702"/>
    </row>
    <row r="276" spans="9:28" x14ac:dyDescent="0.3">
      <c r="I276" s="702"/>
      <c r="J276" s="702"/>
      <c r="K276" s="702"/>
      <c r="L276" s="702"/>
      <c r="M276" s="702"/>
      <c r="N276" s="702"/>
      <c r="O276" s="702"/>
      <c r="P276" s="702"/>
      <c r="Q276" s="702"/>
      <c r="R276" s="702"/>
      <c r="S276" s="702"/>
      <c r="T276" s="702"/>
      <c r="U276" s="702"/>
      <c r="V276" s="716"/>
      <c r="W276" s="716"/>
      <c r="X276" s="716"/>
      <c r="Y276" s="702"/>
      <c r="Z276" s="702"/>
      <c r="AA276" s="702"/>
      <c r="AB276" s="702"/>
    </row>
    <row r="277" spans="9:28" x14ac:dyDescent="0.3">
      <c r="I277" s="702"/>
      <c r="J277" s="702"/>
      <c r="K277" s="702"/>
      <c r="L277" s="702"/>
      <c r="M277" s="702"/>
      <c r="N277" s="702"/>
      <c r="O277" s="702"/>
      <c r="P277" s="702"/>
      <c r="Q277" s="702"/>
      <c r="R277" s="702"/>
      <c r="S277" s="702"/>
      <c r="T277" s="702"/>
      <c r="U277" s="702"/>
      <c r="V277" s="716"/>
      <c r="W277" s="716"/>
      <c r="X277" s="716"/>
      <c r="Y277" s="702"/>
      <c r="Z277" s="702"/>
      <c r="AA277" s="702"/>
      <c r="AB277" s="702"/>
    </row>
    <row r="278" spans="9:28" x14ac:dyDescent="0.3">
      <c r="I278" s="702"/>
      <c r="J278" s="702"/>
      <c r="K278" s="702"/>
      <c r="L278" s="702"/>
      <c r="M278" s="702"/>
      <c r="N278" s="702"/>
      <c r="O278" s="702"/>
      <c r="P278" s="702"/>
      <c r="Q278" s="702"/>
      <c r="R278" s="702"/>
      <c r="S278" s="702"/>
      <c r="T278" s="702"/>
      <c r="U278" s="702"/>
      <c r="V278" s="716"/>
      <c r="W278" s="716"/>
      <c r="X278" s="716"/>
      <c r="Y278" s="702"/>
      <c r="Z278" s="702"/>
      <c r="AA278" s="702"/>
      <c r="AB278" s="702"/>
    </row>
    <row r="279" spans="9:28" x14ac:dyDescent="0.3">
      <c r="I279" s="702"/>
      <c r="J279" s="702"/>
      <c r="K279" s="702"/>
      <c r="L279" s="702"/>
      <c r="M279" s="702"/>
      <c r="N279" s="702"/>
      <c r="O279" s="702"/>
      <c r="P279" s="702"/>
      <c r="Q279" s="702"/>
      <c r="R279" s="702"/>
      <c r="S279" s="702"/>
      <c r="T279" s="702"/>
      <c r="U279" s="702"/>
      <c r="V279" s="716"/>
      <c r="W279" s="716"/>
      <c r="X279" s="716"/>
      <c r="Y279" s="702"/>
      <c r="Z279" s="702"/>
      <c r="AA279" s="702"/>
      <c r="AB279" s="702"/>
    </row>
    <row r="280" spans="9:28" x14ac:dyDescent="0.3">
      <c r="I280" s="702"/>
      <c r="J280" s="702"/>
      <c r="K280" s="702"/>
      <c r="L280" s="702"/>
      <c r="M280" s="702"/>
      <c r="N280" s="702"/>
      <c r="O280" s="702"/>
      <c r="P280" s="702"/>
      <c r="Q280" s="702"/>
      <c r="R280" s="702"/>
      <c r="S280" s="702"/>
      <c r="T280" s="702"/>
      <c r="U280" s="702"/>
      <c r="V280" s="716"/>
      <c r="W280" s="716"/>
      <c r="X280" s="716"/>
      <c r="Y280" s="702"/>
      <c r="Z280" s="702"/>
      <c r="AA280" s="702"/>
      <c r="AB280" s="702"/>
    </row>
    <row r="281" spans="9:28" x14ac:dyDescent="0.3">
      <c r="I281" s="702"/>
      <c r="J281" s="702"/>
      <c r="K281" s="702"/>
      <c r="L281" s="702"/>
      <c r="M281" s="702"/>
      <c r="N281" s="702"/>
      <c r="O281" s="702"/>
      <c r="P281" s="702"/>
      <c r="Q281" s="702"/>
      <c r="R281" s="702"/>
      <c r="S281" s="702"/>
      <c r="T281" s="702"/>
      <c r="U281" s="702"/>
      <c r="V281" s="716"/>
      <c r="W281" s="716"/>
      <c r="X281" s="716"/>
      <c r="Y281" s="702"/>
      <c r="Z281" s="702"/>
      <c r="AA281" s="702"/>
      <c r="AB281" s="702"/>
    </row>
    <row r="282" spans="9:28" x14ac:dyDescent="0.3">
      <c r="I282" s="702"/>
      <c r="J282" s="702"/>
      <c r="K282" s="702"/>
      <c r="L282" s="702"/>
      <c r="M282" s="702"/>
      <c r="N282" s="702"/>
      <c r="O282" s="702"/>
      <c r="P282" s="702"/>
      <c r="Q282" s="702"/>
      <c r="R282" s="702"/>
      <c r="S282" s="702"/>
      <c r="T282" s="702"/>
      <c r="U282" s="702"/>
      <c r="V282" s="716"/>
      <c r="W282" s="716"/>
      <c r="X282" s="716"/>
      <c r="Y282" s="702"/>
      <c r="Z282" s="702"/>
      <c r="AA282" s="702"/>
      <c r="AB282" s="702"/>
    </row>
    <row r="283" spans="9:28" x14ac:dyDescent="0.3">
      <c r="I283" s="702"/>
      <c r="J283" s="702"/>
      <c r="K283" s="702"/>
      <c r="L283" s="702"/>
      <c r="M283" s="702"/>
      <c r="N283" s="702"/>
      <c r="O283" s="702"/>
      <c r="P283" s="702"/>
      <c r="Q283" s="702"/>
      <c r="R283" s="702"/>
      <c r="S283" s="702"/>
      <c r="T283" s="702"/>
      <c r="U283" s="702"/>
      <c r="V283" s="716"/>
      <c r="W283" s="716"/>
      <c r="X283" s="716"/>
      <c r="Y283" s="702"/>
      <c r="Z283" s="702"/>
      <c r="AA283" s="702"/>
      <c r="AB283" s="702"/>
    </row>
    <row r="284" spans="9:28" x14ac:dyDescent="0.3">
      <c r="I284" s="702"/>
      <c r="J284" s="702"/>
      <c r="K284" s="702"/>
      <c r="L284" s="702"/>
      <c r="M284" s="702"/>
      <c r="N284" s="702"/>
      <c r="O284" s="702"/>
      <c r="P284" s="702"/>
      <c r="Q284" s="702"/>
      <c r="R284" s="702"/>
      <c r="S284" s="702"/>
      <c r="T284" s="702"/>
      <c r="U284" s="702"/>
      <c r="V284" s="716"/>
      <c r="W284" s="716"/>
      <c r="X284" s="716"/>
      <c r="Y284" s="702"/>
      <c r="Z284" s="702"/>
      <c r="AA284" s="702"/>
      <c r="AB284" s="702"/>
    </row>
    <row r="285" spans="9:28" x14ac:dyDescent="0.3">
      <c r="I285" s="702"/>
      <c r="J285" s="702"/>
      <c r="K285" s="702"/>
      <c r="L285" s="702"/>
      <c r="M285" s="702"/>
      <c r="N285" s="702"/>
      <c r="O285" s="702"/>
      <c r="P285" s="702"/>
      <c r="Q285" s="702"/>
      <c r="R285" s="702"/>
      <c r="S285" s="702"/>
      <c r="T285" s="702"/>
      <c r="U285" s="702"/>
      <c r="V285" s="716"/>
      <c r="W285" s="716"/>
      <c r="X285" s="716"/>
      <c r="Y285" s="702"/>
      <c r="Z285" s="702"/>
      <c r="AA285" s="702"/>
      <c r="AB285" s="702"/>
    </row>
    <row r="286" spans="9:28" x14ac:dyDescent="0.3">
      <c r="I286" s="702"/>
      <c r="J286" s="702"/>
      <c r="K286" s="702"/>
      <c r="L286" s="702"/>
      <c r="M286" s="702"/>
      <c r="N286" s="702"/>
      <c r="O286" s="702"/>
      <c r="P286" s="702"/>
      <c r="Q286" s="702"/>
      <c r="R286" s="702"/>
      <c r="S286" s="702"/>
      <c r="T286" s="702"/>
      <c r="U286" s="702"/>
      <c r="V286" s="716"/>
      <c r="W286" s="716"/>
      <c r="X286" s="716"/>
      <c r="Y286" s="702"/>
      <c r="Z286" s="702"/>
      <c r="AA286" s="702"/>
      <c r="AB286" s="702"/>
    </row>
    <row r="287" spans="9:28" x14ac:dyDescent="0.3">
      <c r="I287" s="702"/>
      <c r="J287" s="702"/>
      <c r="K287" s="702"/>
      <c r="L287" s="702"/>
      <c r="M287" s="702"/>
      <c r="N287" s="702"/>
      <c r="O287" s="702"/>
      <c r="P287" s="702"/>
      <c r="Q287" s="702"/>
      <c r="R287" s="702"/>
      <c r="S287" s="702"/>
      <c r="T287" s="702"/>
      <c r="U287" s="702"/>
      <c r="V287" s="716"/>
      <c r="W287" s="716"/>
      <c r="X287" s="716"/>
      <c r="Y287" s="702"/>
      <c r="Z287" s="702"/>
      <c r="AA287" s="702"/>
      <c r="AB287" s="702"/>
    </row>
    <row r="288" spans="9:28" x14ac:dyDescent="0.3">
      <c r="I288" s="702"/>
      <c r="J288" s="702"/>
      <c r="K288" s="702"/>
      <c r="L288" s="702"/>
      <c r="M288" s="702"/>
      <c r="N288" s="702"/>
      <c r="O288" s="702"/>
      <c r="P288" s="702"/>
      <c r="Q288" s="702"/>
      <c r="R288" s="702"/>
      <c r="S288" s="702"/>
      <c r="T288" s="702"/>
      <c r="U288" s="702"/>
      <c r="V288" s="716"/>
      <c r="W288" s="716"/>
      <c r="X288" s="716"/>
      <c r="Y288" s="702"/>
      <c r="Z288" s="702"/>
      <c r="AA288" s="702"/>
      <c r="AB288" s="702"/>
    </row>
    <row r="289" spans="9:28" x14ac:dyDescent="0.3">
      <c r="I289" s="702"/>
      <c r="J289" s="702"/>
      <c r="K289" s="702"/>
      <c r="L289" s="702"/>
      <c r="M289" s="702"/>
      <c r="N289" s="702"/>
      <c r="O289" s="702"/>
      <c r="P289" s="702"/>
      <c r="Q289" s="702"/>
      <c r="R289" s="702"/>
      <c r="S289" s="702"/>
      <c r="T289" s="702"/>
      <c r="U289" s="702"/>
      <c r="V289" s="716"/>
      <c r="W289" s="716"/>
      <c r="X289" s="716"/>
      <c r="Y289" s="702"/>
      <c r="Z289" s="702"/>
      <c r="AA289" s="702"/>
      <c r="AB289" s="702"/>
    </row>
    <row r="290" spans="9:28" x14ac:dyDescent="0.3">
      <c r="I290" s="702"/>
      <c r="J290" s="702"/>
      <c r="K290" s="702"/>
      <c r="L290" s="702"/>
      <c r="M290" s="702"/>
      <c r="N290" s="702"/>
      <c r="O290" s="702"/>
      <c r="P290" s="702"/>
      <c r="Q290" s="702"/>
      <c r="R290" s="702"/>
      <c r="S290" s="702"/>
      <c r="T290" s="702"/>
      <c r="U290" s="702"/>
      <c r="V290" s="716"/>
      <c r="W290" s="716"/>
      <c r="X290" s="716"/>
      <c r="Y290" s="702"/>
      <c r="Z290" s="702"/>
      <c r="AA290" s="702"/>
      <c r="AB290" s="702"/>
    </row>
    <row r="291" spans="9:28" x14ac:dyDescent="0.3">
      <c r="I291" s="702"/>
      <c r="J291" s="702"/>
      <c r="K291" s="702"/>
      <c r="L291" s="702"/>
      <c r="M291" s="702"/>
      <c r="N291" s="702"/>
      <c r="O291" s="702"/>
      <c r="P291" s="702"/>
      <c r="Q291" s="702"/>
      <c r="R291" s="702"/>
      <c r="S291" s="702"/>
      <c r="T291" s="702"/>
      <c r="U291" s="702"/>
      <c r="V291" s="716"/>
      <c r="W291" s="716"/>
      <c r="X291" s="716"/>
      <c r="Y291" s="702"/>
      <c r="Z291" s="702"/>
      <c r="AA291" s="702"/>
      <c r="AB291" s="702"/>
    </row>
    <row r="292" spans="9:28" x14ac:dyDescent="0.3">
      <c r="I292" s="702"/>
      <c r="J292" s="702"/>
      <c r="K292" s="702"/>
      <c r="L292" s="702"/>
      <c r="M292" s="702"/>
      <c r="N292" s="702"/>
      <c r="O292" s="702"/>
      <c r="P292" s="702"/>
      <c r="Q292" s="702"/>
      <c r="R292" s="702"/>
      <c r="S292" s="702"/>
      <c r="T292" s="702"/>
      <c r="U292" s="702"/>
      <c r="V292" s="716"/>
      <c r="W292" s="716"/>
      <c r="X292" s="716"/>
      <c r="Y292" s="702"/>
      <c r="Z292" s="702"/>
      <c r="AA292" s="702"/>
      <c r="AB292" s="702"/>
    </row>
    <row r="293" spans="9:28" x14ac:dyDescent="0.3">
      <c r="I293" s="702"/>
      <c r="J293" s="702"/>
      <c r="K293" s="702"/>
      <c r="L293" s="702"/>
      <c r="M293" s="702"/>
      <c r="N293" s="702"/>
      <c r="O293" s="702"/>
      <c r="P293" s="702"/>
      <c r="Q293" s="702"/>
      <c r="R293" s="702"/>
      <c r="S293" s="702"/>
      <c r="T293" s="702"/>
      <c r="U293" s="702"/>
      <c r="V293" s="716"/>
      <c r="W293" s="716"/>
      <c r="X293" s="716"/>
      <c r="Y293" s="702"/>
      <c r="Z293" s="702"/>
      <c r="AA293" s="702"/>
      <c r="AB293" s="702"/>
    </row>
    <row r="294" spans="9:28" x14ac:dyDescent="0.3">
      <c r="I294" s="702"/>
      <c r="J294" s="702"/>
      <c r="K294" s="702"/>
      <c r="L294" s="702"/>
      <c r="M294" s="702"/>
      <c r="N294" s="702"/>
      <c r="O294" s="702"/>
      <c r="P294" s="702"/>
      <c r="Q294" s="702"/>
      <c r="R294" s="702"/>
      <c r="S294" s="702"/>
      <c r="T294" s="702"/>
      <c r="U294" s="702"/>
      <c r="V294" s="716"/>
      <c r="W294" s="716"/>
      <c r="X294" s="716"/>
      <c r="Y294" s="702"/>
      <c r="Z294" s="702"/>
      <c r="AA294" s="702"/>
      <c r="AB294" s="702"/>
    </row>
    <row r="295" spans="9:28" x14ac:dyDescent="0.3">
      <c r="I295" s="702"/>
      <c r="J295" s="702"/>
      <c r="K295" s="702"/>
      <c r="L295" s="702"/>
      <c r="M295" s="702"/>
      <c r="N295" s="702"/>
      <c r="O295" s="702"/>
      <c r="P295" s="702"/>
      <c r="Q295" s="702"/>
      <c r="R295" s="702"/>
      <c r="S295" s="702"/>
      <c r="T295" s="702"/>
      <c r="U295" s="702"/>
      <c r="V295" s="716"/>
      <c r="W295" s="716"/>
      <c r="X295" s="716"/>
      <c r="Y295" s="702"/>
      <c r="Z295" s="702"/>
      <c r="AA295" s="702"/>
      <c r="AB295" s="702"/>
    </row>
    <row r="296" spans="9:28" x14ac:dyDescent="0.3">
      <c r="I296" s="702"/>
      <c r="J296" s="702"/>
      <c r="K296" s="702"/>
      <c r="L296" s="702"/>
      <c r="M296" s="702"/>
      <c r="N296" s="702"/>
      <c r="O296" s="702"/>
      <c r="P296" s="702"/>
      <c r="Q296" s="702"/>
      <c r="R296" s="702"/>
      <c r="S296" s="702"/>
      <c r="T296" s="702"/>
      <c r="U296" s="702"/>
      <c r="V296" s="716"/>
      <c r="W296" s="716"/>
      <c r="X296" s="716"/>
      <c r="Y296" s="702"/>
      <c r="Z296" s="702"/>
      <c r="AA296" s="702"/>
      <c r="AB296" s="702"/>
    </row>
    <row r="297" spans="9:28" x14ac:dyDescent="0.3">
      <c r="I297" s="702"/>
      <c r="J297" s="702"/>
      <c r="K297" s="702"/>
      <c r="L297" s="702"/>
      <c r="M297" s="702"/>
      <c r="N297" s="702"/>
      <c r="O297" s="702"/>
      <c r="P297" s="702"/>
      <c r="Q297" s="702"/>
      <c r="R297" s="702"/>
      <c r="S297" s="702"/>
      <c r="T297" s="702"/>
      <c r="U297" s="702"/>
      <c r="V297" s="716"/>
      <c r="W297" s="716"/>
      <c r="X297" s="716"/>
      <c r="Y297" s="702"/>
      <c r="Z297" s="702"/>
      <c r="AA297" s="702"/>
      <c r="AB297" s="702"/>
    </row>
    <row r="298" spans="9:28" x14ac:dyDescent="0.3">
      <c r="I298" s="702"/>
      <c r="J298" s="702"/>
      <c r="K298" s="702"/>
      <c r="L298" s="702"/>
      <c r="M298" s="702"/>
      <c r="N298" s="702"/>
      <c r="O298" s="702"/>
      <c r="P298" s="702"/>
      <c r="Q298" s="702"/>
      <c r="R298" s="702"/>
      <c r="S298" s="702"/>
      <c r="T298" s="702"/>
      <c r="U298" s="702"/>
      <c r="V298" s="716"/>
      <c r="W298" s="716"/>
      <c r="X298" s="716"/>
      <c r="Y298" s="702"/>
      <c r="Z298" s="702"/>
      <c r="AA298" s="702"/>
      <c r="AB298" s="702"/>
    </row>
    <row r="299" spans="9:28" x14ac:dyDescent="0.3">
      <c r="I299" s="702"/>
      <c r="J299" s="702"/>
      <c r="K299" s="702"/>
      <c r="L299" s="702"/>
      <c r="M299" s="702"/>
      <c r="N299" s="702"/>
      <c r="O299" s="702"/>
      <c r="P299" s="702"/>
      <c r="Q299" s="702"/>
      <c r="R299" s="702"/>
      <c r="S299" s="702"/>
      <c r="T299" s="702"/>
      <c r="U299" s="702"/>
      <c r="V299" s="716"/>
      <c r="W299" s="716"/>
      <c r="X299" s="716"/>
      <c r="Y299" s="702"/>
      <c r="Z299" s="702"/>
      <c r="AA299" s="702"/>
      <c r="AB299" s="702"/>
    </row>
    <row r="300" spans="9:28" x14ac:dyDescent="0.3">
      <c r="I300" s="702"/>
      <c r="J300" s="702"/>
      <c r="K300" s="702"/>
      <c r="L300" s="702"/>
      <c r="M300" s="702"/>
      <c r="N300" s="702"/>
      <c r="O300" s="702"/>
      <c r="P300" s="702"/>
      <c r="Q300" s="702"/>
      <c r="R300" s="702"/>
      <c r="S300" s="702"/>
      <c r="T300" s="702"/>
      <c r="U300" s="702"/>
      <c r="V300" s="716"/>
      <c r="W300" s="716"/>
      <c r="X300" s="716"/>
      <c r="Y300" s="702"/>
      <c r="Z300" s="702"/>
      <c r="AA300" s="702"/>
      <c r="AB300" s="702"/>
    </row>
    <row r="301" spans="9:28" x14ac:dyDescent="0.3">
      <c r="I301" s="702"/>
      <c r="J301" s="702"/>
      <c r="K301" s="702"/>
      <c r="L301" s="702"/>
      <c r="M301" s="702"/>
      <c r="N301" s="702"/>
      <c r="O301" s="702"/>
      <c r="P301" s="702"/>
      <c r="Q301" s="702"/>
      <c r="R301" s="702"/>
      <c r="S301" s="702"/>
      <c r="T301" s="702"/>
      <c r="U301" s="702"/>
      <c r="V301" s="716"/>
      <c r="W301" s="716"/>
      <c r="X301" s="716"/>
      <c r="Y301" s="702"/>
      <c r="Z301" s="702"/>
      <c r="AA301" s="702"/>
      <c r="AB301" s="702"/>
    </row>
    <row r="302" spans="9:28" x14ac:dyDescent="0.3">
      <c r="I302" s="702"/>
      <c r="J302" s="702"/>
      <c r="K302" s="702"/>
      <c r="L302" s="702"/>
      <c r="M302" s="702"/>
      <c r="N302" s="702"/>
      <c r="O302" s="702"/>
      <c r="P302" s="702"/>
      <c r="Q302" s="702"/>
      <c r="R302" s="702"/>
      <c r="S302" s="702"/>
      <c r="T302" s="702"/>
      <c r="U302" s="702"/>
      <c r="V302" s="716"/>
      <c r="W302" s="716"/>
      <c r="X302" s="716"/>
      <c r="Y302" s="702"/>
      <c r="Z302" s="702"/>
      <c r="AA302" s="702"/>
      <c r="AB302" s="702"/>
    </row>
    <row r="303" spans="9:28" x14ac:dyDescent="0.3">
      <c r="I303" s="702"/>
      <c r="J303" s="702"/>
      <c r="K303" s="702"/>
      <c r="L303" s="702"/>
      <c r="M303" s="702"/>
      <c r="N303" s="702"/>
      <c r="O303" s="702"/>
      <c r="P303" s="702"/>
      <c r="Q303" s="702"/>
      <c r="R303" s="702"/>
      <c r="S303" s="702"/>
      <c r="T303" s="702"/>
      <c r="U303" s="702"/>
      <c r="V303" s="716"/>
      <c r="W303" s="716"/>
      <c r="X303" s="716"/>
      <c r="Y303" s="702"/>
      <c r="Z303" s="702"/>
      <c r="AA303" s="702"/>
      <c r="AB303" s="702"/>
    </row>
    <row r="304" spans="9:28" x14ac:dyDescent="0.3">
      <c r="I304" s="702"/>
      <c r="J304" s="702"/>
      <c r="K304" s="702"/>
      <c r="L304" s="702"/>
      <c r="M304" s="702"/>
      <c r="N304" s="702"/>
      <c r="O304" s="702"/>
      <c r="P304" s="702"/>
      <c r="Q304" s="702"/>
      <c r="R304" s="702"/>
      <c r="S304" s="702"/>
      <c r="T304" s="702"/>
      <c r="U304" s="702"/>
      <c r="V304" s="716"/>
      <c r="W304" s="716"/>
      <c r="X304" s="716"/>
      <c r="Y304" s="702"/>
      <c r="Z304" s="702"/>
      <c r="AA304" s="702"/>
      <c r="AB304" s="702"/>
    </row>
    <row r="305" spans="9:28" x14ac:dyDescent="0.3">
      <c r="I305" s="702"/>
      <c r="J305" s="702"/>
      <c r="K305" s="702"/>
      <c r="L305" s="702"/>
      <c r="M305" s="702"/>
      <c r="N305" s="702"/>
      <c r="O305" s="702"/>
      <c r="P305" s="702"/>
      <c r="Q305" s="702"/>
      <c r="R305" s="702"/>
      <c r="S305" s="702"/>
      <c r="T305" s="702"/>
      <c r="U305" s="702"/>
      <c r="V305" s="716"/>
      <c r="W305" s="716"/>
      <c r="X305" s="716"/>
      <c r="Y305" s="702"/>
      <c r="Z305" s="702"/>
      <c r="AA305" s="702"/>
      <c r="AB305" s="702"/>
    </row>
    <row r="306" spans="9:28" x14ac:dyDescent="0.3">
      <c r="I306" s="702"/>
      <c r="J306" s="702"/>
      <c r="K306" s="702"/>
      <c r="L306" s="702"/>
      <c r="M306" s="702"/>
      <c r="N306" s="702"/>
      <c r="O306" s="702"/>
      <c r="P306" s="702"/>
      <c r="Q306" s="702"/>
      <c r="R306" s="702"/>
      <c r="S306" s="702"/>
      <c r="T306" s="702"/>
      <c r="U306" s="702"/>
      <c r="V306" s="716"/>
      <c r="W306" s="716"/>
      <c r="X306" s="716"/>
      <c r="Y306" s="702"/>
      <c r="Z306" s="702"/>
      <c r="AA306" s="702"/>
      <c r="AB306" s="702"/>
    </row>
    <row r="307" spans="9:28" x14ac:dyDescent="0.3">
      <c r="I307" s="702"/>
      <c r="J307" s="702"/>
      <c r="K307" s="702"/>
      <c r="L307" s="702"/>
      <c r="M307" s="702"/>
      <c r="N307" s="702"/>
      <c r="O307" s="702"/>
      <c r="P307" s="702"/>
      <c r="Q307" s="702"/>
      <c r="R307" s="702"/>
      <c r="S307" s="702"/>
      <c r="T307" s="702"/>
      <c r="U307" s="702"/>
      <c r="V307" s="716"/>
      <c r="W307" s="716"/>
      <c r="X307" s="716"/>
      <c r="Y307" s="702"/>
      <c r="Z307" s="702"/>
      <c r="AA307" s="702"/>
      <c r="AB307" s="702"/>
    </row>
    <row r="308" spans="9:28" x14ac:dyDescent="0.3">
      <c r="I308" s="702"/>
      <c r="J308" s="702"/>
      <c r="K308" s="702"/>
      <c r="L308" s="702"/>
      <c r="M308" s="702"/>
      <c r="N308" s="702"/>
      <c r="O308" s="702"/>
      <c r="P308" s="702"/>
      <c r="Q308" s="702"/>
      <c r="R308" s="702"/>
      <c r="S308" s="702"/>
      <c r="T308" s="702"/>
      <c r="U308" s="702"/>
      <c r="V308" s="716"/>
      <c r="W308" s="716"/>
      <c r="X308" s="716"/>
      <c r="Y308" s="702"/>
      <c r="Z308" s="702"/>
      <c r="AA308" s="702"/>
      <c r="AB308" s="702"/>
    </row>
    <row r="309" spans="9:28" x14ac:dyDescent="0.3">
      <c r="I309" s="702"/>
      <c r="J309" s="702"/>
      <c r="K309" s="702"/>
      <c r="L309" s="702"/>
      <c r="M309" s="702"/>
      <c r="N309" s="702"/>
      <c r="O309" s="702"/>
      <c r="P309" s="702"/>
      <c r="Q309" s="702"/>
      <c r="R309" s="702"/>
      <c r="S309" s="702"/>
      <c r="T309" s="702"/>
      <c r="U309" s="702"/>
      <c r="V309" s="716"/>
      <c r="W309" s="716"/>
      <c r="X309" s="716"/>
      <c r="Y309" s="702"/>
      <c r="Z309" s="702"/>
      <c r="AA309" s="702"/>
      <c r="AB309" s="702"/>
    </row>
    <row r="310" spans="9:28" x14ac:dyDescent="0.3">
      <c r="I310" s="702"/>
      <c r="J310" s="702"/>
      <c r="K310" s="702"/>
      <c r="L310" s="702"/>
      <c r="M310" s="702"/>
      <c r="N310" s="702"/>
      <c r="O310" s="702"/>
      <c r="P310" s="702"/>
      <c r="Q310" s="702"/>
      <c r="R310" s="702"/>
      <c r="S310" s="702"/>
      <c r="T310" s="702"/>
      <c r="U310" s="702"/>
      <c r="V310" s="716"/>
      <c r="W310" s="716"/>
      <c r="X310" s="716"/>
      <c r="Y310" s="702"/>
      <c r="Z310" s="702"/>
      <c r="AA310" s="702"/>
      <c r="AB310" s="702"/>
    </row>
    <row r="311" spans="9:28" x14ac:dyDescent="0.3">
      <c r="I311" s="702"/>
      <c r="J311" s="702"/>
      <c r="K311" s="702"/>
      <c r="L311" s="702"/>
      <c r="M311" s="702"/>
      <c r="N311" s="702"/>
      <c r="O311" s="702"/>
      <c r="P311" s="702"/>
      <c r="Q311" s="702"/>
      <c r="R311" s="702"/>
      <c r="S311" s="702"/>
      <c r="T311" s="702"/>
      <c r="U311" s="702"/>
      <c r="V311" s="716"/>
      <c r="W311" s="716"/>
      <c r="X311" s="716"/>
      <c r="Y311" s="702"/>
      <c r="Z311" s="702"/>
      <c r="AA311" s="702"/>
      <c r="AB311" s="702"/>
    </row>
    <row r="312" spans="9:28" x14ac:dyDescent="0.3">
      <c r="I312" s="702"/>
      <c r="J312" s="702"/>
      <c r="K312" s="702"/>
      <c r="L312" s="702"/>
      <c r="M312" s="702"/>
      <c r="N312" s="702"/>
      <c r="O312" s="702"/>
      <c r="P312" s="702"/>
      <c r="Q312" s="702"/>
      <c r="R312" s="702"/>
      <c r="S312" s="702"/>
      <c r="T312" s="702"/>
      <c r="U312" s="702"/>
      <c r="V312" s="716"/>
      <c r="W312" s="716"/>
      <c r="X312" s="716"/>
      <c r="Y312" s="702"/>
      <c r="Z312" s="702"/>
      <c r="AA312" s="702"/>
      <c r="AB312" s="702"/>
    </row>
    <row r="313" spans="9:28" x14ac:dyDescent="0.3">
      <c r="I313" s="702"/>
      <c r="J313" s="702"/>
      <c r="K313" s="702"/>
      <c r="L313" s="702"/>
      <c r="M313" s="702"/>
      <c r="N313" s="702"/>
      <c r="O313" s="702"/>
      <c r="P313" s="702"/>
      <c r="Q313" s="702"/>
      <c r="R313" s="702"/>
      <c r="S313" s="702"/>
      <c r="T313" s="702"/>
      <c r="U313" s="702"/>
      <c r="V313" s="716"/>
      <c r="W313" s="716"/>
      <c r="X313" s="716"/>
      <c r="Y313" s="702"/>
      <c r="Z313" s="702"/>
      <c r="AA313" s="702"/>
      <c r="AB313" s="702"/>
    </row>
    <row r="314" spans="9:28" x14ac:dyDescent="0.3">
      <c r="I314" s="702"/>
      <c r="J314" s="702"/>
      <c r="K314" s="702"/>
      <c r="L314" s="702"/>
      <c r="M314" s="702"/>
      <c r="N314" s="702"/>
      <c r="O314" s="702"/>
      <c r="P314" s="702"/>
      <c r="Q314" s="702"/>
      <c r="R314" s="702"/>
      <c r="S314" s="702"/>
      <c r="T314" s="702"/>
      <c r="U314" s="702"/>
      <c r="V314" s="716"/>
      <c r="W314" s="716"/>
      <c r="X314" s="716"/>
      <c r="Y314" s="702"/>
      <c r="Z314" s="702"/>
      <c r="AA314" s="702"/>
      <c r="AB314" s="702"/>
    </row>
    <row r="315" spans="9:28" x14ac:dyDescent="0.3">
      <c r="I315" s="702"/>
      <c r="J315" s="702"/>
      <c r="K315" s="702"/>
      <c r="L315" s="702"/>
      <c r="M315" s="702"/>
      <c r="N315" s="702"/>
      <c r="O315" s="702"/>
      <c r="P315" s="702"/>
      <c r="Q315" s="702"/>
      <c r="R315" s="702"/>
      <c r="S315" s="702"/>
      <c r="T315" s="702"/>
      <c r="U315" s="702"/>
      <c r="V315" s="716"/>
      <c r="W315" s="716"/>
      <c r="X315" s="716"/>
      <c r="Y315" s="702"/>
      <c r="Z315" s="702"/>
      <c r="AA315" s="702"/>
      <c r="AB315" s="702"/>
    </row>
    <row r="316" spans="9:28" x14ac:dyDescent="0.3">
      <c r="I316" s="702"/>
      <c r="J316" s="702"/>
      <c r="K316" s="702"/>
      <c r="L316" s="702"/>
      <c r="M316" s="702"/>
      <c r="N316" s="702"/>
      <c r="O316" s="702"/>
      <c r="P316" s="702"/>
      <c r="Q316" s="702"/>
      <c r="R316" s="702"/>
      <c r="S316" s="702"/>
      <c r="T316" s="702"/>
      <c r="U316" s="702"/>
      <c r="V316" s="716"/>
      <c r="W316" s="716"/>
      <c r="X316" s="716"/>
      <c r="Y316" s="702"/>
      <c r="Z316" s="702"/>
      <c r="AA316" s="702"/>
      <c r="AB316" s="702"/>
    </row>
    <row r="317" spans="9:28" x14ac:dyDescent="0.3">
      <c r="I317" s="702"/>
      <c r="J317" s="702"/>
      <c r="K317" s="702"/>
      <c r="L317" s="702"/>
      <c r="M317" s="702"/>
      <c r="N317" s="702"/>
      <c r="O317" s="702"/>
      <c r="P317" s="702"/>
      <c r="Q317" s="702"/>
      <c r="R317" s="702"/>
      <c r="S317" s="702"/>
      <c r="T317" s="702"/>
      <c r="U317" s="702"/>
      <c r="V317" s="716"/>
      <c r="W317" s="716"/>
      <c r="X317" s="716"/>
      <c r="Y317" s="702"/>
      <c r="Z317" s="702"/>
      <c r="AA317" s="702"/>
      <c r="AB317" s="702"/>
    </row>
    <row r="318" spans="9:28" x14ac:dyDescent="0.3">
      <c r="I318" s="702"/>
      <c r="J318" s="702"/>
      <c r="K318" s="702"/>
      <c r="L318" s="702"/>
      <c r="M318" s="702"/>
      <c r="N318" s="702"/>
      <c r="O318" s="702"/>
      <c r="P318" s="702"/>
      <c r="Q318" s="702"/>
      <c r="R318" s="702"/>
      <c r="S318" s="702"/>
      <c r="T318" s="702"/>
      <c r="U318" s="702"/>
      <c r="V318" s="716"/>
      <c r="W318" s="716"/>
      <c r="X318" s="716"/>
      <c r="Y318" s="702"/>
      <c r="Z318" s="702"/>
      <c r="AA318" s="702"/>
      <c r="AB318" s="702"/>
    </row>
    <row r="319" spans="9:28" x14ac:dyDescent="0.3">
      <c r="I319" s="702"/>
      <c r="J319" s="702"/>
      <c r="K319" s="702"/>
      <c r="L319" s="702"/>
      <c r="M319" s="702"/>
      <c r="N319" s="702"/>
      <c r="O319" s="702"/>
      <c r="P319" s="702"/>
      <c r="Q319" s="702"/>
      <c r="R319" s="702"/>
      <c r="S319" s="702"/>
      <c r="T319" s="702"/>
      <c r="U319" s="702"/>
      <c r="V319" s="716"/>
      <c r="W319" s="716"/>
      <c r="X319" s="716"/>
      <c r="Y319" s="702"/>
      <c r="Z319" s="702"/>
      <c r="AA319" s="702"/>
      <c r="AB319" s="702"/>
    </row>
    <row r="320" spans="9:28" x14ac:dyDescent="0.3">
      <c r="I320" s="702"/>
      <c r="J320" s="702"/>
      <c r="K320" s="702"/>
      <c r="L320" s="702"/>
      <c r="M320" s="702"/>
      <c r="N320" s="702"/>
      <c r="O320" s="702"/>
      <c r="P320" s="702"/>
      <c r="Q320" s="702"/>
      <c r="R320" s="702"/>
      <c r="S320" s="702"/>
      <c r="T320" s="702"/>
      <c r="U320" s="702"/>
      <c r="V320" s="716"/>
      <c r="W320" s="716"/>
      <c r="X320" s="716"/>
      <c r="Y320" s="702"/>
      <c r="Z320" s="702"/>
      <c r="AA320" s="702"/>
      <c r="AB320" s="702"/>
    </row>
    <row r="321" spans="9:28" x14ac:dyDescent="0.3">
      <c r="I321" s="702"/>
      <c r="J321" s="702"/>
      <c r="K321" s="702"/>
      <c r="L321" s="702"/>
      <c r="M321" s="702"/>
      <c r="N321" s="702"/>
      <c r="O321" s="702"/>
      <c r="P321" s="702"/>
      <c r="Q321" s="702"/>
      <c r="R321" s="702"/>
      <c r="S321" s="702"/>
      <c r="T321" s="702"/>
      <c r="U321" s="702"/>
      <c r="V321" s="716"/>
      <c r="W321" s="716"/>
      <c r="X321" s="716"/>
      <c r="Y321" s="702"/>
      <c r="Z321" s="702"/>
      <c r="AA321" s="702"/>
      <c r="AB321" s="702"/>
    </row>
    <row r="322" spans="9:28" x14ac:dyDescent="0.3">
      <c r="I322" s="702"/>
      <c r="J322" s="702"/>
      <c r="K322" s="702"/>
      <c r="L322" s="702"/>
      <c r="M322" s="702"/>
      <c r="N322" s="702"/>
      <c r="O322" s="702"/>
      <c r="P322" s="702"/>
      <c r="Q322" s="702"/>
      <c r="R322" s="702"/>
      <c r="S322" s="702"/>
      <c r="T322" s="702"/>
      <c r="U322" s="702"/>
      <c r="V322" s="716"/>
      <c r="W322" s="716"/>
      <c r="X322" s="716"/>
      <c r="Y322" s="702"/>
      <c r="Z322" s="702"/>
      <c r="AA322" s="702"/>
      <c r="AB322" s="702"/>
    </row>
    <row r="323" spans="9:28" x14ac:dyDescent="0.3">
      <c r="I323" s="702"/>
      <c r="J323" s="702"/>
      <c r="K323" s="702"/>
      <c r="L323" s="702"/>
      <c r="M323" s="702"/>
      <c r="N323" s="702"/>
      <c r="O323" s="702"/>
      <c r="P323" s="702"/>
      <c r="Q323" s="702"/>
      <c r="R323" s="702"/>
      <c r="S323" s="702"/>
      <c r="T323" s="702"/>
      <c r="U323" s="702"/>
      <c r="V323" s="716"/>
      <c r="W323" s="716"/>
      <c r="X323" s="716"/>
      <c r="Y323" s="702"/>
      <c r="Z323" s="702"/>
      <c r="AA323" s="702"/>
      <c r="AB323" s="702"/>
    </row>
    <row r="324" spans="9:28" x14ac:dyDescent="0.3">
      <c r="I324" s="702"/>
      <c r="J324" s="702"/>
      <c r="K324" s="702"/>
      <c r="L324" s="702"/>
      <c r="M324" s="702"/>
      <c r="N324" s="702"/>
      <c r="O324" s="702"/>
      <c r="P324" s="702"/>
      <c r="Q324" s="702"/>
      <c r="R324" s="702"/>
      <c r="S324" s="702"/>
      <c r="T324" s="702"/>
      <c r="U324" s="702"/>
      <c r="V324" s="716"/>
      <c r="W324" s="716"/>
      <c r="X324" s="716"/>
      <c r="Y324" s="702"/>
      <c r="Z324" s="702"/>
      <c r="AA324" s="702"/>
      <c r="AB324" s="702"/>
    </row>
    <row r="325" spans="9:28" x14ac:dyDescent="0.3">
      <c r="I325" s="702"/>
      <c r="J325" s="702"/>
      <c r="K325" s="702"/>
      <c r="L325" s="702"/>
      <c r="M325" s="702"/>
      <c r="N325" s="702"/>
      <c r="O325" s="702"/>
      <c r="P325" s="702"/>
      <c r="Q325" s="702"/>
      <c r="R325" s="702"/>
      <c r="S325" s="702"/>
      <c r="T325" s="702"/>
      <c r="U325" s="702"/>
      <c r="V325" s="716"/>
      <c r="W325" s="716"/>
      <c r="X325" s="716"/>
      <c r="Y325" s="702"/>
      <c r="Z325" s="702"/>
      <c r="AA325" s="702"/>
      <c r="AB325" s="702"/>
    </row>
    <row r="326" spans="9:28" x14ac:dyDescent="0.3">
      <c r="I326" s="702"/>
      <c r="J326" s="702"/>
      <c r="K326" s="702"/>
      <c r="L326" s="702"/>
      <c r="M326" s="702"/>
      <c r="N326" s="702"/>
      <c r="O326" s="702"/>
      <c r="P326" s="702"/>
      <c r="Q326" s="702"/>
      <c r="R326" s="702"/>
      <c r="S326" s="702"/>
      <c r="T326" s="702"/>
      <c r="U326" s="702"/>
      <c r="V326" s="716"/>
      <c r="W326" s="716"/>
      <c r="X326" s="716"/>
      <c r="Y326" s="702"/>
      <c r="Z326" s="702"/>
      <c r="AA326" s="702"/>
      <c r="AB326" s="702"/>
    </row>
    <row r="327" spans="9:28" x14ac:dyDescent="0.3">
      <c r="I327" s="702"/>
      <c r="J327" s="702"/>
      <c r="K327" s="702"/>
      <c r="L327" s="702"/>
      <c r="M327" s="702"/>
      <c r="N327" s="702"/>
      <c r="O327" s="702"/>
      <c r="P327" s="702"/>
      <c r="Q327" s="702"/>
      <c r="R327" s="702"/>
      <c r="S327" s="702"/>
      <c r="T327" s="702"/>
      <c r="U327" s="702"/>
      <c r="V327" s="716"/>
      <c r="W327" s="716"/>
      <c r="X327" s="716"/>
      <c r="Y327" s="702"/>
      <c r="Z327" s="702"/>
      <c r="AA327" s="702"/>
      <c r="AB327" s="702"/>
    </row>
    <row r="328" spans="9:28" x14ac:dyDescent="0.3">
      <c r="I328" s="702"/>
      <c r="J328" s="702"/>
      <c r="K328" s="702"/>
      <c r="L328" s="702"/>
      <c r="M328" s="702"/>
      <c r="N328" s="702"/>
      <c r="O328" s="702"/>
      <c r="P328" s="702"/>
      <c r="Q328" s="702"/>
      <c r="R328" s="702"/>
      <c r="S328" s="702"/>
      <c r="T328" s="702"/>
      <c r="U328" s="702"/>
      <c r="V328" s="716"/>
      <c r="W328" s="716"/>
      <c r="X328" s="716"/>
      <c r="Y328" s="702"/>
      <c r="Z328" s="702"/>
      <c r="AA328" s="702"/>
      <c r="AB328" s="702"/>
    </row>
    <row r="329" spans="9:28" x14ac:dyDescent="0.3">
      <c r="I329" s="702"/>
      <c r="J329" s="702"/>
      <c r="K329" s="702"/>
      <c r="L329" s="702"/>
      <c r="M329" s="702"/>
      <c r="N329" s="702"/>
      <c r="O329" s="702"/>
      <c r="P329" s="702"/>
      <c r="Q329" s="702"/>
      <c r="R329" s="702"/>
      <c r="S329" s="702"/>
      <c r="T329" s="702"/>
      <c r="U329" s="702"/>
      <c r="V329" s="716"/>
      <c r="W329" s="716"/>
      <c r="X329" s="716"/>
      <c r="Y329" s="702"/>
      <c r="Z329" s="702"/>
      <c r="AA329" s="702"/>
      <c r="AB329" s="702"/>
    </row>
    <row r="330" spans="9:28" x14ac:dyDescent="0.3">
      <c r="I330" s="702"/>
      <c r="J330" s="702"/>
      <c r="K330" s="702"/>
      <c r="L330" s="702"/>
      <c r="M330" s="702"/>
      <c r="N330" s="702"/>
      <c r="O330" s="702"/>
      <c r="P330" s="702"/>
      <c r="Q330" s="702"/>
      <c r="R330" s="702"/>
      <c r="S330" s="702"/>
      <c r="T330" s="702"/>
      <c r="U330" s="702"/>
      <c r="V330" s="716"/>
      <c r="W330" s="716"/>
      <c r="X330" s="716"/>
      <c r="Y330" s="702"/>
      <c r="Z330" s="702"/>
      <c r="AA330" s="702"/>
      <c r="AB330" s="702"/>
    </row>
    <row r="331" spans="9:28" x14ac:dyDescent="0.3">
      <c r="I331" s="702"/>
      <c r="J331" s="702"/>
      <c r="K331" s="702"/>
      <c r="L331" s="702"/>
      <c r="M331" s="702"/>
      <c r="N331" s="702"/>
      <c r="O331" s="702"/>
      <c r="P331" s="702"/>
      <c r="Q331" s="702"/>
      <c r="R331" s="702"/>
      <c r="S331" s="702"/>
      <c r="T331" s="702"/>
      <c r="U331" s="702"/>
      <c r="V331" s="716"/>
      <c r="W331" s="716"/>
      <c r="X331" s="716"/>
      <c r="Y331" s="702"/>
      <c r="Z331" s="702"/>
      <c r="AA331" s="702"/>
      <c r="AB331" s="702"/>
    </row>
    <row r="332" spans="9:28" x14ac:dyDescent="0.3">
      <c r="I332" s="702"/>
      <c r="J332" s="702"/>
      <c r="K332" s="702"/>
      <c r="L332" s="702"/>
      <c r="M332" s="702"/>
      <c r="N332" s="702"/>
      <c r="O332" s="702"/>
      <c r="P332" s="702"/>
      <c r="Q332" s="702"/>
      <c r="R332" s="702"/>
      <c r="S332" s="702"/>
      <c r="T332" s="702"/>
      <c r="U332" s="702"/>
      <c r="V332" s="716"/>
      <c r="W332" s="716"/>
      <c r="X332" s="716"/>
      <c r="Y332" s="702"/>
      <c r="Z332" s="702"/>
      <c r="AA332" s="702"/>
      <c r="AB332" s="702"/>
    </row>
    <row r="333" spans="9:28" x14ac:dyDescent="0.3">
      <c r="I333" s="702"/>
      <c r="J333" s="702"/>
      <c r="K333" s="702"/>
      <c r="L333" s="702"/>
      <c r="M333" s="702"/>
      <c r="N333" s="702"/>
      <c r="O333" s="702"/>
      <c r="P333" s="702"/>
      <c r="Q333" s="702"/>
      <c r="R333" s="702"/>
      <c r="S333" s="702"/>
      <c r="T333" s="702"/>
      <c r="U333" s="702"/>
      <c r="V333" s="716"/>
      <c r="W333" s="716"/>
      <c r="X333" s="716"/>
      <c r="Y333" s="702"/>
      <c r="Z333" s="702"/>
      <c r="AA333" s="702"/>
      <c r="AB333" s="702"/>
    </row>
    <row r="334" spans="9:28" x14ac:dyDescent="0.3">
      <c r="I334" s="702"/>
      <c r="J334" s="702"/>
      <c r="K334" s="702"/>
      <c r="L334" s="702"/>
      <c r="M334" s="702"/>
      <c r="N334" s="702"/>
      <c r="O334" s="702"/>
      <c r="P334" s="702"/>
      <c r="Q334" s="702"/>
      <c r="R334" s="702"/>
      <c r="S334" s="702"/>
      <c r="T334" s="702"/>
      <c r="U334" s="702"/>
      <c r="V334" s="716"/>
      <c r="W334" s="716"/>
      <c r="X334" s="716"/>
      <c r="Y334" s="702"/>
      <c r="Z334" s="702"/>
      <c r="AA334" s="702"/>
      <c r="AB334" s="702"/>
    </row>
    <row r="335" spans="9:28" x14ac:dyDescent="0.3">
      <c r="I335" s="702"/>
      <c r="J335" s="702"/>
      <c r="K335" s="702"/>
      <c r="L335" s="702"/>
      <c r="M335" s="702"/>
      <c r="N335" s="702"/>
      <c r="O335" s="702"/>
      <c r="P335" s="702"/>
      <c r="Q335" s="702"/>
      <c r="R335" s="702"/>
      <c r="S335" s="702"/>
      <c r="T335" s="702"/>
      <c r="U335" s="702"/>
      <c r="V335" s="716"/>
      <c r="W335" s="716"/>
      <c r="X335" s="716"/>
      <c r="Y335" s="702"/>
      <c r="Z335" s="702"/>
      <c r="AA335" s="702"/>
      <c r="AB335" s="702"/>
    </row>
    <row r="336" spans="9:28" x14ac:dyDescent="0.3">
      <c r="I336" s="702"/>
      <c r="J336" s="702"/>
      <c r="K336" s="702"/>
      <c r="L336" s="702"/>
      <c r="M336" s="702"/>
      <c r="N336" s="702"/>
      <c r="O336" s="702"/>
      <c r="P336" s="702"/>
      <c r="Q336" s="702"/>
      <c r="R336" s="702"/>
      <c r="S336" s="702"/>
      <c r="T336" s="702"/>
      <c r="U336" s="702"/>
      <c r="V336" s="716"/>
      <c r="W336" s="716"/>
      <c r="X336" s="716"/>
      <c r="Y336" s="702"/>
      <c r="Z336" s="702"/>
      <c r="AA336" s="702"/>
      <c r="AB336" s="702"/>
    </row>
    <row r="337" spans="9:28" x14ac:dyDescent="0.3">
      <c r="I337" s="702"/>
      <c r="J337" s="702"/>
      <c r="K337" s="702"/>
      <c r="L337" s="702"/>
      <c r="M337" s="702"/>
      <c r="N337" s="702"/>
      <c r="O337" s="702"/>
      <c r="P337" s="702"/>
      <c r="Q337" s="702"/>
      <c r="R337" s="702"/>
      <c r="S337" s="702"/>
      <c r="T337" s="702"/>
      <c r="U337" s="702"/>
      <c r="V337" s="716"/>
      <c r="W337" s="716"/>
      <c r="X337" s="716"/>
      <c r="Y337" s="702"/>
      <c r="Z337" s="702"/>
      <c r="AA337" s="702"/>
      <c r="AB337" s="702"/>
    </row>
    <row r="338" spans="9:28" x14ac:dyDescent="0.3">
      <c r="I338" s="702"/>
      <c r="J338" s="702"/>
      <c r="K338" s="702"/>
      <c r="L338" s="702"/>
      <c r="M338" s="702"/>
      <c r="N338" s="702"/>
      <c r="O338" s="702"/>
      <c r="P338" s="702"/>
      <c r="Q338" s="702"/>
      <c r="R338" s="702"/>
      <c r="S338" s="702"/>
      <c r="T338" s="702"/>
      <c r="U338" s="702"/>
      <c r="V338" s="716"/>
      <c r="W338" s="716"/>
      <c r="X338" s="716"/>
      <c r="Y338" s="702"/>
      <c r="Z338" s="702"/>
      <c r="AA338" s="702"/>
      <c r="AB338" s="702"/>
    </row>
    <row r="339" spans="9:28" x14ac:dyDescent="0.3">
      <c r="I339" s="702"/>
      <c r="J339" s="702"/>
      <c r="K339" s="702"/>
      <c r="L339" s="702"/>
      <c r="M339" s="702"/>
      <c r="N339" s="702"/>
      <c r="O339" s="702"/>
      <c r="P339" s="702"/>
      <c r="Q339" s="702"/>
      <c r="R339" s="702"/>
      <c r="S339" s="702"/>
      <c r="T339" s="702"/>
      <c r="U339" s="702"/>
      <c r="V339" s="716"/>
      <c r="W339" s="716"/>
      <c r="X339" s="716"/>
      <c r="Y339" s="702"/>
      <c r="Z339" s="702"/>
      <c r="AA339" s="702"/>
      <c r="AB339" s="702"/>
    </row>
    <row r="340" spans="9:28" x14ac:dyDescent="0.3">
      <c r="I340" s="702"/>
      <c r="J340" s="702"/>
      <c r="K340" s="702"/>
      <c r="L340" s="702"/>
      <c r="M340" s="702"/>
      <c r="N340" s="702"/>
      <c r="O340" s="702"/>
      <c r="P340" s="702"/>
      <c r="Q340" s="702"/>
      <c r="R340" s="702"/>
      <c r="S340" s="702"/>
      <c r="T340" s="702"/>
      <c r="U340" s="702"/>
      <c r="V340" s="716"/>
      <c r="W340" s="716"/>
      <c r="X340" s="716"/>
      <c r="Y340" s="702"/>
      <c r="Z340" s="702"/>
      <c r="AA340" s="702"/>
      <c r="AB340" s="702"/>
    </row>
    <row r="341" spans="9:28" x14ac:dyDescent="0.3">
      <c r="I341" s="702"/>
      <c r="J341" s="702"/>
      <c r="K341" s="702"/>
      <c r="L341" s="702"/>
      <c r="M341" s="702"/>
      <c r="N341" s="702"/>
      <c r="O341" s="702"/>
      <c r="P341" s="702"/>
      <c r="Q341" s="702"/>
      <c r="R341" s="702"/>
      <c r="S341" s="702"/>
      <c r="T341" s="702"/>
      <c r="U341" s="702"/>
      <c r="V341" s="716"/>
      <c r="W341" s="716"/>
      <c r="X341" s="716"/>
      <c r="Y341" s="702"/>
      <c r="Z341" s="702"/>
      <c r="AA341" s="702"/>
      <c r="AB341" s="702"/>
    </row>
    <row r="342" spans="9:28" x14ac:dyDescent="0.3">
      <c r="I342" s="702"/>
      <c r="J342" s="702"/>
      <c r="K342" s="702"/>
      <c r="L342" s="702"/>
      <c r="M342" s="702"/>
      <c r="N342" s="702"/>
      <c r="O342" s="702"/>
      <c r="P342" s="702"/>
      <c r="Q342" s="702"/>
      <c r="R342" s="702"/>
      <c r="S342" s="702"/>
      <c r="T342" s="702"/>
      <c r="U342" s="702"/>
      <c r="V342" s="716"/>
      <c r="W342" s="716"/>
      <c r="X342" s="716"/>
      <c r="Y342" s="702"/>
      <c r="Z342" s="702"/>
      <c r="AA342" s="702"/>
      <c r="AB342" s="702"/>
    </row>
    <row r="343" spans="9:28" x14ac:dyDescent="0.3">
      <c r="I343" s="702"/>
      <c r="J343" s="702"/>
      <c r="K343" s="702"/>
      <c r="L343" s="702"/>
      <c r="M343" s="702"/>
      <c r="N343" s="702"/>
      <c r="O343" s="702"/>
      <c r="P343" s="702"/>
      <c r="Q343" s="702"/>
      <c r="R343" s="702"/>
      <c r="S343" s="702"/>
      <c r="T343" s="702"/>
      <c r="U343" s="702"/>
      <c r="V343" s="716"/>
      <c r="W343" s="716"/>
      <c r="X343" s="716"/>
      <c r="Y343" s="702"/>
      <c r="Z343" s="702"/>
      <c r="AA343" s="702"/>
      <c r="AB343" s="702"/>
    </row>
    <row r="344" spans="9:28" x14ac:dyDescent="0.3">
      <c r="I344" s="702"/>
      <c r="J344" s="702"/>
      <c r="K344" s="702"/>
      <c r="L344" s="702"/>
      <c r="M344" s="702"/>
      <c r="N344" s="702"/>
      <c r="O344" s="702"/>
      <c r="P344" s="702"/>
      <c r="Q344" s="702"/>
      <c r="R344" s="702"/>
      <c r="S344" s="702"/>
      <c r="T344" s="702"/>
      <c r="U344" s="702"/>
      <c r="V344" s="716"/>
      <c r="W344" s="716"/>
      <c r="X344" s="716"/>
      <c r="Y344" s="702"/>
      <c r="Z344" s="702"/>
      <c r="AA344" s="702"/>
      <c r="AB344" s="702"/>
    </row>
    <row r="345" spans="9:28" x14ac:dyDescent="0.3">
      <c r="I345" s="702"/>
      <c r="J345" s="702"/>
      <c r="K345" s="702"/>
      <c r="L345" s="702"/>
      <c r="M345" s="702"/>
      <c r="N345" s="702"/>
      <c r="O345" s="702"/>
      <c r="P345" s="702"/>
      <c r="Q345" s="702"/>
      <c r="R345" s="702"/>
      <c r="S345" s="702"/>
      <c r="T345" s="702"/>
      <c r="U345" s="702"/>
      <c r="V345" s="716"/>
      <c r="W345" s="716"/>
      <c r="X345" s="716"/>
      <c r="Y345" s="702"/>
      <c r="Z345" s="702"/>
      <c r="AA345" s="702"/>
      <c r="AB345" s="702"/>
    </row>
    <row r="346" spans="9:28" x14ac:dyDescent="0.3">
      <c r="I346" s="702"/>
      <c r="J346" s="702"/>
      <c r="K346" s="702"/>
      <c r="L346" s="702"/>
      <c r="M346" s="702"/>
      <c r="N346" s="702"/>
      <c r="O346" s="702"/>
      <c r="P346" s="702"/>
      <c r="Q346" s="702"/>
      <c r="R346" s="702"/>
      <c r="S346" s="702"/>
      <c r="T346" s="702"/>
      <c r="U346" s="702"/>
      <c r="V346" s="716"/>
      <c r="W346" s="716"/>
      <c r="X346" s="716"/>
      <c r="Y346" s="702"/>
      <c r="Z346" s="702"/>
      <c r="AA346" s="702"/>
      <c r="AB346" s="702"/>
    </row>
    <row r="347" spans="9:28" x14ac:dyDescent="0.3">
      <c r="I347" s="702"/>
      <c r="J347" s="702"/>
      <c r="K347" s="702"/>
      <c r="L347" s="702"/>
      <c r="M347" s="702"/>
      <c r="N347" s="702"/>
      <c r="O347" s="702"/>
      <c r="P347" s="702"/>
      <c r="Q347" s="702"/>
      <c r="R347" s="702"/>
      <c r="S347" s="702"/>
      <c r="T347" s="702"/>
      <c r="U347" s="702"/>
      <c r="V347" s="716"/>
      <c r="W347" s="716"/>
      <c r="X347" s="716"/>
      <c r="Y347" s="702"/>
      <c r="Z347" s="702"/>
      <c r="AA347" s="702"/>
      <c r="AB347" s="702"/>
    </row>
    <row r="348" spans="9:28" x14ac:dyDescent="0.3">
      <c r="I348" s="702"/>
      <c r="J348" s="702"/>
      <c r="K348" s="702"/>
      <c r="L348" s="702"/>
      <c r="M348" s="702"/>
      <c r="N348" s="702"/>
      <c r="O348" s="702"/>
      <c r="P348" s="702"/>
      <c r="Q348" s="702"/>
      <c r="R348" s="702"/>
      <c r="S348" s="702"/>
      <c r="T348" s="702"/>
      <c r="U348" s="702"/>
      <c r="V348" s="716"/>
      <c r="W348" s="716"/>
      <c r="X348" s="716"/>
      <c r="Y348" s="702"/>
      <c r="Z348" s="702"/>
      <c r="AA348" s="702"/>
      <c r="AB348" s="702"/>
    </row>
    <row r="349" spans="9:28" x14ac:dyDescent="0.3">
      <c r="I349" s="702"/>
      <c r="J349" s="702"/>
      <c r="K349" s="702"/>
      <c r="L349" s="702"/>
      <c r="M349" s="702"/>
      <c r="N349" s="702"/>
      <c r="O349" s="702"/>
      <c r="P349" s="702"/>
      <c r="Q349" s="702"/>
      <c r="R349" s="702"/>
      <c r="S349" s="702"/>
      <c r="T349" s="702"/>
      <c r="U349" s="702"/>
      <c r="V349" s="716"/>
      <c r="W349" s="716"/>
      <c r="X349" s="716"/>
      <c r="Y349" s="702"/>
      <c r="Z349" s="702"/>
      <c r="AA349" s="702"/>
      <c r="AB349" s="702"/>
    </row>
    <row r="350" spans="9:28" x14ac:dyDescent="0.3">
      <c r="I350" s="702"/>
      <c r="J350" s="702"/>
      <c r="K350" s="702"/>
      <c r="L350" s="702"/>
      <c r="M350" s="702"/>
      <c r="N350" s="702"/>
      <c r="O350" s="702"/>
      <c r="P350" s="702"/>
      <c r="Q350" s="702"/>
      <c r="R350" s="702"/>
      <c r="S350" s="702"/>
      <c r="T350" s="702"/>
      <c r="U350" s="702"/>
      <c r="V350" s="716"/>
      <c r="W350" s="716"/>
      <c r="X350" s="716"/>
      <c r="Y350" s="702"/>
      <c r="Z350" s="702"/>
      <c r="AA350" s="702"/>
      <c r="AB350" s="702"/>
    </row>
    <row r="351" spans="9:28" x14ac:dyDescent="0.3">
      <c r="I351" s="702"/>
      <c r="J351" s="702"/>
      <c r="K351" s="702"/>
      <c r="L351" s="702"/>
      <c r="M351" s="702"/>
      <c r="N351" s="702"/>
      <c r="O351" s="702"/>
      <c r="P351" s="702"/>
      <c r="Q351" s="702"/>
      <c r="R351" s="702"/>
      <c r="S351" s="702"/>
      <c r="T351" s="702"/>
      <c r="U351" s="702"/>
      <c r="V351" s="716"/>
      <c r="W351" s="716"/>
      <c r="X351" s="716"/>
      <c r="Y351" s="702"/>
      <c r="Z351" s="702"/>
      <c r="AA351" s="702"/>
      <c r="AB351" s="702"/>
    </row>
    <row r="352" spans="9:28" x14ac:dyDescent="0.3">
      <c r="I352" s="702"/>
      <c r="J352" s="702"/>
      <c r="K352" s="702"/>
      <c r="L352" s="702"/>
      <c r="M352" s="702"/>
      <c r="N352" s="702"/>
      <c r="O352" s="702"/>
      <c r="P352" s="702"/>
      <c r="Q352" s="702"/>
      <c r="R352" s="702"/>
      <c r="S352" s="702"/>
      <c r="T352" s="702"/>
      <c r="U352" s="702"/>
      <c r="V352" s="716"/>
      <c r="W352" s="716"/>
      <c r="X352" s="716"/>
      <c r="Y352" s="702"/>
      <c r="Z352" s="702"/>
      <c r="AA352" s="702"/>
      <c r="AB352" s="702"/>
    </row>
    <row r="353" spans="9:28" x14ac:dyDescent="0.3">
      <c r="I353" s="702"/>
      <c r="J353" s="702"/>
      <c r="K353" s="702"/>
      <c r="L353" s="702"/>
      <c r="M353" s="702"/>
      <c r="N353" s="702"/>
      <c r="O353" s="702"/>
      <c r="P353" s="702"/>
      <c r="Q353" s="702"/>
      <c r="R353" s="702"/>
      <c r="S353" s="702"/>
      <c r="T353" s="702"/>
      <c r="U353" s="702"/>
      <c r="V353" s="716"/>
      <c r="W353" s="716"/>
      <c r="X353" s="716"/>
      <c r="Y353" s="702"/>
      <c r="Z353" s="702"/>
      <c r="AA353" s="702"/>
      <c r="AB353" s="702"/>
    </row>
    <row r="354" spans="9:28" x14ac:dyDescent="0.3">
      <c r="I354" s="702"/>
      <c r="J354" s="702"/>
      <c r="K354" s="702"/>
      <c r="L354" s="702"/>
      <c r="M354" s="702"/>
      <c r="N354" s="702"/>
      <c r="O354" s="702"/>
      <c r="P354" s="702"/>
      <c r="Q354" s="702"/>
      <c r="R354" s="702"/>
      <c r="S354" s="702"/>
      <c r="T354" s="702"/>
      <c r="U354" s="702"/>
      <c r="V354" s="716"/>
      <c r="W354" s="716"/>
      <c r="X354" s="716"/>
      <c r="Y354" s="702"/>
      <c r="Z354" s="702"/>
      <c r="AA354" s="702"/>
      <c r="AB354" s="702"/>
    </row>
    <row r="355" spans="9:28" x14ac:dyDescent="0.3">
      <c r="I355" s="702"/>
      <c r="J355" s="702"/>
      <c r="K355" s="702"/>
      <c r="L355" s="702"/>
      <c r="M355" s="702"/>
      <c r="N355" s="702"/>
      <c r="O355" s="702"/>
      <c r="P355" s="702"/>
      <c r="Q355" s="702"/>
      <c r="R355" s="702"/>
      <c r="S355" s="702"/>
      <c r="T355" s="702"/>
      <c r="U355" s="702"/>
      <c r="V355" s="716"/>
      <c r="W355" s="716"/>
      <c r="X355" s="716"/>
      <c r="Y355" s="702"/>
      <c r="Z355" s="702"/>
      <c r="AA355" s="702"/>
      <c r="AB355" s="702"/>
    </row>
    <row r="356" spans="9:28" x14ac:dyDescent="0.3">
      <c r="I356" s="702"/>
      <c r="J356" s="702"/>
      <c r="K356" s="702"/>
      <c r="L356" s="702"/>
      <c r="M356" s="702"/>
      <c r="N356" s="702"/>
      <c r="O356" s="702"/>
      <c r="P356" s="702"/>
      <c r="Q356" s="702"/>
      <c r="R356" s="702"/>
      <c r="S356" s="702"/>
      <c r="T356" s="702"/>
      <c r="U356" s="702"/>
      <c r="V356" s="716"/>
      <c r="W356" s="716"/>
      <c r="X356" s="716"/>
      <c r="Y356" s="702"/>
      <c r="Z356" s="702"/>
      <c r="AA356" s="702"/>
      <c r="AB356" s="702"/>
    </row>
    <row r="357" spans="9:28" x14ac:dyDescent="0.3">
      <c r="I357" s="702"/>
      <c r="J357" s="702"/>
      <c r="K357" s="702"/>
      <c r="L357" s="702"/>
      <c r="M357" s="702"/>
      <c r="N357" s="702"/>
      <c r="O357" s="702"/>
      <c r="P357" s="702"/>
      <c r="Q357" s="702"/>
      <c r="R357" s="702"/>
      <c r="S357" s="702"/>
      <c r="T357" s="702"/>
      <c r="U357" s="702"/>
      <c r="V357" s="716"/>
      <c r="W357" s="716"/>
      <c r="X357" s="716"/>
      <c r="Y357" s="702"/>
      <c r="Z357" s="702"/>
      <c r="AA357" s="702"/>
      <c r="AB357" s="702"/>
    </row>
    <row r="358" spans="9:28" x14ac:dyDescent="0.3">
      <c r="I358" s="702"/>
      <c r="J358" s="702"/>
      <c r="K358" s="702"/>
      <c r="L358" s="702"/>
      <c r="M358" s="702"/>
      <c r="N358" s="702"/>
      <c r="O358" s="702"/>
      <c r="P358" s="702"/>
      <c r="Q358" s="702"/>
      <c r="R358" s="702"/>
      <c r="S358" s="702"/>
      <c r="T358" s="702"/>
      <c r="U358" s="702"/>
      <c r="V358" s="716"/>
      <c r="W358" s="716"/>
      <c r="X358" s="716"/>
      <c r="Y358" s="702"/>
      <c r="Z358" s="702"/>
      <c r="AA358" s="702"/>
      <c r="AB358" s="702"/>
    </row>
    <row r="359" spans="9:28" x14ac:dyDescent="0.3">
      <c r="I359" s="702"/>
      <c r="J359" s="702"/>
      <c r="K359" s="702"/>
      <c r="L359" s="702"/>
      <c r="M359" s="702"/>
      <c r="N359" s="702"/>
      <c r="O359" s="702"/>
      <c r="P359" s="702"/>
      <c r="Q359" s="702"/>
      <c r="R359" s="702"/>
      <c r="S359" s="702"/>
      <c r="T359" s="702"/>
      <c r="U359" s="702"/>
      <c r="V359" s="716"/>
      <c r="W359" s="716"/>
      <c r="X359" s="716"/>
      <c r="Y359" s="702"/>
      <c r="Z359" s="702"/>
      <c r="AA359" s="702"/>
      <c r="AB359" s="702"/>
    </row>
    <row r="360" spans="9:28" x14ac:dyDescent="0.3">
      <c r="I360" s="702"/>
      <c r="J360" s="702"/>
      <c r="K360" s="702"/>
      <c r="L360" s="702"/>
      <c r="M360" s="702"/>
      <c r="N360" s="702"/>
      <c r="O360" s="702"/>
      <c r="P360" s="702"/>
      <c r="Q360" s="702"/>
      <c r="R360" s="702"/>
      <c r="S360" s="702"/>
      <c r="T360" s="702"/>
      <c r="U360" s="702"/>
      <c r="V360" s="716"/>
      <c r="W360" s="716"/>
      <c r="X360" s="716"/>
      <c r="Y360" s="702"/>
      <c r="Z360" s="702"/>
      <c r="AA360" s="702"/>
      <c r="AB360" s="702"/>
    </row>
    <row r="361" spans="9:28" x14ac:dyDescent="0.3">
      <c r="I361" s="702"/>
      <c r="J361" s="702"/>
      <c r="K361" s="702"/>
      <c r="L361" s="702"/>
      <c r="M361" s="702"/>
      <c r="N361" s="702"/>
      <c r="O361" s="702"/>
      <c r="P361" s="702"/>
      <c r="Q361" s="702"/>
      <c r="R361" s="702"/>
      <c r="S361" s="702"/>
      <c r="T361" s="702"/>
      <c r="U361" s="702"/>
      <c r="V361" s="716"/>
      <c r="W361" s="716"/>
      <c r="X361" s="716"/>
      <c r="Y361" s="702"/>
      <c r="Z361" s="702"/>
      <c r="AA361" s="702"/>
      <c r="AB361" s="702"/>
    </row>
    <row r="362" spans="9:28" x14ac:dyDescent="0.3">
      <c r="I362" s="702"/>
      <c r="J362" s="702"/>
      <c r="K362" s="702"/>
      <c r="L362" s="702"/>
      <c r="M362" s="702"/>
      <c r="N362" s="702"/>
      <c r="O362" s="702"/>
      <c r="P362" s="702"/>
      <c r="Q362" s="702"/>
      <c r="R362" s="702"/>
      <c r="S362" s="702"/>
      <c r="T362" s="702"/>
      <c r="U362" s="702"/>
      <c r="V362" s="716"/>
      <c r="W362" s="716"/>
      <c r="X362" s="716"/>
      <c r="Y362" s="702"/>
      <c r="Z362" s="702"/>
      <c r="AA362" s="702"/>
      <c r="AB362" s="702"/>
    </row>
    <row r="363" spans="9:28" x14ac:dyDescent="0.3">
      <c r="I363" s="702"/>
      <c r="J363" s="702"/>
      <c r="K363" s="702"/>
      <c r="L363" s="702"/>
      <c r="M363" s="702"/>
      <c r="N363" s="702"/>
      <c r="O363" s="702"/>
      <c r="P363" s="702"/>
      <c r="Q363" s="702"/>
      <c r="R363" s="702"/>
      <c r="S363" s="702"/>
      <c r="T363" s="702"/>
      <c r="U363" s="702"/>
      <c r="V363" s="716"/>
      <c r="W363" s="716"/>
      <c r="X363" s="716"/>
      <c r="Y363" s="702"/>
      <c r="Z363" s="702"/>
      <c r="AA363" s="702"/>
      <c r="AB363" s="702"/>
    </row>
    <row r="364" spans="9:28" x14ac:dyDescent="0.3">
      <c r="I364" s="702"/>
      <c r="J364" s="702"/>
      <c r="K364" s="702"/>
      <c r="L364" s="702"/>
      <c r="M364" s="702"/>
      <c r="N364" s="702"/>
      <c r="O364" s="702"/>
      <c r="P364" s="702"/>
      <c r="Q364" s="702"/>
      <c r="R364" s="702"/>
      <c r="S364" s="702"/>
      <c r="T364" s="702"/>
      <c r="U364" s="702"/>
      <c r="V364" s="716"/>
      <c r="W364" s="716"/>
      <c r="X364" s="716"/>
      <c r="Y364" s="702"/>
      <c r="Z364" s="702"/>
      <c r="AA364" s="702"/>
      <c r="AB364" s="702"/>
    </row>
    <row r="365" spans="9:28" x14ac:dyDescent="0.3">
      <c r="I365" s="702"/>
      <c r="J365" s="702"/>
      <c r="K365" s="702"/>
      <c r="L365" s="702"/>
      <c r="M365" s="702"/>
      <c r="N365" s="702"/>
      <c r="O365" s="702"/>
      <c r="P365" s="702"/>
      <c r="Q365" s="702"/>
      <c r="R365" s="702"/>
      <c r="S365" s="702"/>
      <c r="T365" s="702"/>
      <c r="U365" s="702"/>
      <c r="V365" s="716"/>
      <c r="W365" s="716"/>
      <c r="X365" s="716"/>
      <c r="Y365" s="702"/>
      <c r="Z365" s="702"/>
      <c r="AA365" s="702"/>
      <c r="AB365" s="702"/>
    </row>
    <row r="366" spans="9:28" x14ac:dyDescent="0.3">
      <c r="I366" s="702"/>
      <c r="J366" s="702"/>
      <c r="K366" s="702"/>
      <c r="L366" s="702"/>
      <c r="M366" s="702"/>
      <c r="N366" s="702"/>
      <c r="O366" s="702"/>
      <c r="P366" s="702"/>
      <c r="Q366" s="702"/>
      <c r="R366" s="702"/>
      <c r="S366" s="702"/>
      <c r="T366" s="702"/>
      <c r="U366" s="702"/>
      <c r="V366" s="716"/>
      <c r="W366" s="716"/>
      <c r="X366" s="716"/>
      <c r="Y366" s="702"/>
      <c r="Z366" s="702"/>
      <c r="AA366" s="702"/>
      <c r="AB366" s="702"/>
    </row>
    <row r="367" spans="9:28" x14ac:dyDescent="0.3">
      <c r="I367" s="702"/>
      <c r="J367" s="702"/>
      <c r="K367" s="702"/>
      <c r="L367" s="702"/>
      <c r="M367" s="702"/>
      <c r="N367" s="702"/>
      <c r="O367" s="702"/>
      <c r="P367" s="702"/>
      <c r="Q367" s="702"/>
      <c r="R367" s="702"/>
      <c r="S367" s="702"/>
      <c r="T367" s="702"/>
      <c r="U367" s="702"/>
      <c r="V367" s="716"/>
      <c r="W367" s="716"/>
      <c r="X367" s="716"/>
      <c r="Y367" s="702"/>
      <c r="Z367" s="702"/>
      <c r="AA367" s="702"/>
      <c r="AB367" s="702"/>
    </row>
    <row r="368" spans="9:28" x14ac:dyDescent="0.3">
      <c r="I368" s="702"/>
      <c r="J368" s="702"/>
      <c r="K368" s="702"/>
      <c r="L368" s="702"/>
      <c r="M368" s="702"/>
      <c r="N368" s="702"/>
      <c r="O368" s="702"/>
      <c r="P368" s="702"/>
      <c r="Q368" s="702"/>
      <c r="R368" s="702"/>
      <c r="S368" s="702"/>
      <c r="T368" s="702"/>
      <c r="U368" s="702"/>
      <c r="V368" s="716"/>
      <c r="W368" s="716"/>
      <c r="X368" s="716"/>
      <c r="Y368" s="702"/>
      <c r="Z368" s="702"/>
      <c r="AA368" s="702"/>
      <c r="AB368" s="702"/>
    </row>
    <row r="369" spans="9:28" x14ac:dyDescent="0.3">
      <c r="I369" s="702"/>
      <c r="J369" s="702"/>
      <c r="K369" s="702"/>
      <c r="L369" s="702"/>
      <c r="M369" s="702"/>
      <c r="N369" s="702"/>
      <c r="O369" s="702"/>
      <c r="P369" s="702"/>
      <c r="Q369" s="702"/>
      <c r="R369" s="702"/>
      <c r="S369" s="702"/>
      <c r="T369" s="702"/>
      <c r="U369" s="702"/>
      <c r="V369" s="716"/>
      <c r="W369" s="716"/>
      <c r="X369" s="716"/>
      <c r="Y369" s="702"/>
      <c r="Z369" s="702"/>
      <c r="AA369" s="702"/>
      <c r="AB369" s="702"/>
    </row>
    <row r="370" spans="9:28" x14ac:dyDescent="0.3">
      <c r="I370" s="702"/>
      <c r="J370" s="702"/>
      <c r="K370" s="702"/>
      <c r="L370" s="702"/>
      <c r="M370" s="702"/>
      <c r="N370" s="702"/>
      <c r="O370" s="702"/>
      <c r="P370" s="702"/>
      <c r="Q370" s="702"/>
      <c r="R370" s="702"/>
      <c r="S370" s="702"/>
      <c r="T370" s="702"/>
      <c r="U370" s="702"/>
      <c r="V370" s="716"/>
      <c r="W370" s="716"/>
      <c r="X370" s="716"/>
      <c r="Y370" s="702"/>
      <c r="Z370" s="702"/>
      <c r="AA370" s="702"/>
      <c r="AB370" s="702"/>
    </row>
    <row r="371" spans="9:28" x14ac:dyDescent="0.3">
      <c r="I371" s="702"/>
      <c r="J371" s="702"/>
      <c r="K371" s="702"/>
      <c r="L371" s="702"/>
      <c r="M371" s="702"/>
      <c r="N371" s="702"/>
      <c r="O371" s="702"/>
      <c r="P371" s="702"/>
      <c r="Q371" s="702"/>
      <c r="R371" s="702"/>
      <c r="S371" s="702"/>
      <c r="T371" s="702"/>
      <c r="U371" s="702"/>
      <c r="V371" s="716"/>
      <c r="W371" s="716"/>
      <c r="X371" s="716"/>
      <c r="Y371" s="702"/>
      <c r="Z371" s="702"/>
      <c r="AA371" s="702"/>
      <c r="AB371" s="702"/>
    </row>
    <row r="372" spans="9:28" x14ac:dyDescent="0.3">
      <c r="I372" s="702"/>
      <c r="J372" s="702"/>
      <c r="K372" s="702"/>
      <c r="L372" s="702"/>
      <c r="M372" s="702"/>
      <c r="N372" s="702"/>
      <c r="O372" s="702"/>
      <c r="P372" s="702"/>
      <c r="Q372" s="702"/>
      <c r="R372" s="702"/>
      <c r="S372" s="702"/>
      <c r="T372" s="702"/>
      <c r="U372" s="702"/>
      <c r="V372" s="716"/>
      <c r="W372" s="716"/>
      <c r="X372" s="716"/>
      <c r="Y372" s="702"/>
      <c r="Z372" s="702"/>
      <c r="AA372" s="702"/>
      <c r="AB372" s="702"/>
    </row>
    <row r="373" spans="9:28" x14ac:dyDescent="0.3">
      <c r="I373" s="702"/>
      <c r="J373" s="702"/>
      <c r="K373" s="702"/>
      <c r="L373" s="702"/>
      <c r="M373" s="702"/>
      <c r="N373" s="702"/>
      <c r="O373" s="702"/>
      <c r="P373" s="702"/>
      <c r="Q373" s="702"/>
      <c r="R373" s="702"/>
      <c r="S373" s="702"/>
      <c r="T373" s="702"/>
      <c r="U373" s="702"/>
      <c r="V373" s="716"/>
      <c r="W373" s="716"/>
      <c r="X373" s="716"/>
      <c r="Y373" s="702"/>
      <c r="Z373" s="702"/>
      <c r="AA373" s="702"/>
      <c r="AB373" s="702"/>
    </row>
    <row r="374" spans="9:28" x14ac:dyDescent="0.3">
      <c r="I374" s="702"/>
      <c r="J374" s="702"/>
      <c r="K374" s="702"/>
      <c r="L374" s="702"/>
      <c r="M374" s="702"/>
      <c r="N374" s="702"/>
      <c r="O374" s="702"/>
      <c r="P374" s="702"/>
      <c r="Q374" s="702"/>
      <c r="R374" s="702"/>
      <c r="S374" s="702"/>
      <c r="T374" s="702"/>
      <c r="U374" s="702"/>
      <c r="V374" s="716"/>
      <c r="W374" s="716"/>
      <c r="X374" s="716"/>
      <c r="Y374" s="702"/>
      <c r="Z374" s="702"/>
      <c r="AA374" s="702"/>
      <c r="AB374" s="702"/>
    </row>
    <row r="375" spans="9:28" x14ac:dyDescent="0.3">
      <c r="I375" s="702"/>
      <c r="J375" s="702"/>
      <c r="K375" s="702"/>
      <c r="L375" s="702"/>
      <c r="M375" s="702"/>
      <c r="N375" s="702"/>
      <c r="O375" s="702"/>
      <c r="P375" s="702"/>
      <c r="Q375" s="702"/>
      <c r="R375" s="702"/>
      <c r="S375" s="702"/>
      <c r="T375" s="702"/>
      <c r="U375" s="702"/>
      <c r="V375" s="716"/>
      <c r="W375" s="716"/>
      <c r="X375" s="716"/>
      <c r="Y375" s="702"/>
      <c r="Z375" s="702"/>
      <c r="AA375" s="702"/>
      <c r="AB375" s="702"/>
    </row>
    <row r="376" spans="9:28" x14ac:dyDescent="0.3">
      <c r="I376" s="702"/>
      <c r="J376" s="702"/>
      <c r="K376" s="702"/>
      <c r="L376" s="702"/>
      <c r="M376" s="702"/>
      <c r="N376" s="702"/>
      <c r="O376" s="702"/>
      <c r="P376" s="702"/>
      <c r="Q376" s="702"/>
      <c r="R376" s="702"/>
      <c r="S376" s="702"/>
      <c r="T376" s="702"/>
      <c r="U376" s="702"/>
      <c r="V376" s="716"/>
      <c r="W376" s="716"/>
      <c r="X376" s="716"/>
      <c r="Y376" s="702"/>
      <c r="Z376" s="702"/>
      <c r="AA376" s="702"/>
      <c r="AB376" s="702"/>
    </row>
    <row r="377" spans="9:28" x14ac:dyDescent="0.3">
      <c r="I377" s="702"/>
      <c r="J377" s="702"/>
      <c r="K377" s="702"/>
      <c r="L377" s="702"/>
      <c r="M377" s="702"/>
      <c r="N377" s="702"/>
      <c r="O377" s="702"/>
      <c r="P377" s="702"/>
      <c r="Q377" s="702"/>
      <c r="R377" s="702"/>
      <c r="S377" s="702"/>
      <c r="T377" s="702"/>
      <c r="U377" s="702"/>
      <c r="V377" s="716"/>
      <c r="W377" s="716"/>
      <c r="X377" s="716"/>
      <c r="Y377" s="702"/>
      <c r="Z377" s="702"/>
      <c r="AA377" s="702"/>
      <c r="AB377" s="702"/>
    </row>
    <row r="378" spans="9:28" x14ac:dyDescent="0.3">
      <c r="I378" s="702"/>
      <c r="J378" s="702"/>
      <c r="K378" s="702"/>
      <c r="L378" s="702"/>
      <c r="M378" s="702"/>
      <c r="N378" s="702"/>
      <c r="O378" s="702"/>
      <c r="P378" s="702"/>
      <c r="Q378" s="702"/>
      <c r="R378" s="702"/>
      <c r="S378" s="702"/>
      <c r="T378" s="702"/>
      <c r="U378" s="702"/>
      <c r="V378" s="716"/>
      <c r="W378" s="716"/>
      <c r="X378" s="716"/>
      <c r="Y378" s="702"/>
      <c r="Z378" s="702"/>
      <c r="AA378" s="702"/>
      <c r="AB378" s="702"/>
    </row>
    <row r="379" spans="9:28" x14ac:dyDescent="0.3">
      <c r="I379" s="702"/>
      <c r="J379" s="702"/>
      <c r="K379" s="702"/>
      <c r="L379" s="702"/>
      <c r="M379" s="702"/>
      <c r="N379" s="702"/>
      <c r="O379" s="702"/>
      <c r="P379" s="702"/>
      <c r="Q379" s="702"/>
      <c r="R379" s="702"/>
      <c r="S379" s="702"/>
      <c r="T379" s="702"/>
      <c r="U379" s="702"/>
      <c r="V379" s="716"/>
      <c r="W379" s="716"/>
      <c r="X379" s="716"/>
      <c r="Y379" s="702"/>
      <c r="Z379" s="702"/>
      <c r="AA379" s="702"/>
      <c r="AB379" s="702"/>
    </row>
    <row r="380" spans="9:28" x14ac:dyDescent="0.3">
      <c r="I380" s="702"/>
      <c r="J380" s="702"/>
      <c r="K380" s="702"/>
      <c r="L380" s="702"/>
      <c r="M380" s="702"/>
      <c r="N380" s="702"/>
      <c r="O380" s="702"/>
      <c r="P380" s="702"/>
      <c r="Q380" s="702"/>
      <c r="R380" s="702"/>
      <c r="S380" s="702"/>
      <c r="T380" s="702"/>
      <c r="U380" s="702"/>
      <c r="V380" s="716"/>
      <c r="W380" s="716"/>
      <c r="X380" s="716"/>
      <c r="Y380" s="702"/>
      <c r="Z380" s="702"/>
      <c r="AA380" s="702"/>
      <c r="AB380" s="702"/>
    </row>
    <row r="381" spans="9:28" x14ac:dyDescent="0.3">
      <c r="I381" s="702"/>
      <c r="J381" s="702"/>
      <c r="K381" s="702"/>
      <c r="L381" s="702"/>
      <c r="M381" s="702"/>
      <c r="N381" s="702"/>
      <c r="O381" s="702"/>
      <c r="P381" s="702"/>
      <c r="Q381" s="702"/>
      <c r="R381" s="702"/>
      <c r="S381" s="702"/>
      <c r="T381" s="702"/>
      <c r="U381" s="702"/>
      <c r="V381" s="716"/>
      <c r="W381" s="716"/>
      <c r="X381" s="716"/>
      <c r="Y381" s="702"/>
      <c r="Z381" s="702"/>
      <c r="AA381" s="702"/>
      <c r="AB381" s="702"/>
    </row>
    <row r="382" spans="9:28" x14ac:dyDescent="0.3">
      <c r="I382" s="702"/>
      <c r="J382" s="702"/>
      <c r="K382" s="702"/>
      <c r="L382" s="702"/>
      <c r="M382" s="702"/>
      <c r="N382" s="702"/>
      <c r="O382" s="702"/>
      <c r="P382" s="702"/>
      <c r="Q382" s="702"/>
      <c r="R382" s="702"/>
      <c r="S382" s="702"/>
      <c r="T382" s="702"/>
      <c r="U382" s="702"/>
      <c r="V382" s="716"/>
      <c r="W382" s="716"/>
      <c r="X382" s="716"/>
      <c r="Y382" s="702"/>
      <c r="Z382" s="702"/>
      <c r="AA382" s="702"/>
      <c r="AB382" s="702"/>
    </row>
    <row r="383" spans="9:28" x14ac:dyDescent="0.3">
      <c r="I383" s="702"/>
      <c r="J383" s="702"/>
      <c r="K383" s="702"/>
      <c r="L383" s="702"/>
      <c r="M383" s="702"/>
      <c r="N383" s="702"/>
      <c r="O383" s="702"/>
      <c r="P383" s="702"/>
      <c r="Q383" s="702"/>
      <c r="R383" s="702"/>
      <c r="S383" s="702"/>
      <c r="T383" s="702"/>
      <c r="U383" s="702"/>
      <c r="V383" s="716"/>
      <c r="W383" s="716"/>
      <c r="X383" s="716"/>
      <c r="Y383" s="702"/>
      <c r="Z383" s="702"/>
      <c r="AA383" s="702"/>
      <c r="AB383" s="702"/>
    </row>
    <row r="384" spans="9:28" x14ac:dyDescent="0.3">
      <c r="I384" s="702"/>
      <c r="J384" s="702"/>
      <c r="K384" s="702"/>
      <c r="L384" s="702"/>
      <c r="M384" s="702"/>
      <c r="N384" s="702"/>
      <c r="O384" s="702"/>
      <c r="P384" s="702"/>
      <c r="Q384" s="702"/>
      <c r="R384" s="702"/>
      <c r="S384" s="702"/>
      <c r="T384" s="702"/>
      <c r="U384" s="702"/>
      <c r="V384" s="716"/>
      <c r="W384" s="716"/>
      <c r="X384" s="716"/>
      <c r="Y384" s="702"/>
      <c r="Z384" s="702"/>
      <c r="AA384" s="702"/>
      <c r="AB384" s="702"/>
    </row>
    <row r="385" spans="9:28" x14ac:dyDescent="0.3">
      <c r="I385" s="702"/>
      <c r="J385" s="702"/>
      <c r="K385" s="702"/>
      <c r="L385" s="702"/>
      <c r="M385" s="702"/>
      <c r="N385" s="702"/>
      <c r="O385" s="702"/>
      <c r="P385" s="702"/>
      <c r="Q385" s="702"/>
      <c r="R385" s="702"/>
      <c r="S385" s="702"/>
      <c r="T385" s="702"/>
      <c r="U385" s="702"/>
      <c r="V385" s="716"/>
      <c r="W385" s="716"/>
      <c r="X385" s="716"/>
      <c r="Y385" s="702"/>
      <c r="Z385" s="702"/>
      <c r="AA385" s="702"/>
      <c r="AB385" s="702"/>
    </row>
    <row r="386" spans="9:28" x14ac:dyDescent="0.3">
      <c r="I386" s="702"/>
      <c r="J386" s="702"/>
      <c r="K386" s="702"/>
      <c r="L386" s="702"/>
      <c r="M386" s="702"/>
      <c r="N386" s="702"/>
      <c r="O386" s="702"/>
      <c r="P386" s="702"/>
      <c r="Q386" s="702"/>
      <c r="R386" s="702"/>
      <c r="S386" s="702"/>
      <c r="T386" s="702"/>
      <c r="U386" s="702"/>
      <c r="V386" s="716"/>
      <c r="W386" s="716"/>
      <c r="X386" s="716"/>
      <c r="Y386" s="702"/>
      <c r="Z386" s="702"/>
      <c r="AA386" s="702"/>
      <c r="AB386" s="702"/>
    </row>
    <row r="387" spans="9:28" x14ac:dyDescent="0.3">
      <c r="I387" s="702"/>
      <c r="J387" s="702"/>
      <c r="K387" s="702"/>
      <c r="L387" s="702"/>
      <c r="M387" s="702"/>
      <c r="N387" s="702"/>
      <c r="O387" s="702"/>
      <c r="P387" s="702"/>
      <c r="Q387" s="702"/>
      <c r="R387" s="702"/>
      <c r="S387" s="702"/>
      <c r="T387" s="702"/>
      <c r="U387" s="702"/>
      <c r="V387" s="716"/>
      <c r="W387" s="716"/>
      <c r="X387" s="716"/>
      <c r="Y387" s="702"/>
      <c r="Z387" s="702"/>
      <c r="AA387" s="702"/>
      <c r="AB387" s="702"/>
    </row>
    <row r="388" spans="9:28" x14ac:dyDescent="0.3">
      <c r="I388" s="702"/>
      <c r="J388" s="702"/>
      <c r="K388" s="702"/>
      <c r="L388" s="702"/>
      <c r="M388" s="702"/>
      <c r="N388" s="702"/>
      <c r="O388" s="702"/>
      <c r="P388" s="702"/>
      <c r="Q388" s="702"/>
      <c r="R388" s="702"/>
      <c r="S388" s="702"/>
      <c r="T388" s="702"/>
      <c r="U388" s="702"/>
      <c r="V388" s="716"/>
      <c r="W388" s="716"/>
      <c r="X388" s="716"/>
      <c r="Y388" s="702"/>
      <c r="Z388" s="702"/>
      <c r="AA388" s="702"/>
      <c r="AB388" s="702"/>
    </row>
    <row r="389" spans="9:28" x14ac:dyDescent="0.3">
      <c r="I389" s="702"/>
      <c r="J389" s="702"/>
      <c r="K389" s="702"/>
      <c r="L389" s="702"/>
      <c r="M389" s="702"/>
      <c r="N389" s="702"/>
      <c r="O389" s="702"/>
      <c r="P389" s="702"/>
      <c r="Q389" s="702"/>
      <c r="R389" s="702"/>
      <c r="S389" s="702"/>
      <c r="T389" s="702"/>
      <c r="U389" s="702"/>
      <c r="V389" s="716"/>
      <c r="W389" s="716"/>
      <c r="X389" s="716"/>
      <c r="Y389" s="702"/>
      <c r="Z389" s="702"/>
      <c r="AA389" s="702"/>
      <c r="AB389" s="702"/>
    </row>
    <row r="390" spans="9:28" x14ac:dyDescent="0.3">
      <c r="I390" s="702"/>
      <c r="J390" s="702"/>
      <c r="K390" s="702"/>
      <c r="L390" s="702"/>
      <c r="M390" s="702"/>
      <c r="N390" s="702"/>
      <c r="O390" s="702"/>
      <c r="P390" s="702"/>
      <c r="Q390" s="702"/>
      <c r="R390" s="702"/>
      <c r="S390" s="702"/>
      <c r="T390" s="702"/>
      <c r="U390" s="702"/>
      <c r="V390" s="716"/>
      <c r="W390" s="716"/>
      <c r="X390" s="716"/>
      <c r="Y390" s="702"/>
      <c r="Z390" s="702"/>
      <c r="AA390" s="702"/>
      <c r="AB390" s="702"/>
    </row>
    <row r="391" spans="9:28" x14ac:dyDescent="0.3">
      <c r="I391" s="702"/>
      <c r="J391" s="702"/>
      <c r="K391" s="702"/>
      <c r="L391" s="702"/>
      <c r="M391" s="702"/>
      <c r="N391" s="702"/>
      <c r="O391" s="702"/>
      <c r="P391" s="702"/>
      <c r="Q391" s="702"/>
      <c r="R391" s="702"/>
      <c r="S391" s="702"/>
      <c r="T391" s="702"/>
      <c r="U391" s="702"/>
      <c r="V391" s="716"/>
      <c r="W391" s="716"/>
      <c r="X391" s="716"/>
      <c r="Y391" s="702"/>
      <c r="Z391" s="702"/>
      <c r="AA391" s="702"/>
      <c r="AB391" s="702"/>
    </row>
    <row r="392" spans="9:28" x14ac:dyDescent="0.3">
      <c r="I392" s="702"/>
      <c r="J392" s="702"/>
      <c r="K392" s="702"/>
      <c r="L392" s="702"/>
      <c r="M392" s="702"/>
      <c r="N392" s="702"/>
      <c r="O392" s="702"/>
      <c r="P392" s="702"/>
      <c r="Q392" s="702"/>
      <c r="R392" s="702"/>
      <c r="S392" s="702"/>
      <c r="T392" s="702"/>
      <c r="U392" s="702"/>
      <c r="V392" s="716"/>
      <c r="W392" s="716"/>
      <c r="X392" s="716"/>
      <c r="Y392" s="702"/>
      <c r="Z392" s="702"/>
      <c r="AA392" s="702"/>
      <c r="AB392" s="702"/>
    </row>
    <row r="393" spans="9:28" x14ac:dyDescent="0.3">
      <c r="I393" s="702"/>
      <c r="J393" s="702"/>
      <c r="K393" s="702"/>
      <c r="L393" s="702"/>
      <c r="M393" s="702"/>
      <c r="N393" s="702"/>
      <c r="O393" s="702"/>
      <c r="P393" s="702"/>
      <c r="Q393" s="702"/>
      <c r="R393" s="702"/>
      <c r="S393" s="702"/>
      <c r="T393" s="702"/>
      <c r="U393" s="702"/>
      <c r="V393" s="716"/>
      <c r="W393" s="716"/>
      <c r="X393" s="716"/>
      <c r="Y393" s="702"/>
      <c r="Z393" s="702"/>
      <c r="AA393" s="702"/>
      <c r="AB393" s="702"/>
    </row>
    <row r="394" spans="9:28" x14ac:dyDescent="0.3">
      <c r="I394" s="702"/>
      <c r="J394" s="702"/>
      <c r="K394" s="702"/>
      <c r="L394" s="702"/>
      <c r="M394" s="702"/>
      <c r="N394" s="702"/>
      <c r="O394" s="702"/>
      <c r="P394" s="702"/>
      <c r="Q394" s="702"/>
      <c r="R394" s="702"/>
      <c r="S394" s="702"/>
      <c r="T394" s="702"/>
      <c r="U394" s="702"/>
      <c r="V394" s="716"/>
      <c r="W394" s="716"/>
      <c r="X394" s="716"/>
      <c r="Y394" s="702"/>
      <c r="Z394" s="702"/>
      <c r="AA394" s="702"/>
      <c r="AB394" s="702"/>
    </row>
    <row r="395" spans="9:28" x14ac:dyDescent="0.3">
      <c r="I395" s="702"/>
      <c r="J395" s="702"/>
      <c r="K395" s="702"/>
      <c r="L395" s="702"/>
      <c r="M395" s="702"/>
      <c r="N395" s="702"/>
      <c r="O395" s="702"/>
      <c r="P395" s="702"/>
      <c r="Q395" s="702"/>
      <c r="R395" s="702"/>
      <c r="S395" s="702"/>
      <c r="T395" s="702"/>
      <c r="U395" s="702"/>
      <c r="V395" s="716"/>
      <c r="W395" s="716"/>
      <c r="X395" s="716"/>
      <c r="Y395" s="702"/>
      <c r="Z395" s="702"/>
      <c r="AA395" s="702"/>
      <c r="AB395" s="702"/>
    </row>
    <row r="396" spans="9:28" x14ac:dyDescent="0.3">
      <c r="I396" s="702"/>
      <c r="J396" s="702"/>
      <c r="K396" s="702"/>
      <c r="L396" s="702"/>
      <c r="M396" s="702"/>
      <c r="N396" s="702"/>
      <c r="O396" s="702"/>
      <c r="P396" s="702"/>
      <c r="Q396" s="702"/>
      <c r="R396" s="702"/>
      <c r="S396" s="702"/>
      <c r="T396" s="702"/>
      <c r="U396" s="702"/>
      <c r="V396" s="716"/>
      <c r="W396" s="716"/>
      <c r="X396" s="716"/>
      <c r="Y396" s="702"/>
      <c r="Z396" s="702"/>
      <c r="AA396" s="702"/>
      <c r="AB396" s="702"/>
    </row>
    <row r="397" spans="9:28" x14ac:dyDescent="0.3">
      <c r="I397" s="702"/>
      <c r="J397" s="702"/>
      <c r="K397" s="702"/>
      <c r="L397" s="702"/>
      <c r="M397" s="702"/>
      <c r="N397" s="702"/>
      <c r="O397" s="702"/>
      <c r="P397" s="702"/>
      <c r="Q397" s="702"/>
      <c r="R397" s="702"/>
      <c r="S397" s="702"/>
      <c r="T397" s="702"/>
      <c r="U397" s="702"/>
      <c r="V397" s="716"/>
      <c r="W397" s="716"/>
      <c r="X397" s="716"/>
      <c r="Y397" s="702"/>
      <c r="Z397" s="702"/>
      <c r="AA397" s="702"/>
      <c r="AB397" s="702"/>
    </row>
    <row r="398" spans="9:28" x14ac:dyDescent="0.3">
      <c r="I398" s="702"/>
      <c r="J398" s="702"/>
      <c r="K398" s="702"/>
      <c r="L398" s="702"/>
      <c r="M398" s="702"/>
      <c r="N398" s="702"/>
      <c r="O398" s="702"/>
      <c r="P398" s="702"/>
      <c r="Q398" s="702"/>
      <c r="R398" s="702"/>
      <c r="S398" s="702"/>
      <c r="T398" s="702"/>
      <c r="U398" s="702"/>
      <c r="V398" s="716"/>
      <c r="W398" s="716"/>
      <c r="X398" s="716"/>
      <c r="Y398" s="702"/>
      <c r="Z398" s="702"/>
      <c r="AA398" s="702"/>
      <c r="AB398" s="702"/>
    </row>
    <row r="399" spans="9:28" x14ac:dyDescent="0.3">
      <c r="I399" s="702"/>
      <c r="J399" s="702"/>
      <c r="K399" s="702"/>
      <c r="L399" s="702"/>
      <c r="M399" s="702"/>
      <c r="N399" s="702"/>
      <c r="O399" s="702"/>
      <c r="P399" s="702"/>
      <c r="Q399" s="702"/>
      <c r="R399" s="702"/>
      <c r="S399" s="702"/>
      <c r="T399" s="702"/>
      <c r="U399" s="702"/>
      <c r="V399" s="716"/>
      <c r="W399" s="716"/>
      <c r="X399" s="716"/>
      <c r="Y399" s="702"/>
      <c r="Z399" s="702"/>
      <c r="AA399" s="702"/>
      <c r="AB399" s="702"/>
    </row>
    <row r="400" spans="9:28" x14ac:dyDescent="0.3">
      <c r="I400" s="702"/>
      <c r="J400" s="702"/>
      <c r="K400" s="702"/>
      <c r="L400" s="702"/>
      <c r="M400" s="702"/>
      <c r="N400" s="702"/>
      <c r="O400" s="702"/>
      <c r="P400" s="702"/>
      <c r="Q400" s="702"/>
      <c r="R400" s="702"/>
      <c r="S400" s="702"/>
      <c r="T400" s="702"/>
      <c r="U400" s="702"/>
      <c r="V400" s="716"/>
      <c r="W400" s="716"/>
      <c r="X400" s="716"/>
      <c r="Y400" s="702"/>
      <c r="Z400" s="702"/>
      <c r="AA400" s="702"/>
      <c r="AB400" s="702"/>
    </row>
    <row r="401" spans="9:28" x14ac:dyDescent="0.3">
      <c r="I401" s="702"/>
      <c r="J401" s="702"/>
      <c r="K401" s="702"/>
      <c r="L401" s="702"/>
      <c r="M401" s="702"/>
      <c r="N401" s="702"/>
      <c r="O401" s="702"/>
      <c r="P401" s="702"/>
      <c r="Q401" s="702"/>
      <c r="R401" s="702"/>
      <c r="S401" s="702"/>
      <c r="T401" s="702"/>
      <c r="U401" s="702"/>
      <c r="V401" s="716"/>
      <c r="W401" s="716"/>
      <c r="X401" s="716"/>
      <c r="Y401" s="702"/>
      <c r="Z401" s="702"/>
      <c r="AA401" s="702"/>
      <c r="AB401" s="702"/>
    </row>
    <row r="402" spans="9:28" x14ac:dyDescent="0.3">
      <c r="I402" s="702"/>
      <c r="J402" s="702"/>
      <c r="K402" s="702"/>
      <c r="L402" s="702"/>
      <c r="M402" s="702"/>
      <c r="N402" s="702"/>
      <c r="O402" s="702"/>
      <c r="P402" s="702"/>
      <c r="Q402" s="702"/>
      <c r="R402" s="702"/>
      <c r="S402" s="702"/>
      <c r="T402" s="702"/>
      <c r="U402" s="702"/>
      <c r="V402" s="716"/>
      <c r="W402" s="716"/>
      <c r="X402" s="716"/>
      <c r="Y402" s="702"/>
      <c r="Z402" s="702"/>
      <c r="AA402" s="702"/>
      <c r="AB402" s="702"/>
    </row>
    <row r="403" spans="9:28" x14ac:dyDescent="0.3">
      <c r="I403" s="702"/>
      <c r="J403" s="702"/>
      <c r="K403" s="702"/>
      <c r="L403" s="702"/>
      <c r="M403" s="702"/>
      <c r="N403" s="702"/>
      <c r="O403" s="702"/>
      <c r="P403" s="702"/>
      <c r="Q403" s="702"/>
      <c r="R403" s="702"/>
      <c r="S403" s="702"/>
      <c r="T403" s="702"/>
      <c r="U403" s="702"/>
      <c r="V403" s="716"/>
      <c r="W403" s="716"/>
      <c r="X403" s="716"/>
      <c r="Y403" s="702"/>
      <c r="Z403" s="702"/>
      <c r="AA403" s="702"/>
      <c r="AB403" s="702"/>
    </row>
    <row r="404" spans="9:28" x14ac:dyDescent="0.3">
      <c r="I404" s="702"/>
      <c r="J404" s="702"/>
      <c r="K404" s="702"/>
      <c r="L404" s="702"/>
      <c r="M404" s="702"/>
      <c r="N404" s="702"/>
      <c r="O404" s="702"/>
      <c r="P404" s="702"/>
      <c r="Q404" s="702"/>
      <c r="R404" s="702"/>
      <c r="S404" s="702"/>
      <c r="T404" s="702"/>
      <c r="U404" s="702"/>
      <c r="V404" s="716"/>
      <c r="W404" s="716"/>
      <c r="X404" s="716"/>
      <c r="Y404" s="702"/>
      <c r="Z404" s="702"/>
      <c r="AA404" s="702"/>
      <c r="AB404" s="702"/>
    </row>
    <row r="405" spans="9:28" x14ac:dyDescent="0.3">
      <c r="I405" s="702"/>
      <c r="J405" s="702"/>
      <c r="K405" s="702"/>
      <c r="L405" s="702"/>
      <c r="M405" s="702"/>
      <c r="N405" s="702"/>
      <c r="O405" s="702"/>
      <c r="P405" s="702"/>
      <c r="Q405" s="702"/>
      <c r="R405" s="702"/>
      <c r="S405" s="702"/>
      <c r="T405" s="702"/>
      <c r="U405" s="702"/>
      <c r="V405" s="716"/>
      <c r="W405" s="716"/>
      <c r="X405" s="716"/>
      <c r="Y405" s="702"/>
      <c r="Z405" s="702"/>
      <c r="AA405" s="702"/>
      <c r="AB405" s="702"/>
    </row>
    <row r="406" spans="9:28" x14ac:dyDescent="0.3">
      <c r="I406" s="702"/>
      <c r="J406" s="702"/>
      <c r="K406" s="702"/>
      <c r="L406" s="702"/>
      <c r="M406" s="702"/>
      <c r="N406" s="702"/>
      <c r="O406" s="702"/>
      <c r="P406" s="702"/>
      <c r="Q406" s="702"/>
      <c r="R406" s="702"/>
      <c r="S406" s="702"/>
      <c r="T406" s="702"/>
      <c r="U406" s="702"/>
      <c r="V406" s="716"/>
      <c r="W406" s="716"/>
      <c r="X406" s="716"/>
      <c r="Y406" s="702"/>
      <c r="Z406" s="702"/>
      <c r="AA406" s="702"/>
      <c r="AB406" s="702"/>
    </row>
    <row r="407" spans="9:28" x14ac:dyDescent="0.3">
      <c r="I407" s="702"/>
      <c r="J407" s="702"/>
      <c r="K407" s="702"/>
      <c r="L407" s="702"/>
      <c r="M407" s="702"/>
      <c r="N407" s="702"/>
      <c r="O407" s="702"/>
      <c r="P407" s="702"/>
      <c r="Q407" s="702"/>
      <c r="R407" s="702"/>
      <c r="S407" s="702"/>
      <c r="T407" s="702"/>
      <c r="U407" s="702"/>
      <c r="V407" s="716"/>
      <c r="W407" s="716"/>
      <c r="X407" s="716"/>
      <c r="Y407" s="702"/>
      <c r="Z407" s="702"/>
      <c r="AA407" s="702"/>
      <c r="AB407" s="702"/>
    </row>
    <row r="408" spans="9:28" x14ac:dyDescent="0.3">
      <c r="I408" s="702"/>
      <c r="J408" s="702"/>
      <c r="K408" s="702"/>
      <c r="L408" s="702"/>
      <c r="M408" s="702"/>
      <c r="N408" s="702"/>
      <c r="O408" s="702"/>
      <c r="P408" s="702"/>
      <c r="Q408" s="702"/>
      <c r="R408" s="702"/>
      <c r="S408" s="702"/>
      <c r="T408" s="702"/>
      <c r="U408" s="702"/>
      <c r="V408" s="716"/>
      <c r="W408" s="716"/>
      <c r="X408" s="716"/>
      <c r="Y408" s="702"/>
      <c r="Z408" s="702"/>
      <c r="AA408" s="702"/>
      <c r="AB408" s="702"/>
    </row>
    <row r="409" spans="9:28" x14ac:dyDescent="0.3">
      <c r="I409" s="702"/>
      <c r="J409" s="702"/>
      <c r="K409" s="702"/>
      <c r="L409" s="702"/>
      <c r="M409" s="702"/>
      <c r="N409" s="702"/>
      <c r="O409" s="702"/>
      <c r="P409" s="702"/>
      <c r="Q409" s="702"/>
      <c r="R409" s="702"/>
      <c r="S409" s="702"/>
      <c r="T409" s="702"/>
      <c r="U409" s="702"/>
      <c r="V409" s="716"/>
      <c r="W409" s="716"/>
      <c r="X409" s="716"/>
      <c r="Y409" s="702"/>
      <c r="Z409" s="702"/>
      <c r="AA409" s="702"/>
      <c r="AB409" s="702"/>
    </row>
    <row r="410" spans="9:28" x14ac:dyDescent="0.3">
      <c r="I410" s="702"/>
      <c r="J410" s="702"/>
      <c r="K410" s="702"/>
      <c r="L410" s="702"/>
      <c r="M410" s="702"/>
      <c r="N410" s="702"/>
      <c r="O410" s="702"/>
      <c r="P410" s="702"/>
      <c r="Q410" s="702"/>
      <c r="R410" s="702"/>
      <c r="S410" s="702"/>
      <c r="T410" s="702"/>
      <c r="U410" s="702"/>
      <c r="V410" s="716"/>
      <c r="W410" s="716"/>
      <c r="X410" s="716"/>
      <c r="Y410" s="702"/>
      <c r="Z410" s="702"/>
      <c r="AA410" s="702"/>
      <c r="AB410" s="702"/>
    </row>
    <row r="411" spans="9:28" x14ac:dyDescent="0.3">
      <c r="I411" s="702"/>
      <c r="J411" s="702"/>
      <c r="K411" s="702"/>
      <c r="L411" s="702"/>
      <c r="M411" s="702"/>
      <c r="N411" s="702"/>
      <c r="O411" s="702"/>
      <c r="P411" s="702"/>
      <c r="Q411" s="702"/>
      <c r="R411" s="702"/>
      <c r="S411" s="702"/>
      <c r="T411" s="702"/>
      <c r="U411" s="702"/>
      <c r="V411" s="716"/>
      <c r="W411" s="716"/>
      <c r="X411" s="716"/>
      <c r="Y411" s="702"/>
      <c r="Z411" s="702"/>
      <c r="AA411" s="702"/>
      <c r="AB411" s="702"/>
    </row>
    <row r="412" spans="9:28" x14ac:dyDescent="0.3">
      <c r="I412" s="702"/>
      <c r="J412" s="702"/>
      <c r="K412" s="702"/>
      <c r="L412" s="702"/>
      <c r="M412" s="702"/>
      <c r="N412" s="702"/>
      <c r="O412" s="702"/>
      <c r="P412" s="702"/>
      <c r="Q412" s="702"/>
      <c r="R412" s="702"/>
      <c r="S412" s="702"/>
      <c r="T412" s="702"/>
      <c r="U412" s="702"/>
      <c r="V412" s="716"/>
      <c r="W412" s="716"/>
      <c r="X412" s="716"/>
      <c r="Y412" s="702"/>
      <c r="Z412" s="702"/>
      <c r="AA412" s="702"/>
      <c r="AB412" s="702"/>
    </row>
    <row r="413" spans="9:28" x14ac:dyDescent="0.3">
      <c r="I413" s="702"/>
      <c r="J413" s="702"/>
      <c r="K413" s="702"/>
      <c r="L413" s="702"/>
      <c r="M413" s="702"/>
      <c r="N413" s="702"/>
      <c r="O413" s="702"/>
      <c r="P413" s="702"/>
      <c r="Q413" s="702"/>
      <c r="R413" s="702"/>
      <c r="S413" s="702"/>
      <c r="T413" s="702"/>
      <c r="U413" s="702"/>
      <c r="V413" s="716"/>
      <c r="W413" s="716"/>
      <c r="X413" s="716"/>
      <c r="Y413" s="702"/>
      <c r="Z413" s="702"/>
      <c r="AA413" s="702"/>
      <c r="AB413" s="702"/>
    </row>
    <row r="414" spans="9:28" x14ac:dyDescent="0.3">
      <c r="I414" s="702"/>
      <c r="J414" s="702"/>
      <c r="K414" s="702"/>
      <c r="L414" s="702"/>
      <c r="M414" s="702"/>
      <c r="N414" s="702"/>
      <c r="O414" s="702"/>
      <c r="P414" s="702"/>
      <c r="Q414" s="702"/>
      <c r="R414" s="702"/>
      <c r="S414" s="702"/>
      <c r="T414" s="702"/>
      <c r="U414" s="702"/>
      <c r="V414" s="716"/>
      <c r="W414" s="716"/>
      <c r="X414" s="716"/>
      <c r="Y414" s="702"/>
      <c r="Z414" s="702"/>
      <c r="AA414" s="702"/>
      <c r="AB414" s="702"/>
    </row>
    <row r="415" spans="9:28" x14ac:dyDescent="0.3">
      <c r="I415" s="702"/>
      <c r="J415" s="702"/>
      <c r="K415" s="702"/>
      <c r="L415" s="702"/>
      <c r="M415" s="702"/>
      <c r="N415" s="702"/>
      <c r="O415" s="702"/>
      <c r="P415" s="702"/>
      <c r="Q415" s="702"/>
      <c r="R415" s="702"/>
      <c r="S415" s="702"/>
      <c r="T415" s="702"/>
      <c r="U415" s="702"/>
      <c r="V415" s="716"/>
      <c r="W415" s="716"/>
      <c r="X415" s="716"/>
      <c r="Y415" s="702"/>
      <c r="Z415" s="702"/>
      <c r="AA415" s="702"/>
      <c r="AB415" s="702"/>
    </row>
    <row r="416" spans="9:28" x14ac:dyDescent="0.3">
      <c r="I416" s="702"/>
      <c r="J416" s="702"/>
      <c r="K416" s="702"/>
      <c r="L416" s="702"/>
      <c r="M416" s="702"/>
      <c r="N416" s="702"/>
      <c r="O416" s="702"/>
      <c r="P416" s="702"/>
      <c r="Q416" s="702"/>
      <c r="R416" s="702"/>
      <c r="S416" s="702"/>
      <c r="T416" s="702"/>
      <c r="U416" s="702"/>
      <c r="V416" s="716"/>
      <c r="W416" s="716"/>
      <c r="X416" s="716"/>
      <c r="Y416" s="702"/>
      <c r="Z416" s="702"/>
      <c r="AA416" s="702"/>
      <c r="AB416" s="702"/>
    </row>
    <row r="417" spans="9:28" x14ac:dyDescent="0.3">
      <c r="I417" s="702"/>
      <c r="J417" s="702"/>
      <c r="K417" s="702"/>
      <c r="L417" s="702"/>
      <c r="M417" s="702"/>
      <c r="N417" s="702"/>
      <c r="O417" s="702"/>
      <c r="P417" s="702"/>
      <c r="Q417" s="702"/>
      <c r="R417" s="702"/>
      <c r="S417" s="702"/>
      <c r="T417" s="702"/>
      <c r="U417" s="702"/>
      <c r="V417" s="716"/>
      <c r="W417" s="716"/>
      <c r="X417" s="716"/>
      <c r="Y417" s="702"/>
      <c r="Z417" s="702"/>
      <c r="AA417" s="702"/>
      <c r="AB417" s="702"/>
    </row>
    <row r="418" spans="9:28" x14ac:dyDescent="0.3">
      <c r="I418" s="702"/>
      <c r="J418" s="702"/>
      <c r="K418" s="702"/>
      <c r="L418" s="702"/>
      <c r="M418" s="702"/>
      <c r="N418" s="702"/>
      <c r="O418" s="702"/>
      <c r="P418" s="702"/>
      <c r="Q418" s="702"/>
      <c r="R418" s="702"/>
      <c r="S418" s="702"/>
      <c r="T418" s="702"/>
      <c r="U418" s="702"/>
      <c r="V418" s="716"/>
      <c r="W418" s="716"/>
      <c r="X418" s="716"/>
      <c r="Y418" s="702"/>
      <c r="Z418" s="702"/>
      <c r="AA418" s="702"/>
      <c r="AB418" s="702"/>
    </row>
  </sheetData>
  <mergeCells count="42">
    <mergeCell ref="Y33:Z34"/>
    <mergeCell ref="L39:M39"/>
    <mergeCell ref="Y39:Z39"/>
    <mergeCell ref="I32:J32"/>
    <mergeCell ref="N32:O32"/>
    <mergeCell ref="I33:K34"/>
    <mergeCell ref="L33:M34"/>
    <mergeCell ref="N33:P34"/>
    <mergeCell ref="Q33:R34"/>
    <mergeCell ref="I25:J25"/>
    <mergeCell ref="I30:Z30"/>
    <mergeCell ref="I31:K31"/>
    <mergeCell ref="L31:M31"/>
    <mergeCell ref="N31:P31"/>
    <mergeCell ref="Q31:R31"/>
    <mergeCell ref="Y31:Z31"/>
    <mergeCell ref="E29:Z29"/>
    <mergeCell ref="AA11:AB11"/>
    <mergeCell ref="I12:J12"/>
    <mergeCell ref="N12:O12"/>
    <mergeCell ref="I13:K14"/>
    <mergeCell ref="L13:M14"/>
    <mergeCell ref="N13:P14"/>
    <mergeCell ref="Q13:R14"/>
    <mergeCell ref="S13:U14"/>
    <mergeCell ref="Y13:Z14"/>
    <mergeCell ref="AA13:AB13"/>
    <mergeCell ref="V13:X14"/>
    <mergeCell ref="AA14:AB14"/>
    <mergeCell ref="I23:K24"/>
    <mergeCell ref="L23:M24"/>
    <mergeCell ref="Y23:Z24"/>
    <mergeCell ref="E9:Z9"/>
    <mergeCell ref="I10:Z10"/>
    <mergeCell ref="I11:K11"/>
    <mergeCell ref="L11:M11"/>
    <mergeCell ref="N11:P11"/>
    <mergeCell ref="Q11:R11"/>
    <mergeCell ref="S11:U11"/>
    <mergeCell ref="Y11:Z11"/>
    <mergeCell ref="V11:X11"/>
    <mergeCell ref="V23:X2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FF0000"/>
  </sheetPr>
  <dimension ref="D8:Q56"/>
  <sheetViews>
    <sheetView topLeftCell="D4" workbookViewId="0">
      <selection activeCell="J17" sqref="J17"/>
    </sheetView>
  </sheetViews>
  <sheetFormatPr baseColWidth="10" defaultColWidth="11.44140625" defaultRowHeight="14.4" x14ac:dyDescent="0.3"/>
  <cols>
    <col min="1" max="4" width="11.44140625" style="40"/>
    <col min="5" max="5" width="46" style="40" customWidth="1"/>
    <col min="6" max="6" width="11.44140625" style="40"/>
    <col min="7" max="8" width="11.5546875" style="40" bestFit="1" customWidth="1"/>
    <col min="9" max="9" width="12.5546875" style="40" bestFit="1" customWidth="1"/>
    <col min="10" max="10" width="19.5546875" style="40" customWidth="1"/>
    <col min="11" max="11" width="24.44140625" style="40" customWidth="1"/>
    <col min="12" max="12" width="17.5546875" style="40" bestFit="1" customWidth="1"/>
    <col min="13" max="13" width="22.109375" style="40" customWidth="1"/>
    <col min="14" max="14" width="17" style="40" customWidth="1"/>
    <col min="15" max="15" width="19.109375" style="40" customWidth="1"/>
    <col min="16" max="16" width="20" style="40" customWidth="1"/>
    <col min="17" max="17" width="21.33203125" style="40" customWidth="1"/>
    <col min="18" max="16384" width="11.44140625" style="40"/>
  </cols>
  <sheetData>
    <row r="8" spans="4:17" x14ac:dyDescent="0.3">
      <c r="H8" s="43"/>
      <c r="I8" s="43"/>
    </row>
    <row r="9" spans="4:17" ht="24" thickBot="1" x14ac:dyDescent="0.5">
      <c r="E9" s="1947" t="s">
        <v>912</v>
      </c>
      <c r="F9" s="1947"/>
      <c r="G9" s="1947"/>
      <c r="H9" s="1947"/>
      <c r="I9" s="1947"/>
      <c r="J9" s="1947"/>
      <c r="K9" s="1947"/>
      <c r="L9" s="1947"/>
      <c r="M9" s="1947"/>
      <c r="N9" s="1947"/>
      <c r="O9" s="1947"/>
    </row>
    <row r="10" spans="4:17" ht="15" thickBot="1" x14ac:dyDescent="0.35">
      <c r="I10" s="2"/>
      <c r="J10" s="1896" t="s">
        <v>105</v>
      </c>
      <c r="K10" s="1864"/>
      <c r="L10" s="1864"/>
      <c r="M10" s="1864"/>
      <c r="N10" s="1864"/>
      <c r="O10" s="1864"/>
      <c r="P10" s="1864"/>
      <c r="Q10" s="1864"/>
    </row>
    <row r="11" spans="4:17" ht="15.75" customHeight="1" thickBot="1" x14ac:dyDescent="0.35">
      <c r="I11" s="43"/>
      <c r="J11" s="1908" t="s">
        <v>0</v>
      </c>
      <c r="K11" s="1910"/>
      <c r="L11" s="1908" t="s">
        <v>0</v>
      </c>
      <c r="M11" s="1909"/>
      <c r="N11" s="1910" t="s">
        <v>0</v>
      </c>
      <c r="O11" s="1909"/>
      <c r="P11" s="1910" t="s">
        <v>0</v>
      </c>
      <c r="Q11" s="1909"/>
    </row>
    <row r="12" spans="4:17" ht="18.600000000000001" thickBot="1" x14ac:dyDescent="0.4">
      <c r="I12" s="43"/>
      <c r="J12" s="229" t="s">
        <v>3</v>
      </c>
      <c r="K12" s="171" t="s">
        <v>4</v>
      </c>
      <c r="L12" s="231" t="s">
        <v>1</v>
      </c>
      <c r="M12" s="232" t="s">
        <v>2</v>
      </c>
      <c r="N12" s="231" t="s">
        <v>22</v>
      </c>
      <c r="O12" s="232" t="s">
        <v>2</v>
      </c>
      <c r="P12" s="231" t="s">
        <v>22</v>
      </c>
      <c r="Q12" s="232" t="s">
        <v>2</v>
      </c>
    </row>
    <row r="13" spans="4:17" ht="14.4" customHeight="1" x14ac:dyDescent="0.3">
      <c r="I13" s="43"/>
      <c r="J13" s="1948" t="s">
        <v>1099</v>
      </c>
      <c r="K13" s="1950"/>
      <c r="L13" s="1857" t="s">
        <v>386</v>
      </c>
      <c r="M13" s="1858"/>
      <c r="N13" s="1845" t="s">
        <v>522</v>
      </c>
      <c r="O13" s="1842"/>
      <c r="P13" s="1948" t="s">
        <v>343</v>
      </c>
      <c r="Q13" s="1950"/>
    </row>
    <row r="14" spans="4:17" ht="15.75" customHeight="1" thickBot="1" x14ac:dyDescent="0.35">
      <c r="I14" s="43"/>
      <c r="J14" s="1843"/>
      <c r="K14" s="1844"/>
      <c r="L14" s="1857"/>
      <c r="M14" s="1858"/>
      <c r="N14" s="1955"/>
      <c r="O14" s="1858"/>
      <c r="P14" s="1857"/>
      <c r="Q14" s="1858"/>
    </row>
    <row r="15" spans="4:17" ht="15" thickBot="1" x14ac:dyDescent="0.35">
      <c r="D15" s="222" t="s">
        <v>5</v>
      </c>
      <c r="E15" s="223" t="s">
        <v>6</v>
      </c>
      <c r="F15" s="224" t="s">
        <v>7</v>
      </c>
      <c r="G15" s="225" t="s">
        <v>8</v>
      </c>
      <c r="H15" s="43"/>
      <c r="I15" s="43"/>
      <c r="J15" s="66" t="s">
        <v>9</v>
      </c>
      <c r="K15" s="66" t="s">
        <v>10</v>
      </c>
      <c r="L15" s="66" t="s">
        <v>9</v>
      </c>
      <c r="M15" s="66" t="s">
        <v>10</v>
      </c>
      <c r="N15" s="66" t="s">
        <v>9</v>
      </c>
      <c r="O15" s="66" t="s">
        <v>10</v>
      </c>
      <c r="P15" s="66" t="s">
        <v>9</v>
      </c>
      <c r="Q15" s="66" t="s">
        <v>10</v>
      </c>
    </row>
    <row r="16" spans="4:17" ht="29.25" customHeight="1" thickBot="1" x14ac:dyDescent="0.35">
      <c r="D16" s="233">
        <v>1</v>
      </c>
      <c r="E16" s="234" t="s">
        <v>103</v>
      </c>
      <c r="F16" s="235" t="s">
        <v>104</v>
      </c>
      <c r="G16" s="236">
        <v>1</v>
      </c>
      <c r="H16" s="43"/>
      <c r="I16" s="43"/>
      <c r="J16" s="214">
        <v>76458000</v>
      </c>
      <c r="K16" s="226">
        <f>G16*J16</f>
        <v>76458000</v>
      </c>
      <c r="L16" s="214">
        <v>25984652</v>
      </c>
      <c r="M16" s="226">
        <f>G16*L16</f>
        <v>25984652</v>
      </c>
      <c r="N16" s="622">
        <f>L16</f>
        <v>25984652</v>
      </c>
      <c r="O16" s="221">
        <f>G16*N16</f>
        <v>25984652</v>
      </c>
      <c r="P16" s="622">
        <f>N16</f>
        <v>25984652</v>
      </c>
      <c r="Q16" s="622">
        <f>P16*G16</f>
        <v>25984652</v>
      </c>
    </row>
    <row r="17" spans="4:17" ht="51" customHeight="1" thickBot="1" x14ac:dyDescent="0.35">
      <c r="D17" s="3"/>
      <c r="E17" s="211"/>
      <c r="F17" s="175"/>
      <c r="G17" s="212"/>
      <c r="H17" s="4"/>
      <c r="I17" s="4"/>
      <c r="J17" s="169" t="s">
        <v>10</v>
      </c>
      <c r="K17" s="227">
        <f>SUM(K16:K16)</f>
        <v>76458000</v>
      </c>
      <c r="L17" s="169" t="s">
        <v>10</v>
      </c>
      <c r="M17" s="215">
        <f>M16</f>
        <v>25984652</v>
      </c>
      <c r="N17" s="553" t="s">
        <v>10</v>
      </c>
      <c r="O17" s="249">
        <f>O16</f>
        <v>25984652</v>
      </c>
      <c r="P17" s="553" t="s">
        <v>10</v>
      </c>
      <c r="Q17" s="250">
        <f>Q16</f>
        <v>25984652</v>
      </c>
    </row>
    <row r="18" spans="4:17" ht="53.25" customHeight="1" x14ac:dyDescent="0.3">
      <c r="D18" s="3"/>
      <c r="E18" s="211"/>
      <c r="F18" s="175"/>
      <c r="G18" s="4"/>
      <c r="H18" s="4"/>
      <c r="I18" s="4"/>
      <c r="J18" s="1826" t="s">
        <v>323</v>
      </c>
      <c r="K18" s="1827"/>
      <c r="L18" s="1826" t="s">
        <v>108</v>
      </c>
      <c r="M18" s="1827"/>
      <c r="N18" s="1826" t="s">
        <v>342</v>
      </c>
      <c r="O18" s="1827"/>
      <c r="P18" s="1826" t="s">
        <v>344</v>
      </c>
      <c r="Q18" s="1961"/>
    </row>
    <row r="19" spans="4:17" ht="33.75" customHeight="1" x14ac:dyDescent="0.3">
      <c r="D19" s="3"/>
      <c r="E19" s="211"/>
      <c r="F19" s="175"/>
      <c r="G19" s="4"/>
      <c r="H19" s="4"/>
      <c r="I19" s="4"/>
      <c r="J19" s="1828"/>
      <c r="K19" s="1829"/>
      <c r="L19" s="1828"/>
      <c r="M19" s="1829"/>
      <c r="N19" s="1828"/>
      <c r="O19" s="1829"/>
      <c r="P19" s="1828"/>
      <c r="Q19" s="1830"/>
    </row>
    <row r="20" spans="4:17" ht="19.5" customHeight="1" thickBot="1" x14ac:dyDescent="0.35">
      <c r="D20" s="3"/>
      <c r="E20" s="211"/>
      <c r="F20" s="175"/>
      <c r="G20" s="4"/>
      <c r="H20" s="4"/>
      <c r="I20" s="4"/>
      <c r="J20" s="1833"/>
      <c r="K20" s="1832"/>
      <c r="L20" s="8"/>
      <c r="M20" s="9"/>
      <c r="N20" s="35"/>
      <c r="O20" s="9"/>
      <c r="P20" s="8"/>
      <c r="Q20" s="35"/>
    </row>
    <row r="21" spans="4:17" x14ac:dyDescent="0.3">
      <c r="D21" s="3"/>
      <c r="E21" s="211"/>
      <c r="F21" s="175"/>
      <c r="G21" s="4"/>
      <c r="H21" s="4"/>
      <c r="I21" s="4"/>
      <c r="J21" s="4"/>
      <c r="K21" s="4"/>
      <c r="L21" s="4"/>
      <c r="M21" s="4"/>
      <c r="N21" s="6"/>
      <c r="O21" s="6"/>
      <c r="P21" s="6"/>
      <c r="Q21" s="6"/>
    </row>
    <row r="22" spans="4:17" x14ac:dyDescent="0.3">
      <c r="D22" s="3"/>
      <c r="E22" s="211"/>
      <c r="F22" s="175"/>
      <c r="G22" s="4"/>
      <c r="H22" s="4"/>
      <c r="I22" s="4"/>
      <c r="J22" s="4"/>
      <c r="K22" s="4"/>
      <c r="L22" s="4"/>
      <c r="M22" s="4"/>
      <c r="N22" s="4"/>
      <c r="O22" s="4"/>
      <c r="P22" s="6"/>
      <c r="Q22" s="6"/>
    </row>
    <row r="23" spans="4:17" x14ac:dyDescent="0.3">
      <c r="D23" s="3"/>
      <c r="E23" s="21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4:17" ht="15.75" customHeight="1" x14ac:dyDescent="0.3">
      <c r="D24" s="3"/>
      <c r="E24" s="21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4:17" ht="15.75" customHeight="1" x14ac:dyDescent="0.3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4:17" ht="15.75" customHeight="1" x14ac:dyDescent="0.3"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4:17" ht="15.75" customHeight="1" x14ac:dyDescent="0.3"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4:17" ht="15.75" customHeight="1" x14ac:dyDescent="0.3"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4:17" ht="15.75" customHeight="1" x14ac:dyDescent="0.3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4:17" ht="15.75" customHeight="1" x14ac:dyDescent="0.3"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4:17" ht="15.75" customHeight="1" x14ac:dyDescent="0.3"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4:17" ht="15.75" customHeight="1" x14ac:dyDescent="0.3">
      <c r="G32" s="4"/>
      <c r="H32" s="4"/>
      <c r="I32" s="4"/>
      <c r="J32" s="6"/>
      <c r="K32" s="6"/>
      <c r="L32" s="6"/>
      <c r="M32" s="6"/>
      <c r="N32" s="6"/>
      <c r="O32" s="6"/>
      <c r="P32" s="4"/>
      <c r="Q32" s="4"/>
    </row>
    <row r="33" spans="6:17" ht="15.75" customHeight="1" x14ac:dyDescent="0.3">
      <c r="G33" s="4"/>
      <c r="H33" s="4"/>
      <c r="I33" s="4"/>
      <c r="J33" s="1906"/>
      <c r="K33" s="1906"/>
      <c r="L33" s="1906"/>
      <c r="M33" s="1906"/>
      <c r="N33" s="1906"/>
      <c r="O33" s="1906"/>
      <c r="P33" s="4"/>
      <c r="Q33" s="4"/>
    </row>
    <row r="34" spans="6:17" ht="15.75" customHeight="1" x14ac:dyDescent="0.3">
      <c r="G34" s="4"/>
      <c r="H34" s="4"/>
      <c r="I34" s="4"/>
      <c r="J34" s="1838"/>
      <c r="K34" s="1838"/>
      <c r="L34" s="1838"/>
      <c r="M34" s="1838"/>
      <c r="N34" s="1838"/>
      <c r="O34" s="1838"/>
      <c r="P34" s="4"/>
      <c r="Q34" s="4"/>
    </row>
    <row r="35" spans="6:17" ht="15.75" customHeight="1" x14ac:dyDescent="0.35">
      <c r="G35" s="4"/>
      <c r="H35" s="4"/>
      <c r="I35" s="4"/>
      <c r="J35" s="167"/>
      <c r="K35" s="170"/>
      <c r="L35" s="170"/>
      <c r="M35" s="167"/>
      <c r="N35" s="170"/>
      <c r="O35" s="167"/>
      <c r="P35" s="4"/>
      <c r="Q35" s="4"/>
    </row>
    <row r="36" spans="6:17" ht="18" x14ac:dyDescent="0.35">
      <c r="G36" s="4"/>
      <c r="H36" s="4"/>
      <c r="I36" s="4"/>
      <c r="J36" s="1835"/>
      <c r="K36" s="1835"/>
      <c r="L36" s="1859"/>
      <c r="M36" s="1859"/>
      <c r="N36" s="1859"/>
      <c r="O36" s="1859"/>
      <c r="P36" s="4"/>
      <c r="Q36" s="4"/>
    </row>
    <row r="37" spans="6:17" ht="29.25" customHeight="1" x14ac:dyDescent="0.3">
      <c r="G37" s="4"/>
      <c r="H37" s="4"/>
      <c r="I37" s="4"/>
      <c r="J37" s="1835"/>
      <c r="K37" s="1835"/>
      <c r="L37" s="1835"/>
      <c r="M37" s="1835"/>
      <c r="N37" s="1835"/>
      <c r="O37" s="1835"/>
      <c r="P37" s="43"/>
      <c r="Q37" s="43"/>
    </row>
    <row r="38" spans="6:17" x14ac:dyDescent="0.3">
      <c r="G38" s="4"/>
      <c r="H38" s="4"/>
      <c r="I38" s="4"/>
      <c r="J38" s="25"/>
      <c r="K38" s="25"/>
      <c r="L38" s="25"/>
      <c r="M38" s="25"/>
      <c r="N38" s="25"/>
      <c r="O38" s="25"/>
      <c r="P38" s="43"/>
      <c r="Q38" s="43"/>
    </row>
    <row r="39" spans="6:17" x14ac:dyDescent="0.3">
      <c r="F39" s="33"/>
      <c r="G39" s="34"/>
      <c r="H39" s="34"/>
      <c r="I39" s="34"/>
      <c r="J39" s="6"/>
      <c r="K39" s="25"/>
      <c r="L39" s="50"/>
      <c r="M39" s="25"/>
      <c r="N39" s="25"/>
      <c r="O39" s="25"/>
      <c r="P39" s="43"/>
      <c r="Q39" s="43"/>
    </row>
    <row r="40" spans="6:17" x14ac:dyDescent="0.3">
      <c r="F40" s="33"/>
      <c r="G40" s="34"/>
      <c r="H40" s="4"/>
      <c r="I40" s="4"/>
      <c r="J40" s="6"/>
      <c r="K40" s="25"/>
      <c r="L40" s="25"/>
      <c r="M40" s="25"/>
      <c r="N40" s="25"/>
      <c r="O40" s="25"/>
      <c r="P40" s="43"/>
      <c r="Q40" s="43"/>
    </row>
    <row r="41" spans="6:17" x14ac:dyDescent="0.3">
      <c r="F41" s="33"/>
      <c r="G41" s="34"/>
      <c r="H41" s="4"/>
      <c r="I41" s="4"/>
      <c r="J41" s="6"/>
      <c r="K41" s="25"/>
      <c r="L41" s="25"/>
      <c r="M41" s="25"/>
      <c r="N41" s="25"/>
      <c r="O41" s="25"/>
      <c r="P41" s="43"/>
      <c r="Q41" s="43"/>
    </row>
    <row r="42" spans="6:17" x14ac:dyDescent="0.3">
      <c r="F42" s="33"/>
      <c r="G42" s="34"/>
      <c r="H42" s="4"/>
      <c r="I42" s="4"/>
      <c r="J42" s="6"/>
      <c r="K42" s="25"/>
      <c r="L42" s="25"/>
      <c r="M42" s="25"/>
      <c r="N42" s="25"/>
      <c r="O42" s="25"/>
      <c r="P42" s="43"/>
      <c r="Q42" s="43"/>
    </row>
    <row r="43" spans="6:17" x14ac:dyDescent="0.3">
      <c r="F43" s="33"/>
      <c r="G43" s="34"/>
      <c r="H43" s="4"/>
      <c r="I43" s="4"/>
      <c r="J43" s="6"/>
      <c r="K43" s="25"/>
      <c r="L43" s="25"/>
      <c r="M43" s="25"/>
      <c r="N43" s="25"/>
      <c r="O43" s="25"/>
      <c r="P43" s="43"/>
      <c r="Q43" s="43"/>
    </row>
    <row r="44" spans="6:17" x14ac:dyDescent="0.3">
      <c r="G44" s="4"/>
      <c r="H44" s="4"/>
      <c r="I44" s="4"/>
      <c r="J44" s="6"/>
      <c r="K44" s="6"/>
      <c r="L44" s="6"/>
      <c r="M44" s="6"/>
      <c r="N44" s="6"/>
      <c r="O44" s="6"/>
      <c r="P44" s="43"/>
      <c r="Q44" s="43"/>
    </row>
    <row r="45" spans="6:17" ht="18" x14ac:dyDescent="0.35">
      <c r="G45" s="4"/>
      <c r="H45" s="4"/>
      <c r="I45" s="4"/>
      <c r="J45" s="6"/>
      <c r="K45" s="36"/>
      <c r="L45" s="51"/>
      <c r="M45" s="52"/>
      <c r="N45" s="51"/>
      <c r="O45" s="53"/>
      <c r="Q45" s="37"/>
    </row>
    <row r="46" spans="6:17" x14ac:dyDescent="0.3">
      <c r="J46" s="43"/>
      <c r="K46" s="43"/>
      <c r="L46" s="43"/>
      <c r="M46" s="43"/>
      <c r="N46" s="43"/>
      <c r="O46" s="43"/>
    </row>
    <row r="47" spans="6:17" x14ac:dyDescent="0.3">
      <c r="J47" s="43"/>
      <c r="K47" s="43"/>
      <c r="L47" s="43"/>
      <c r="M47" s="43"/>
      <c r="N47" s="43"/>
      <c r="O47" s="43"/>
    </row>
    <row r="48" spans="6:17" ht="15.6" x14ac:dyDescent="0.3">
      <c r="J48" s="43"/>
      <c r="K48" s="43"/>
      <c r="L48" s="1834"/>
      <c r="M48" s="1834"/>
      <c r="N48" s="43"/>
      <c r="O48" s="43"/>
    </row>
    <row r="49" spans="10:15" x14ac:dyDescent="0.3">
      <c r="J49" s="43"/>
      <c r="K49" s="43"/>
      <c r="L49" s="43"/>
      <c r="M49" s="43"/>
      <c r="N49" s="43"/>
      <c r="O49" s="43"/>
    </row>
    <row r="50" spans="10:15" ht="15.6" x14ac:dyDescent="0.3">
      <c r="J50" s="43"/>
      <c r="K50" s="43"/>
      <c r="L50" s="1834"/>
      <c r="M50" s="1834"/>
      <c r="N50" s="43"/>
      <c r="O50" s="43"/>
    </row>
    <row r="51" spans="10:15" x14ac:dyDescent="0.3">
      <c r="J51" s="43"/>
      <c r="K51" s="43"/>
      <c r="L51" s="43"/>
      <c r="M51" s="43"/>
      <c r="N51" s="43"/>
      <c r="O51" s="43"/>
    </row>
    <row r="52" spans="10:15" x14ac:dyDescent="0.3">
      <c r="J52" s="43"/>
      <c r="K52" s="43"/>
      <c r="L52" s="43"/>
      <c r="M52" s="43"/>
      <c r="N52" s="43"/>
      <c r="O52" s="43"/>
    </row>
    <row r="53" spans="10:15" x14ac:dyDescent="0.3">
      <c r="J53" s="43"/>
      <c r="K53" s="43"/>
      <c r="L53" s="43"/>
      <c r="M53" s="43"/>
      <c r="N53" s="43"/>
      <c r="O53" s="43"/>
    </row>
    <row r="54" spans="10:15" x14ac:dyDescent="0.3">
      <c r="J54" s="43"/>
      <c r="K54" s="43"/>
      <c r="L54" s="43"/>
      <c r="M54" s="43"/>
      <c r="N54" s="43"/>
      <c r="O54" s="43"/>
    </row>
    <row r="55" spans="10:15" x14ac:dyDescent="0.3">
      <c r="J55" s="43"/>
      <c r="K55" s="43"/>
      <c r="L55" s="43"/>
      <c r="M55" s="43"/>
      <c r="N55" s="43"/>
      <c r="O55" s="43"/>
    </row>
    <row r="56" spans="10:15" x14ac:dyDescent="0.3">
      <c r="J56" s="43"/>
      <c r="K56" s="43"/>
      <c r="L56" s="43"/>
      <c r="M56" s="43"/>
      <c r="N56" s="43"/>
      <c r="O56" s="43"/>
    </row>
  </sheetData>
  <mergeCells count="25">
    <mergeCell ref="E9:O9"/>
    <mergeCell ref="J11:K11"/>
    <mergeCell ref="L11:M11"/>
    <mergeCell ref="N11:O11"/>
    <mergeCell ref="P11:Q11"/>
    <mergeCell ref="J10:Q10"/>
    <mergeCell ref="L50:M50"/>
    <mergeCell ref="J34:K34"/>
    <mergeCell ref="L34:M34"/>
    <mergeCell ref="N34:O34"/>
    <mergeCell ref="J36:K37"/>
    <mergeCell ref="L36:O36"/>
    <mergeCell ref="L37:M37"/>
    <mergeCell ref="N37:O37"/>
    <mergeCell ref="J20:K20"/>
    <mergeCell ref="L48:M48"/>
    <mergeCell ref="J33:O33"/>
    <mergeCell ref="J18:K19"/>
    <mergeCell ref="L18:M19"/>
    <mergeCell ref="N18:O19"/>
    <mergeCell ref="P18:Q19"/>
    <mergeCell ref="J13:K14"/>
    <mergeCell ref="L13:M14"/>
    <mergeCell ref="N13:O14"/>
    <mergeCell ref="P13:Q14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D8:U77"/>
  <sheetViews>
    <sheetView topLeftCell="E24" zoomScale="130" zoomScaleNormal="130" workbookViewId="0">
      <selection activeCell="I39" sqref="I39:J40"/>
    </sheetView>
  </sheetViews>
  <sheetFormatPr baseColWidth="10" defaultColWidth="11.44140625" defaultRowHeight="14.4" x14ac:dyDescent="0.3"/>
  <cols>
    <col min="1" max="4" width="11.44140625" style="40"/>
    <col min="5" max="5" width="67.109375" style="40" customWidth="1"/>
    <col min="6" max="6" width="12.5546875" style="40" customWidth="1"/>
    <col min="7" max="7" width="15.33203125" style="40" customWidth="1"/>
    <col min="8" max="8" width="12.5546875" style="40" bestFit="1" customWidth="1"/>
    <col min="9" max="9" width="16.109375" style="40" customWidth="1"/>
    <col min="10" max="10" width="27.33203125" style="40" customWidth="1"/>
    <col min="11" max="11" width="24.44140625" style="40" customWidth="1"/>
    <col min="12" max="12" width="17.5546875" style="40" bestFit="1" customWidth="1"/>
    <col min="13" max="17" width="17.5546875" style="40" customWidth="1"/>
    <col min="18" max="18" width="17" style="40" customWidth="1"/>
    <col min="19" max="19" width="19.109375" style="40" customWidth="1"/>
    <col min="20" max="20" width="20" style="40" customWidth="1"/>
    <col min="21" max="21" width="21.33203125" style="40" customWidth="1"/>
    <col min="22" max="16384" width="11.44140625" style="40"/>
  </cols>
  <sheetData>
    <row r="8" spans="4:21" ht="15" x14ac:dyDescent="0.25">
      <c r="H8" s="43"/>
    </row>
    <row r="9" spans="4:21" ht="24" thickBot="1" x14ac:dyDescent="0.4">
      <c r="E9" s="1947" t="s">
        <v>922</v>
      </c>
      <c r="F9" s="1947"/>
      <c r="G9" s="1947"/>
      <c r="H9" s="1947"/>
      <c r="I9" s="1947"/>
      <c r="J9" s="1947"/>
      <c r="K9" s="1947"/>
      <c r="L9" s="1947"/>
      <c r="M9" s="1947"/>
      <c r="N9" s="1947"/>
      <c r="O9" s="1947"/>
      <c r="P9" s="1947"/>
      <c r="Q9" s="1947"/>
      <c r="R9" s="1947"/>
      <c r="S9" s="1947"/>
    </row>
    <row r="10" spans="4:21" ht="15.75" thickBot="1" x14ac:dyDescent="0.3">
      <c r="H10" s="2"/>
      <c r="I10" s="2127" t="s">
        <v>134</v>
      </c>
      <c r="J10" s="2127"/>
      <c r="K10" s="2127"/>
      <c r="L10" s="1864"/>
      <c r="M10" s="1864"/>
      <c r="N10" s="1864"/>
      <c r="O10" s="1864"/>
      <c r="P10" s="1864"/>
      <c r="Q10" s="1864"/>
      <c r="R10" s="1864"/>
      <c r="S10" s="1865"/>
    </row>
    <row r="11" spans="4:21" ht="15" x14ac:dyDescent="0.25">
      <c r="H11" s="43"/>
      <c r="I11" s="2128" t="s">
        <v>0</v>
      </c>
      <c r="J11" s="1921"/>
      <c r="K11" s="1922"/>
      <c r="L11" s="1836" t="s">
        <v>0</v>
      </c>
      <c r="M11" s="1837"/>
      <c r="N11" s="255"/>
      <c r="O11" s="2128" t="s">
        <v>0</v>
      </c>
      <c r="P11" s="1921"/>
      <c r="Q11" s="1922"/>
      <c r="R11" s="1923" t="s">
        <v>0</v>
      </c>
      <c r="S11" s="1837"/>
      <c r="T11" s="1838"/>
      <c r="U11" s="1838"/>
    </row>
    <row r="12" spans="4:21" ht="19.5" thickBot="1" x14ac:dyDescent="0.35">
      <c r="H12" s="43"/>
      <c r="I12" s="2121" t="s">
        <v>1</v>
      </c>
      <c r="J12" s="2122"/>
      <c r="K12" s="252" t="s">
        <v>2</v>
      </c>
      <c r="L12" s="256" t="s">
        <v>1</v>
      </c>
      <c r="M12" s="285" t="s">
        <v>2</v>
      </c>
      <c r="N12" s="285"/>
      <c r="O12" s="2121" t="s">
        <v>1</v>
      </c>
      <c r="P12" s="2122"/>
      <c r="Q12" s="252" t="s">
        <v>2</v>
      </c>
      <c r="R12" s="195" t="s">
        <v>3</v>
      </c>
      <c r="S12" s="46" t="s">
        <v>4</v>
      </c>
      <c r="T12" s="260"/>
      <c r="U12" s="254"/>
    </row>
    <row r="13" spans="4:21" x14ac:dyDescent="0.3">
      <c r="D13" s="43"/>
      <c r="E13" s="43"/>
      <c r="F13" s="43"/>
      <c r="G13" s="43"/>
      <c r="H13" s="43"/>
      <c r="I13" s="1948" t="s">
        <v>120</v>
      </c>
      <c r="J13" s="1949"/>
      <c r="K13" s="1949"/>
      <c r="L13" s="1948" t="s">
        <v>132</v>
      </c>
      <c r="M13" s="1949"/>
      <c r="N13" s="1950"/>
      <c r="O13" s="1948" t="s">
        <v>120</v>
      </c>
      <c r="P13" s="1949"/>
      <c r="Q13" s="1950"/>
      <c r="R13" s="2123" t="s">
        <v>133</v>
      </c>
      <c r="S13" s="2124"/>
      <c r="T13" s="1838"/>
      <c r="U13" s="1838"/>
    </row>
    <row r="14" spans="4:21" ht="15.75" customHeight="1" thickBot="1" x14ac:dyDescent="0.35">
      <c r="D14" s="43"/>
      <c r="E14" s="43"/>
      <c r="F14" s="43"/>
      <c r="G14" s="43"/>
      <c r="H14" s="43"/>
      <c r="I14" s="1951"/>
      <c r="J14" s="1952"/>
      <c r="K14" s="1952"/>
      <c r="L14" s="1951"/>
      <c r="M14" s="1952"/>
      <c r="N14" s="1953"/>
      <c r="O14" s="1951"/>
      <c r="P14" s="1952"/>
      <c r="Q14" s="1953"/>
      <c r="R14" s="2125"/>
      <c r="S14" s="2126"/>
      <c r="T14" s="1838"/>
      <c r="U14" s="1838"/>
    </row>
    <row r="15" spans="4:21" ht="27.6" customHeight="1" x14ac:dyDescent="0.35">
      <c r="D15" s="151" t="s">
        <v>5</v>
      </c>
      <c r="E15" s="1423" t="s">
        <v>6</v>
      </c>
      <c r="F15" s="1424" t="s">
        <v>7</v>
      </c>
      <c r="G15" s="1425" t="s">
        <v>8</v>
      </c>
      <c r="H15" s="151"/>
      <c r="I15" s="261" t="s">
        <v>9</v>
      </c>
      <c r="J15" s="262" t="s">
        <v>10</v>
      </c>
      <c r="K15" s="262" t="s">
        <v>29</v>
      </c>
      <c r="L15" s="256" t="s">
        <v>9</v>
      </c>
      <c r="M15" s="254" t="s">
        <v>10</v>
      </c>
      <c r="N15" s="255" t="s">
        <v>29</v>
      </c>
      <c r="O15" s="573" t="s">
        <v>9</v>
      </c>
      <c r="P15" s="581" t="s">
        <v>10</v>
      </c>
      <c r="Q15" s="574" t="s">
        <v>29</v>
      </c>
      <c r="R15" s="262" t="s">
        <v>9</v>
      </c>
      <c r="S15" s="255" t="s">
        <v>10</v>
      </c>
      <c r="T15" s="43"/>
      <c r="U15" s="43"/>
    </row>
    <row r="16" spans="4:21" ht="37.200000000000003" customHeight="1" x14ac:dyDescent="0.3">
      <c r="D16" s="583">
        <v>1</v>
      </c>
      <c r="E16" s="1426" t="s">
        <v>757</v>
      </c>
      <c r="F16" s="1406" t="s">
        <v>19</v>
      </c>
      <c r="G16" s="69">
        <v>6</v>
      </c>
      <c r="H16" s="43"/>
      <c r="I16" s="287"/>
      <c r="J16" s="226">
        <f>G16*I16</f>
        <v>0</v>
      </c>
      <c r="K16" s="226"/>
      <c r="L16" s="256"/>
      <c r="M16" s="254"/>
      <c r="N16" s="257"/>
      <c r="O16" s="586">
        <v>31000</v>
      </c>
      <c r="P16" s="214">
        <f>G16*O16</f>
        <v>186000</v>
      </c>
      <c r="Q16" s="577"/>
      <c r="R16" s="276">
        <f>O16</f>
        <v>31000</v>
      </c>
      <c r="S16" s="279">
        <f>R16*G16</f>
        <v>186000</v>
      </c>
      <c r="T16" s="43"/>
      <c r="U16" s="43"/>
    </row>
    <row r="17" spans="4:21" ht="37.200000000000003" customHeight="1" x14ac:dyDescent="0.3">
      <c r="D17" s="583"/>
      <c r="E17" s="1426" t="s">
        <v>918</v>
      </c>
      <c r="F17" s="1406" t="s">
        <v>19</v>
      </c>
      <c r="G17" s="69">
        <v>6</v>
      </c>
      <c r="H17" s="43"/>
      <c r="I17" s="287">
        <v>447500</v>
      </c>
      <c r="J17" s="226">
        <f>G17*I17</f>
        <v>2685000</v>
      </c>
      <c r="K17" s="226"/>
      <c r="L17" s="1404"/>
      <c r="M17" s="1400"/>
      <c r="N17" s="1405"/>
      <c r="O17" s="586"/>
      <c r="P17" s="214"/>
      <c r="Q17" s="1405"/>
      <c r="R17" s="276"/>
      <c r="S17" s="279"/>
      <c r="T17" s="43"/>
      <c r="U17" s="43"/>
    </row>
    <row r="18" spans="4:21" ht="37.200000000000003" customHeight="1" x14ac:dyDescent="0.3">
      <c r="D18" s="583">
        <v>2</v>
      </c>
      <c r="E18" s="1426" t="s">
        <v>913</v>
      </c>
      <c r="F18" s="1406" t="s">
        <v>19</v>
      </c>
      <c r="G18" s="69">
        <f>9+32</f>
        <v>41</v>
      </c>
      <c r="H18" s="43"/>
      <c r="I18" s="287">
        <v>230000</v>
      </c>
      <c r="J18" s="226">
        <f t="shared" ref="J18:J25" si="0">G18*I18</f>
        <v>9430000</v>
      </c>
      <c r="K18" s="226"/>
      <c r="L18" s="256"/>
      <c r="M18" s="254"/>
      <c r="N18" s="257"/>
      <c r="O18" s="586">
        <v>13900</v>
      </c>
      <c r="P18" s="214">
        <f>G18*O18</f>
        <v>569900</v>
      </c>
      <c r="Q18" s="577" t="s">
        <v>317</v>
      </c>
      <c r="R18" s="276">
        <f>O18</f>
        <v>13900</v>
      </c>
      <c r="S18" s="279">
        <f>R18*G18</f>
        <v>569900</v>
      </c>
      <c r="T18" s="43"/>
      <c r="U18" s="43"/>
    </row>
    <row r="19" spans="4:21" ht="37.200000000000003" customHeight="1" x14ac:dyDescent="0.3">
      <c r="D19" s="583">
        <v>3</v>
      </c>
      <c r="E19" s="1426" t="s">
        <v>914</v>
      </c>
      <c r="F19" s="1406" t="s">
        <v>19</v>
      </c>
      <c r="G19" s="69">
        <v>25</v>
      </c>
      <c r="H19" s="43"/>
      <c r="I19" s="287">
        <v>37500</v>
      </c>
      <c r="J19" s="226">
        <f t="shared" si="0"/>
        <v>937500</v>
      </c>
      <c r="K19" s="226"/>
      <c r="L19" s="277"/>
      <c r="M19" s="226"/>
      <c r="N19" s="213"/>
      <c r="O19" s="277">
        <v>32160</v>
      </c>
      <c r="P19" s="214">
        <f t="shared" ref="P19:P23" si="1">G19*O19</f>
        <v>804000</v>
      </c>
      <c r="Q19" s="213" t="s">
        <v>318</v>
      </c>
      <c r="R19" s="276">
        <f>O19</f>
        <v>32160</v>
      </c>
      <c r="S19" s="279">
        <f>R19*G19</f>
        <v>804000</v>
      </c>
      <c r="T19" s="43"/>
      <c r="U19" s="43"/>
    </row>
    <row r="20" spans="4:21" ht="37.200000000000003" customHeight="1" x14ac:dyDescent="0.3">
      <c r="D20" s="583">
        <v>4</v>
      </c>
      <c r="E20" s="1426" t="s">
        <v>915</v>
      </c>
      <c r="F20" s="1406" t="s">
        <v>20</v>
      </c>
      <c r="G20" s="69">
        <v>48</v>
      </c>
      <c r="H20" s="43"/>
      <c r="I20" s="287">
        <v>95825</v>
      </c>
      <c r="J20" s="226">
        <f t="shared" si="0"/>
        <v>4599600</v>
      </c>
      <c r="K20" s="226"/>
      <c r="L20" s="277"/>
      <c r="M20" s="226"/>
      <c r="N20" s="213"/>
      <c r="O20" s="214"/>
      <c r="P20" s="214">
        <f t="shared" si="1"/>
        <v>0</v>
      </c>
      <c r="Q20" s="213"/>
      <c r="R20" s="276">
        <f>L20</f>
        <v>0</v>
      </c>
      <c r="S20" s="279">
        <f t="shared" ref="S20:S21" si="2">R20*G20</f>
        <v>0</v>
      </c>
      <c r="T20" s="43"/>
      <c r="U20" s="43"/>
    </row>
    <row r="21" spans="4:21" ht="37.200000000000003" customHeight="1" x14ac:dyDescent="0.3">
      <c r="D21" s="583">
        <v>5</v>
      </c>
      <c r="E21" s="1426" t="s">
        <v>916</v>
      </c>
      <c r="F21" s="1406" t="s">
        <v>20</v>
      </c>
      <c r="G21" s="69">
        <f>21+5+9</f>
        <v>35</v>
      </c>
      <c r="H21" s="43"/>
      <c r="I21" s="287">
        <f>162585</f>
        <v>162585</v>
      </c>
      <c r="J21" s="226">
        <f t="shared" si="0"/>
        <v>5690475</v>
      </c>
      <c r="K21" s="226"/>
      <c r="L21" s="214"/>
      <c r="M21" s="226"/>
      <c r="N21" s="213"/>
      <c r="O21" s="214"/>
      <c r="P21" s="214">
        <f t="shared" si="1"/>
        <v>0</v>
      </c>
      <c r="Q21" s="213"/>
      <c r="R21" s="276">
        <f>I21</f>
        <v>162585</v>
      </c>
      <c r="S21" s="279">
        <f t="shared" si="2"/>
        <v>5690475</v>
      </c>
      <c r="T21" s="43"/>
      <c r="U21" s="43"/>
    </row>
    <row r="22" spans="4:21" ht="37.200000000000003" customHeight="1" x14ac:dyDescent="0.3">
      <c r="D22" s="583">
        <v>6</v>
      </c>
      <c r="E22" s="1426" t="s">
        <v>917</v>
      </c>
      <c r="F22" s="1406" t="s">
        <v>20</v>
      </c>
      <c r="G22" s="69">
        <f>10+4+6</f>
        <v>20</v>
      </c>
      <c r="H22" s="43"/>
      <c r="I22" s="277">
        <f>6858+258</f>
        <v>7116</v>
      </c>
      <c r="J22" s="226">
        <f t="shared" si="0"/>
        <v>142320</v>
      </c>
      <c r="K22" s="226"/>
      <c r="L22" s="214"/>
      <c r="M22" s="226"/>
      <c r="N22" s="213"/>
      <c r="O22" s="214"/>
      <c r="P22" s="214">
        <f t="shared" si="1"/>
        <v>0</v>
      </c>
      <c r="Q22" s="213"/>
      <c r="R22" s="276">
        <f>I22</f>
        <v>7116</v>
      </c>
      <c r="S22" s="279">
        <f>R22*G22</f>
        <v>142320</v>
      </c>
      <c r="T22" s="43"/>
      <c r="U22" s="43"/>
    </row>
    <row r="23" spans="4:21" ht="37.200000000000003" customHeight="1" x14ac:dyDescent="0.3">
      <c r="D23" s="583">
        <v>9</v>
      </c>
      <c r="E23" s="1426" t="s">
        <v>919</v>
      </c>
      <c r="F23" s="1406" t="s">
        <v>20</v>
      </c>
      <c r="G23" s="69">
        <v>2</v>
      </c>
      <c r="H23" s="43"/>
      <c r="I23" s="287">
        <v>36911.760000000002</v>
      </c>
      <c r="J23" s="226">
        <f t="shared" si="0"/>
        <v>73823.520000000004</v>
      </c>
      <c r="K23" s="226"/>
      <c r="L23" s="277">
        <v>25000</v>
      </c>
      <c r="M23" s="226">
        <f t="shared" ref="M23" si="3">L23*G23</f>
        <v>50000</v>
      </c>
      <c r="N23" s="213"/>
      <c r="O23" s="214">
        <v>35000</v>
      </c>
      <c r="P23" s="214">
        <f t="shared" si="1"/>
        <v>70000</v>
      </c>
      <c r="Q23" s="213" t="s">
        <v>319</v>
      </c>
      <c r="R23" s="276">
        <f>L23</f>
        <v>25000</v>
      </c>
      <c r="S23" s="279">
        <f t="shared" ref="S23" si="4">R23*G23</f>
        <v>50000</v>
      </c>
      <c r="T23" s="43"/>
      <c r="U23" s="43"/>
    </row>
    <row r="24" spans="4:21" ht="37.200000000000003" customHeight="1" x14ac:dyDescent="0.3">
      <c r="D24" s="583"/>
      <c r="E24" s="1426" t="s">
        <v>920</v>
      </c>
      <c r="F24" s="1406" t="s">
        <v>20</v>
      </c>
      <c r="G24" s="69">
        <v>10</v>
      </c>
      <c r="H24" s="43"/>
      <c r="I24" s="287">
        <f>237719.52+38589</f>
        <v>276308.52</v>
      </c>
      <c r="J24" s="226">
        <f>G24*I24</f>
        <v>2763085.2</v>
      </c>
      <c r="K24" s="226"/>
      <c r="L24" s="277"/>
      <c r="M24" s="226"/>
      <c r="N24" s="213"/>
      <c r="O24" s="214"/>
      <c r="P24" s="214"/>
      <c r="Q24" s="213"/>
      <c r="R24" s="276"/>
      <c r="S24" s="279"/>
      <c r="T24" s="43"/>
      <c r="U24" s="43"/>
    </row>
    <row r="25" spans="4:21" ht="45.6" customHeight="1" thickBot="1" x14ac:dyDescent="0.35">
      <c r="D25" s="583"/>
      <c r="E25" s="1427" t="s">
        <v>921</v>
      </c>
      <c r="F25" s="1407" t="s">
        <v>20</v>
      </c>
      <c r="G25" s="248">
        <v>3</v>
      </c>
      <c r="H25" s="43"/>
      <c r="I25" s="287">
        <v>75250</v>
      </c>
      <c r="J25" s="226">
        <f t="shared" si="0"/>
        <v>225750</v>
      </c>
      <c r="K25" s="226"/>
      <c r="L25" s="287">
        <v>118</v>
      </c>
      <c r="M25" s="226">
        <f>L25*G25</f>
        <v>354</v>
      </c>
      <c r="N25" s="213"/>
      <c r="O25" s="214"/>
      <c r="P25" s="214"/>
      <c r="Q25" s="213"/>
      <c r="R25" s="276">
        <f>L25</f>
        <v>118</v>
      </c>
      <c r="S25" s="279">
        <f>R25*G25</f>
        <v>354</v>
      </c>
      <c r="T25" s="43"/>
      <c r="U25" s="43"/>
    </row>
    <row r="26" spans="4:21" ht="15.6" x14ac:dyDescent="0.3">
      <c r="D26" s="583"/>
      <c r="E26" s="282"/>
      <c r="F26" s="578"/>
      <c r="G26" s="244"/>
      <c r="H26" s="43"/>
      <c r="I26" s="287"/>
      <c r="J26" s="226"/>
      <c r="K26" s="226"/>
      <c r="L26" s="287"/>
      <c r="M26" s="226"/>
      <c r="N26" s="213"/>
      <c r="O26" s="214"/>
      <c r="P26" s="214"/>
      <c r="Q26" s="213"/>
      <c r="R26" s="276"/>
      <c r="S26" s="279"/>
      <c r="T26" s="43"/>
      <c r="U26" s="43"/>
    </row>
    <row r="27" spans="4:21" ht="15.6" customHeight="1" x14ac:dyDescent="0.3">
      <c r="D27" s="583"/>
      <c r="E27" s="282"/>
      <c r="F27" s="578"/>
      <c r="G27" s="244"/>
      <c r="H27" s="43"/>
      <c r="I27" s="287"/>
      <c r="J27" s="226"/>
      <c r="K27" s="226"/>
      <c r="L27" s="287"/>
      <c r="M27" s="226"/>
      <c r="N27" s="213"/>
      <c r="O27" s="214"/>
      <c r="P27" s="214"/>
      <c r="Q27" s="213"/>
      <c r="R27" s="276"/>
      <c r="S27" s="279"/>
      <c r="T27" s="43"/>
      <c r="U27" s="43"/>
    </row>
    <row r="28" spans="4:21" ht="15.6" customHeight="1" x14ac:dyDescent="0.3">
      <c r="D28" s="583"/>
      <c r="E28" s="282"/>
      <c r="F28" s="578"/>
      <c r="G28" s="244"/>
      <c r="H28" s="43"/>
      <c r="I28" s="287"/>
      <c r="J28" s="226"/>
      <c r="K28" s="226"/>
      <c r="L28" s="277"/>
      <c r="M28" s="226"/>
      <c r="N28" s="213"/>
      <c r="O28" s="214"/>
      <c r="P28" s="214"/>
      <c r="Q28" s="213"/>
      <c r="R28" s="276"/>
      <c r="S28" s="279"/>
      <c r="T28" s="43"/>
      <c r="U28" s="43"/>
    </row>
    <row r="29" spans="4:21" ht="15.6" x14ac:dyDescent="0.3">
      <c r="D29" s="583"/>
      <c r="E29" s="585"/>
      <c r="F29" s="579"/>
      <c r="G29" s="241"/>
      <c r="H29" s="43"/>
      <c r="I29" s="287"/>
      <c r="J29" s="226"/>
      <c r="K29" s="226"/>
      <c r="L29" s="277"/>
      <c r="M29" s="226"/>
      <c r="N29" s="226"/>
      <c r="O29" s="214"/>
      <c r="P29" s="214"/>
      <c r="Q29" s="213"/>
      <c r="R29" s="276"/>
      <c r="S29" s="279"/>
      <c r="T29" s="43"/>
      <c r="U29" s="43"/>
    </row>
    <row r="30" spans="4:21" ht="15.6" x14ac:dyDescent="0.3">
      <c r="D30" s="583"/>
      <c r="E30" s="585"/>
      <c r="F30" s="579"/>
      <c r="G30" s="241"/>
      <c r="H30" s="43"/>
      <c r="I30" s="287"/>
      <c r="J30" s="226"/>
      <c r="K30" s="226"/>
      <c r="L30" s="277"/>
      <c r="M30" s="226"/>
      <c r="N30" s="226"/>
      <c r="O30" s="214"/>
      <c r="P30" s="214"/>
      <c r="Q30" s="213"/>
      <c r="R30" s="276"/>
      <c r="S30" s="279"/>
      <c r="T30" s="43"/>
      <c r="U30" s="43"/>
    </row>
    <row r="31" spans="4:21" ht="15.6" x14ac:dyDescent="0.3">
      <c r="D31" s="583"/>
      <c r="E31" s="585"/>
      <c r="F31" s="579"/>
      <c r="G31" s="241"/>
      <c r="H31" s="43"/>
      <c r="I31" s="287"/>
      <c r="J31" s="226"/>
      <c r="K31" s="226"/>
      <c r="L31" s="277"/>
      <c r="M31" s="226"/>
      <c r="N31" s="226"/>
      <c r="O31" s="214"/>
      <c r="P31" s="214"/>
      <c r="Q31" s="213"/>
      <c r="R31" s="276"/>
      <c r="S31" s="279"/>
      <c r="T31" s="43"/>
      <c r="U31" s="43"/>
    </row>
    <row r="32" spans="4:21" ht="15.6" x14ac:dyDescent="0.3">
      <c r="D32" s="583"/>
      <c r="E32" s="585"/>
      <c r="F32" s="579"/>
      <c r="G32" s="241"/>
      <c r="H32" s="43"/>
      <c r="I32" s="287"/>
      <c r="J32" s="226"/>
      <c r="K32" s="226"/>
      <c r="L32" s="277"/>
      <c r="M32" s="226"/>
      <c r="N32" s="226"/>
      <c r="O32" s="214"/>
      <c r="P32" s="214"/>
      <c r="Q32" s="213"/>
      <c r="R32" s="276"/>
      <c r="S32" s="279"/>
      <c r="T32" s="43"/>
      <c r="U32" s="43"/>
    </row>
    <row r="33" spans="4:21" ht="15.6" x14ac:dyDescent="0.3">
      <c r="D33" s="583"/>
      <c r="E33" s="282"/>
      <c r="F33" s="578"/>
      <c r="G33" s="244"/>
      <c r="H33" s="43"/>
      <c r="I33" s="287"/>
      <c r="J33" s="226"/>
      <c r="K33" s="226"/>
      <c r="L33" s="277"/>
      <c r="M33" s="226"/>
      <c r="N33" s="226"/>
      <c r="O33" s="214"/>
      <c r="P33" s="226"/>
      <c r="Q33" s="213"/>
      <c r="R33" s="276"/>
      <c r="S33" s="279"/>
      <c r="T33" s="43"/>
      <c r="U33" s="43"/>
    </row>
    <row r="34" spans="4:21" ht="15.6" x14ac:dyDescent="0.3">
      <c r="D34" s="583"/>
      <c r="E34" s="282"/>
      <c r="F34" s="578"/>
      <c r="G34" s="244"/>
      <c r="H34" s="43"/>
      <c r="I34" s="287"/>
      <c r="J34" s="226"/>
      <c r="K34" s="226"/>
      <c r="L34" s="277"/>
      <c r="M34" s="226"/>
      <c r="N34" s="226"/>
      <c r="O34" s="214"/>
      <c r="P34" s="226"/>
      <c r="Q34" s="213"/>
      <c r="R34" s="276"/>
      <c r="S34" s="279"/>
      <c r="T34" s="43"/>
      <c r="U34" s="43"/>
    </row>
    <row r="35" spans="4:21" ht="15.6" x14ac:dyDescent="0.3">
      <c r="D35" s="583"/>
      <c r="E35" s="282"/>
      <c r="F35" s="578"/>
      <c r="G35" s="244"/>
      <c r="H35" s="43"/>
      <c r="I35" s="287"/>
      <c r="J35" s="226"/>
      <c r="K35" s="226"/>
      <c r="L35" s="277"/>
      <c r="M35" s="226"/>
      <c r="N35" s="226"/>
      <c r="O35" s="214"/>
      <c r="P35" s="226"/>
      <c r="Q35" s="213"/>
      <c r="R35" s="276"/>
      <c r="S35" s="279"/>
      <c r="T35" s="43"/>
      <c r="U35" s="43"/>
    </row>
    <row r="36" spans="4:21" ht="15.6" x14ac:dyDescent="0.3">
      <c r="D36" s="583"/>
      <c r="E36" s="282"/>
      <c r="F36" s="578"/>
      <c r="G36" s="244"/>
      <c r="H36" s="43"/>
      <c r="I36" s="287"/>
      <c r="J36" s="226"/>
      <c r="K36" s="226"/>
      <c r="L36" s="277"/>
      <c r="M36" s="226"/>
      <c r="N36" s="226"/>
      <c r="O36" s="214"/>
      <c r="P36" s="226"/>
      <c r="Q36" s="213"/>
      <c r="R36" s="276"/>
      <c r="S36" s="279"/>
      <c r="T36" s="43"/>
      <c r="U36" s="43"/>
    </row>
    <row r="37" spans="4:21" ht="16.2" thickBot="1" x14ac:dyDescent="0.35">
      <c r="D37" s="583"/>
      <c r="E37" s="282"/>
      <c r="F37" s="578"/>
      <c r="G37" s="244"/>
      <c r="H37" s="43"/>
      <c r="I37" s="287"/>
      <c r="J37" s="226"/>
      <c r="K37" s="226"/>
      <c r="L37" s="277"/>
      <c r="M37" s="226"/>
      <c r="N37" s="226"/>
      <c r="O37" s="214"/>
      <c r="P37" s="226"/>
      <c r="Q37" s="213"/>
      <c r="R37" s="276"/>
      <c r="S37" s="279"/>
      <c r="T37" s="43"/>
      <c r="U37" s="43"/>
    </row>
    <row r="38" spans="4:21" ht="18.600000000000001" thickBot="1" x14ac:dyDescent="0.35">
      <c r="D38" s="265"/>
      <c r="E38" s="68"/>
      <c r="F38" s="241"/>
      <c r="G38" s="241"/>
      <c r="H38" s="4"/>
      <c r="I38" s="13" t="s">
        <v>10</v>
      </c>
      <c r="J38" s="215">
        <f>SUM(J16:J32)</f>
        <v>26547553.719999999</v>
      </c>
      <c r="K38" s="250"/>
      <c r="L38" s="286" t="s">
        <v>10</v>
      </c>
      <c r="M38" s="215">
        <f>SUM(M19:M28)</f>
        <v>50354</v>
      </c>
      <c r="N38" s="250"/>
      <c r="O38" s="582"/>
      <c r="P38" s="227">
        <f>SUM(P16:P37)</f>
        <v>1629900</v>
      </c>
      <c r="Q38" s="215"/>
      <c r="R38" s="187" t="s">
        <v>10</v>
      </c>
      <c r="S38" s="280">
        <f>SUM(S16:S32)</f>
        <v>7443049</v>
      </c>
      <c r="T38" s="16"/>
      <c r="U38" s="16"/>
    </row>
    <row r="39" spans="4:21" ht="34.5" customHeight="1" x14ac:dyDescent="0.3">
      <c r="D39" s="265"/>
      <c r="E39" s="68"/>
      <c r="F39" s="241"/>
      <c r="G39" s="241"/>
      <c r="H39" s="4"/>
      <c r="I39" s="1826" t="s">
        <v>100</v>
      </c>
      <c r="J39" s="1827"/>
      <c r="K39" s="263"/>
      <c r="L39" s="1828"/>
      <c r="M39" s="1829"/>
      <c r="N39" s="263"/>
      <c r="O39" s="575"/>
      <c r="P39" s="575"/>
      <c r="Q39" s="575"/>
      <c r="R39" s="1826"/>
      <c r="S39" s="1827"/>
      <c r="T39" s="6"/>
      <c r="U39" s="6"/>
    </row>
    <row r="40" spans="4:21" ht="33.75" customHeight="1" thickBot="1" x14ac:dyDescent="0.35">
      <c r="D40" s="265"/>
      <c r="E40" s="68"/>
      <c r="F40" s="241"/>
      <c r="G40" s="241"/>
      <c r="H40" s="4"/>
      <c r="I40" s="1833"/>
      <c r="J40" s="1832"/>
      <c r="K40" s="263"/>
      <c r="L40" s="1833"/>
      <c r="M40" s="1832"/>
      <c r="N40" s="264"/>
      <c r="O40" s="576"/>
      <c r="P40" s="576"/>
      <c r="Q40" s="576"/>
      <c r="R40" s="1833"/>
      <c r="S40" s="1832"/>
      <c r="T40" s="6"/>
      <c r="U40" s="6"/>
    </row>
    <row r="41" spans="4:21" s="43" customFormat="1" ht="23.25" customHeight="1" x14ac:dyDescent="0.3">
      <c r="D41" s="265"/>
      <c r="E41" s="68"/>
      <c r="F41" s="241"/>
      <c r="G41" s="241"/>
      <c r="H41" s="6"/>
      <c r="I41" s="1830"/>
      <c r="J41" s="1830"/>
      <c r="K41" s="263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4:21" ht="15.6" x14ac:dyDescent="0.3">
      <c r="D42" s="265"/>
      <c r="E42" s="68"/>
      <c r="F42" s="241"/>
      <c r="G42" s="241" t="e">
        <f>#REF!/3</f>
        <v>#REF!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6"/>
      <c r="S42" s="6"/>
      <c r="T42" s="6"/>
      <c r="U42" s="6"/>
    </row>
    <row r="43" spans="4:21" ht="15.6" x14ac:dyDescent="0.3">
      <c r="D43" s="265"/>
      <c r="E43" s="68"/>
      <c r="F43" s="241"/>
      <c r="G43" s="241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6"/>
      <c r="U43" s="6"/>
    </row>
    <row r="44" spans="4:21" ht="15.6" x14ac:dyDescent="0.3">
      <c r="D44" s="265"/>
      <c r="E44" s="68"/>
      <c r="F44" s="241"/>
      <c r="G44" s="241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4:21" ht="15.75" customHeight="1" x14ac:dyDescent="0.3">
      <c r="D45" s="265"/>
      <c r="E45" s="68"/>
      <c r="F45" s="241"/>
      <c r="G45" s="241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4:21" ht="15.75" customHeight="1" x14ac:dyDescent="0.3">
      <c r="D46" s="265"/>
      <c r="E46" s="68"/>
      <c r="F46" s="241"/>
      <c r="G46" s="241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4:21" ht="15.75" customHeight="1" x14ac:dyDescent="0.3">
      <c r="D47" s="265"/>
      <c r="E47" s="68"/>
      <c r="F47" s="241"/>
      <c r="G47" s="241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4:21" ht="15.75" customHeight="1" x14ac:dyDescent="0.3">
      <c r="D48" s="265"/>
      <c r="E48" s="68"/>
      <c r="F48" s="241"/>
      <c r="G48" s="241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4:21" ht="15.75" customHeight="1" x14ac:dyDescent="0.3">
      <c r="D49" s="265"/>
      <c r="E49" s="68"/>
      <c r="F49" s="241"/>
      <c r="G49" s="241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4:21" ht="15.75" customHeight="1" x14ac:dyDescent="0.3">
      <c r="D50" s="43"/>
      <c r="E50" s="43"/>
      <c r="F50" s="43"/>
      <c r="G50" s="6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4:21" ht="15.75" customHeight="1" x14ac:dyDescent="0.3"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4:21" ht="15.75" customHeight="1" x14ac:dyDescent="0.3"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4:21" ht="15.75" customHeight="1" x14ac:dyDescent="0.3">
      <c r="G53" s="4"/>
      <c r="H53" s="4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4"/>
    </row>
    <row r="54" spans="4:21" ht="15.75" customHeight="1" x14ac:dyDescent="0.3">
      <c r="G54" s="4"/>
      <c r="H54" s="4"/>
      <c r="I54" s="1906"/>
      <c r="J54" s="1906"/>
      <c r="K54" s="1906"/>
      <c r="L54" s="1906"/>
      <c r="M54" s="1906"/>
      <c r="N54" s="1906"/>
      <c r="O54" s="1906"/>
      <c r="P54" s="1906"/>
      <c r="Q54" s="1906"/>
      <c r="R54" s="1906"/>
      <c r="S54" s="1906"/>
      <c r="T54" s="4"/>
      <c r="U54" s="4"/>
    </row>
    <row r="55" spans="4:21" ht="15.75" customHeight="1" x14ac:dyDescent="0.3">
      <c r="G55" s="4"/>
      <c r="H55" s="4"/>
      <c r="I55" s="1838"/>
      <c r="J55" s="1838"/>
      <c r="K55" s="254"/>
      <c r="L55" s="1838"/>
      <c r="M55" s="1838"/>
      <c r="N55" s="254"/>
      <c r="O55" s="572"/>
      <c r="P55" s="572"/>
      <c r="Q55" s="572"/>
      <c r="R55" s="1838"/>
      <c r="S55" s="1838"/>
      <c r="T55" s="4"/>
      <c r="U55" s="4"/>
    </row>
    <row r="56" spans="4:21" ht="15.75" customHeight="1" x14ac:dyDescent="0.35">
      <c r="G56" s="4"/>
      <c r="H56" s="4"/>
      <c r="I56" s="254"/>
      <c r="J56" s="260"/>
      <c r="K56" s="260"/>
      <c r="L56" s="260"/>
      <c r="M56" s="254"/>
      <c r="N56" s="254"/>
      <c r="O56" s="572"/>
      <c r="P56" s="572"/>
      <c r="Q56" s="572"/>
      <c r="R56" s="260"/>
      <c r="S56" s="254"/>
      <c r="T56" s="4"/>
      <c r="U56" s="4"/>
    </row>
    <row r="57" spans="4:21" ht="18" x14ac:dyDescent="0.35">
      <c r="G57" s="4"/>
      <c r="H57" s="4"/>
      <c r="I57" s="1835"/>
      <c r="J57" s="1835"/>
      <c r="K57" s="259"/>
      <c r="L57" s="1859"/>
      <c r="M57" s="1859"/>
      <c r="N57" s="1859"/>
      <c r="O57" s="1859"/>
      <c r="P57" s="1859"/>
      <c r="Q57" s="1859"/>
      <c r="R57" s="1859"/>
      <c r="S57" s="1859"/>
      <c r="T57" s="4"/>
      <c r="U57" s="4"/>
    </row>
    <row r="58" spans="4:21" ht="29.25" customHeight="1" x14ac:dyDescent="0.3">
      <c r="G58" s="4"/>
      <c r="H58" s="4"/>
      <c r="I58" s="1835"/>
      <c r="J58" s="1835"/>
      <c r="K58" s="259"/>
      <c r="L58" s="1835"/>
      <c r="M58" s="1835"/>
      <c r="N58" s="259"/>
      <c r="O58" s="580"/>
      <c r="P58" s="580"/>
      <c r="Q58" s="580"/>
      <c r="R58" s="1835"/>
      <c r="S58" s="1835"/>
      <c r="T58" s="43"/>
      <c r="U58" s="43"/>
    </row>
    <row r="59" spans="4:21" x14ac:dyDescent="0.3">
      <c r="G59" s="4"/>
      <c r="H59" s="4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43"/>
      <c r="U59" s="43"/>
    </row>
    <row r="60" spans="4:21" x14ac:dyDescent="0.3">
      <c r="F60" s="33"/>
      <c r="G60" s="34"/>
      <c r="H60" s="34"/>
      <c r="I60" s="6"/>
      <c r="J60" s="25"/>
      <c r="K60" s="25"/>
      <c r="L60" s="50"/>
      <c r="M60" s="25"/>
      <c r="N60" s="25"/>
      <c r="O60" s="25"/>
      <c r="P60" s="25"/>
      <c r="Q60" s="25"/>
      <c r="R60" s="25"/>
      <c r="S60" s="25"/>
      <c r="T60" s="43"/>
      <c r="U60" s="43"/>
    </row>
    <row r="61" spans="4:21" x14ac:dyDescent="0.3">
      <c r="F61" s="33"/>
      <c r="G61" s="34"/>
      <c r="H61" s="4"/>
      <c r="I61" s="6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43"/>
      <c r="U61" s="43"/>
    </row>
    <row r="62" spans="4:21" x14ac:dyDescent="0.3">
      <c r="F62" s="33"/>
      <c r="G62" s="34"/>
      <c r="H62" s="4"/>
      <c r="I62" s="6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43"/>
      <c r="U62" s="43"/>
    </row>
    <row r="63" spans="4:21" x14ac:dyDescent="0.3">
      <c r="F63" s="33"/>
      <c r="G63" s="34"/>
      <c r="H63" s="4"/>
      <c r="I63" s="6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43"/>
      <c r="U63" s="43"/>
    </row>
    <row r="64" spans="4:21" x14ac:dyDescent="0.3">
      <c r="F64" s="33"/>
      <c r="G64" s="34"/>
      <c r="H64" s="4"/>
      <c r="I64" s="6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43"/>
      <c r="U64" s="43"/>
    </row>
    <row r="65" spans="7:21" x14ac:dyDescent="0.3">
      <c r="G65" s="4"/>
      <c r="H65" s="4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43"/>
      <c r="U65" s="43"/>
    </row>
    <row r="66" spans="7:21" ht="18" x14ac:dyDescent="0.35">
      <c r="G66" s="4"/>
      <c r="H66" s="4"/>
      <c r="I66" s="6"/>
      <c r="J66" s="36"/>
      <c r="K66" s="36"/>
      <c r="L66" s="51"/>
      <c r="M66" s="52"/>
      <c r="N66" s="52"/>
      <c r="O66" s="52"/>
      <c r="P66" s="52"/>
      <c r="Q66" s="52"/>
      <c r="R66" s="51"/>
      <c r="S66" s="53"/>
      <c r="U66" s="37"/>
    </row>
    <row r="67" spans="7:21" x14ac:dyDescent="0.3"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</row>
    <row r="68" spans="7:21" x14ac:dyDescent="0.3"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</row>
    <row r="69" spans="7:21" ht="15.6" x14ac:dyDescent="0.3">
      <c r="I69" s="43"/>
      <c r="J69" s="43"/>
      <c r="K69" s="43"/>
      <c r="L69" s="1834"/>
      <c r="M69" s="1834"/>
      <c r="N69" s="258"/>
      <c r="O69" s="578"/>
      <c r="P69" s="578"/>
      <c r="Q69" s="578"/>
      <c r="R69" s="43"/>
      <c r="S69" s="43"/>
    </row>
    <row r="70" spans="7:21" x14ac:dyDescent="0.3"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</row>
    <row r="71" spans="7:21" ht="15.6" x14ac:dyDescent="0.3">
      <c r="I71" s="43"/>
      <c r="J71" s="43"/>
      <c r="K71" s="43"/>
      <c r="L71" s="1834"/>
      <c r="M71" s="1834"/>
      <c r="N71" s="258"/>
      <c r="O71" s="578"/>
      <c r="P71" s="578"/>
      <c r="Q71" s="578"/>
      <c r="R71" s="43"/>
      <c r="S71" s="43"/>
    </row>
    <row r="72" spans="7:21" x14ac:dyDescent="0.3"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</row>
    <row r="73" spans="7:21" x14ac:dyDescent="0.3"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</row>
    <row r="74" spans="7:21" x14ac:dyDescent="0.3"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</row>
    <row r="75" spans="7:21" x14ac:dyDescent="0.3"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</row>
    <row r="76" spans="7:21" x14ac:dyDescent="0.3"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</row>
    <row r="77" spans="7:21" x14ac:dyDescent="0.3"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</row>
  </sheetData>
  <mergeCells count="29">
    <mergeCell ref="T11:U11"/>
    <mergeCell ref="E9:S9"/>
    <mergeCell ref="I10:S10"/>
    <mergeCell ref="I11:K11"/>
    <mergeCell ref="L11:M11"/>
    <mergeCell ref="R11:S11"/>
    <mergeCell ref="O11:Q11"/>
    <mergeCell ref="I12:J12"/>
    <mergeCell ref="I13:K14"/>
    <mergeCell ref="R13:S14"/>
    <mergeCell ref="T13:U13"/>
    <mergeCell ref="T14:U14"/>
    <mergeCell ref="O12:P12"/>
    <mergeCell ref="L69:M69"/>
    <mergeCell ref="L71:M71"/>
    <mergeCell ref="L13:N14"/>
    <mergeCell ref="I54:S54"/>
    <mergeCell ref="I55:J55"/>
    <mergeCell ref="L55:M55"/>
    <mergeCell ref="R55:S55"/>
    <mergeCell ref="I57:J58"/>
    <mergeCell ref="L57:S57"/>
    <mergeCell ref="L58:M58"/>
    <mergeCell ref="R58:S58"/>
    <mergeCell ref="I39:J40"/>
    <mergeCell ref="L39:M40"/>
    <mergeCell ref="R39:S40"/>
    <mergeCell ref="I41:J41"/>
    <mergeCell ref="O13:Q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1" tint="0.14999847407452621"/>
    <pageSetUpPr fitToPage="1"/>
  </sheetPr>
  <dimension ref="B1:AM62"/>
  <sheetViews>
    <sheetView topLeftCell="A37" zoomScale="70" zoomScaleNormal="70" workbookViewId="0">
      <selection activeCell="C49" sqref="C49"/>
    </sheetView>
  </sheetViews>
  <sheetFormatPr baseColWidth="10" defaultColWidth="11.44140625" defaultRowHeight="20.399999999999999" x14ac:dyDescent="0.35"/>
  <cols>
    <col min="1" max="1" width="11.44140625" style="1002"/>
    <col min="2" max="2" width="25.109375" style="1002" bestFit="1" customWidth="1"/>
    <col min="3" max="3" width="96.44140625" style="1002" customWidth="1"/>
    <col min="4" max="4" width="23.33203125" style="1002" customWidth="1"/>
    <col min="5" max="5" width="24" style="1003" customWidth="1"/>
    <col min="6" max="6" width="35.109375" style="1004" customWidth="1"/>
    <col min="7" max="7" width="29.5546875" style="1004" customWidth="1"/>
    <col min="8" max="8" width="23.109375" style="1004" customWidth="1"/>
    <col min="9" max="9" width="29.33203125" style="1004" customWidth="1"/>
    <col min="10" max="10" width="34.5546875" style="1002" customWidth="1"/>
    <col min="11" max="11" width="36.6640625" style="1002" customWidth="1"/>
    <col min="12" max="12" width="27.33203125" style="1002" customWidth="1"/>
    <col min="13" max="13" width="26.44140625" style="1002" customWidth="1"/>
    <col min="14" max="14" width="26.6640625" style="1002" customWidth="1"/>
    <col min="15" max="15" width="24.44140625" style="1002" customWidth="1"/>
    <col min="16" max="16" width="26.77734375" style="1002" customWidth="1"/>
    <col min="17" max="17" width="31.44140625" style="1002" customWidth="1"/>
    <col min="18" max="18" width="28" style="1002" customWidth="1"/>
    <col min="19" max="19" width="24.44140625" style="1002" customWidth="1"/>
    <col min="20" max="20" width="25.88671875" style="1002" customWidth="1"/>
    <col min="21" max="21" width="24.88671875" style="1002" customWidth="1"/>
    <col min="22" max="22" width="23.109375" style="1002" customWidth="1"/>
    <col min="23" max="23" width="24.33203125" style="1002" bestFit="1" customWidth="1"/>
    <col min="24" max="28" width="23" style="1002" customWidth="1"/>
    <col min="29" max="29" width="29" style="1002" customWidth="1"/>
    <col min="30" max="30" width="47.44140625" style="1002" customWidth="1"/>
    <col min="31" max="31" width="24.33203125" style="1007" customWidth="1"/>
    <col min="32" max="32" width="17.44140625" style="1008" customWidth="1"/>
    <col min="33" max="33" width="17.44140625" style="1002" customWidth="1"/>
    <col min="34" max="34" width="29.33203125" style="1002" customWidth="1"/>
    <col min="35" max="37" width="11.44140625" style="1002"/>
    <col min="38" max="38" width="23.33203125" style="1002" bestFit="1" customWidth="1"/>
    <col min="39" max="16384" width="11.44140625" style="1002"/>
  </cols>
  <sheetData>
    <row r="1" spans="2:39" ht="20.100000000000001" customHeight="1" thickBot="1" x14ac:dyDescent="0.45">
      <c r="H1" s="1003">
        <v>0.12</v>
      </c>
      <c r="M1" s="1005"/>
      <c r="N1" s="1005"/>
      <c r="O1" s="1005"/>
      <c r="P1" s="1005"/>
      <c r="Q1" s="1005"/>
      <c r="R1" s="1006"/>
      <c r="S1" s="1006"/>
      <c r="T1" s="1006"/>
      <c r="U1" s="1006"/>
      <c r="V1" s="1006"/>
      <c r="W1" s="1006"/>
      <c r="X1" s="1006"/>
      <c r="Y1" s="1006"/>
      <c r="Z1" s="1006"/>
      <c r="AA1" s="1006"/>
      <c r="AB1" s="1006"/>
      <c r="AC1" s="1006"/>
    </row>
    <row r="2" spans="2:39" ht="39.6" customHeight="1" thickBot="1" x14ac:dyDescent="0.4">
      <c r="H2" s="1003"/>
      <c r="I2" s="1004">
        <v>51150</v>
      </c>
      <c r="L2" s="1777" t="s">
        <v>935</v>
      </c>
      <c r="M2" s="1778"/>
      <c r="N2" s="1778"/>
      <c r="O2" s="1779"/>
      <c r="P2" s="1780" t="s">
        <v>516</v>
      </c>
      <c r="Q2" s="1781"/>
      <c r="R2" s="1781"/>
      <c r="S2" s="1781"/>
      <c r="T2" s="1782"/>
      <c r="U2" s="1783" t="s">
        <v>520</v>
      </c>
      <c r="V2" s="1784"/>
      <c r="W2" s="1784"/>
      <c r="X2" s="1785"/>
      <c r="Y2" s="1786" t="s">
        <v>1179</v>
      </c>
      <c r="Z2" s="1787"/>
      <c r="AA2" s="1787"/>
      <c r="AB2" s="1788"/>
      <c r="AC2" s="1753" t="s">
        <v>1180</v>
      </c>
    </row>
    <row r="3" spans="2:39" ht="31.8" customHeight="1" thickBot="1" x14ac:dyDescent="0.55000000000000004">
      <c r="C3" s="1752" t="s">
        <v>934</v>
      </c>
      <c r="H3" s="1003"/>
      <c r="L3" s="1009" t="s">
        <v>1163</v>
      </c>
      <c r="M3" s="1009" t="s">
        <v>702</v>
      </c>
      <c r="N3" s="1009" t="s">
        <v>1164</v>
      </c>
      <c r="O3" s="1009" t="s">
        <v>1165</v>
      </c>
      <c r="P3" s="1055" t="s">
        <v>1166</v>
      </c>
      <c r="Q3" s="1055" t="s">
        <v>1167</v>
      </c>
      <c r="R3" s="1055" t="s">
        <v>1168</v>
      </c>
      <c r="S3" s="1055" t="s">
        <v>550</v>
      </c>
      <c r="T3" s="1055" t="s">
        <v>1169</v>
      </c>
      <c r="U3" s="1059" t="s">
        <v>1170</v>
      </c>
      <c r="V3" s="1059" t="s">
        <v>1171</v>
      </c>
      <c r="W3" s="1059" t="s">
        <v>1172</v>
      </c>
      <c r="X3" s="1059" t="s">
        <v>1173</v>
      </c>
      <c r="Y3" s="1063" t="s">
        <v>1174</v>
      </c>
      <c r="Z3" s="1063" t="s">
        <v>1175</v>
      </c>
      <c r="AA3" s="1063" t="s">
        <v>1176</v>
      </c>
      <c r="AB3" s="1063" t="s">
        <v>1177</v>
      </c>
      <c r="AC3" s="1750" t="s">
        <v>1178</v>
      </c>
      <c r="AG3" s="1010"/>
      <c r="AH3" s="1010"/>
      <c r="AI3" s="1010"/>
      <c r="AJ3" s="1010"/>
      <c r="AK3" s="1010"/>
      <c r="AL3" s="1010"/>
    </row>
    <row r="4" spans="2:39" ht="21.6" thickBot="1" x14ac:dyDescent="0.45">
      <c r="H4" s="1003"/>
      <c r="L4" s="1051" t="s">
        <v>37</v>
      </c>
      <c r="M4" s="1052" t="s">
        <v>37</v>
      </c>
      <c r="N4" s="1053" t="s">
        <v>37</v>
      </c>
      <c r="O4" s="1054" t="s">
        <v>37</v>
      </c>
      <c r="P4" s="1055" t="s">
        <v>37</v>
      </c>
      <c r="Q4" s="1056" t="s">
        <v>37</v>
      </c>
      <c r="R4" s="1057" t="s">
        <v>37</v>
      </c>
      <c r="S4" s="1058" t="s">
        <v>37</v>
      </c>
      <c r="T4" s="1058" t="s">
        <v>37</v>
      </c>
      <c r="U4" s="1059" t="s">
        <v>37</v>
      </c>
      <c r="V4" s="1060" t="s">
        <v>37</v>
      </c>
      <c r="W4" s="1061" t="s">
        <v>37</v>
      </c>
      <c r="X4" s="1062" t="s">
        <v>37</v>
      </c>
      <c r="Y4" s="1063" t="s">
        <v>37</v>
      </c>
      <c r="Z4" s="1063" t="s">
        <v>37</v>
      </c>
      <c r="AA4" s="1063" t="s">
        <v>37</v>
      </c>
      <c r="AB4" s="1063" t="s">
        <v>37</v>
      </c>
      <c r="AC4" s="1751" t="s">
        <v>37</v>
      </c>
      <c r="AD4" s="1481" t="s">
        <v>201</v>
      </c>
      <c r="AE4" s="1776"/>
      <c r="AF4" s="1776"/>
      <c r="AG4" s="1010"/>
    </row>
    <row r="5" spans="2:39" s="1010" customFormat="1" ht="59.25" customHeight="1" thickBot="1" x14ac:dyDescent="0.45">
      <c r="C5" s="1011" t="s">
        <v>5</v>
      </c>
      <c r="D5" s="1397" t="s">
        <v>7</v>
      </c>
      <c r="E5" s="1012" t="s">
        <v>8</v>
      </c>
      <c r="F5" s="1012" t="s">
        <v>34</v>
      </c>
      <c r="G5" s="1012" t="s">
        <v>10</v>
      </c>
      <c r="H5" s="1012" t="s">
        <v>31</v>
      </c>
      <c r="I5" s="1012" t="s">
        <v>27</v>
      </c>
      <c r="J5" s="1013" t="s">
        <v>198</v>
      </c>
      <c r="K5" s="1013" t="s">
        <v>321</v>
      </c>
      <c r="L5" s="1014"/>
      <c r="M5" s="1015"/>
      <c r="N5" s="1015"/>
      <c r="O5" s="1015"/>
      <c r="P5" s="1015"/>
      <c r="Q5" s="1015"/>
      <c r="R5" s="1015"/>
      <c r="S5" s="1015"/>
      <c r="T5" s="1015"/>
      <c r="U5" s="1015"/>
      <c r="V5" s="1015"/>
      <c r="W5" s="1015"/>
      <c r="X5" s="1015"/>
      <c r="Y5" s="1015"/>
      <c r="Z5" s="1015"/>
      <c r="AA5" s="1015"/>
      <c r="AB5" s="1015"/>
      <c r="AC5" s="1064"/>
      <c r="AD5" s="1016"/>
      <c r="AE5" s="1017"/>
      <c r="AF5" s="1465"/>
    </row>
    <row r="6" spans="2:39" s="1010" customFormat="1" ht="30.6" customHeight="1" x14ac:dyDescent="0.4">
      <c r="B6" s="1762" t="s">
        <v>200</v>
      </c>
      <c r="C6" s="1478" t="s">
        <v>30</v>
      </c>
      <c r="D6" s="1479" t="s">
        <v>382</v>
      </c>
      <c r="E6" s="1419">
        <v>1</v>
      </c>
      <c r="F6" s="1419">
        <f>Impermeabilizacion!F17</f>
        <v>68425000</v>
      </c>
      <c r="G6" s="1419">
        <f>E6*F6</f>
        <v>68425000</v>
      </c>
      <c r="H6" s="1419">
        <f>G6*$H$1</f>
        <v>8211000</v>
      </c>
      <c r="I6" s="1419">
        <f t="shared" ref="I6:I15" si="0">G6+H6</f>
        <v>76636000</v>
      </c>
      <c r="J6" s="1018">
        <v>0</v>
      </c>
      <c r="K6" s="1420">
        <f>I6-J6</f>
        <v>76636000</v>
      </c>
      <c r="L6" s="1434">
        <f>0.5*G6</f>
        <v>34212500</v>
      </c>
      <c r="M6" s="1024">
        <f>(300*Impermeabilizacion!E12)-(0.6*300*10500)</f>
        <v>7560000</v>
      </c>
      <c r="N6" s="1024">
        <v>1260000</v>
      </c>
      <c r="O6" s="1024">
        <v>1260000</v>
      </c>
      <c r="P6" s="1024">
        <v>1260000</v>
      </c>
      <c r="Q6" s="1024">
        <v>1260000</v>
      </c>
      <c r="R6" s="1024">
        <f>(Impermeabilizacion!F15)-(0.6*Impermeabilizacion!F15)</f>
        <v>6670000</v>
      </c>
      <c r="S6" s="1019"/>
      <c r="T6" s="1019">
        <f>(K6*0.1)</f>
        <v>7663600</v>
      </c>
      <c r="U6" s="1019">
        <f>H6+1013160</f>
        <v>9224160</v>
      </c>
      <c r="V6" s="1019"/>
      <c r="W6" s="1019"/>
      <c r="X6" s="1019"/>
      <c r="Y6" s="1019"/>
      <c r="Z6" s="1019"/>
      <c r="AA6" s="1019"/>
      <c r="AB6" s="1019"/>
      <c r="AC6" s="1065"/>
      <c r="AD6" s="1020">
        <f>SUM(L6:AC6)</f>
        <v>70370260</v>
      </c>
      <c r="AE6" s="1021">
        <f>K6-AD6</f>
        <v>6265740</v>
      </c>
      <c r="AF6" s="121"/>
      <c r="AG6" s="121"/>
      <c r="AH6" s="121"/>
      <c r="AI6" s="121"/>
      <c r="AJ6" s="121"/>
      <c r="AK6" s="121"/>
      <c r="AL6" s="121"/>
      <c r="AM6" s="121"/>
    </row>
    <row r="7" spans="2:39" s="1010" customFormat="1" ht="30.6" customHeight="1" x14ac:dyDescent="0.4">
      <c r="B7" s="1763" t="s">
        <v>1162</v>
      </c>
      <c r="C7" s="1470" t="s">
        <v>731</v>
      </c>
      <c r="D7" s="1480" t="s">
        <v>50</v>
      </c>
      <c r="E7" s="1023">
        <f>239.48+220+283</f>
        <v>742.48</v>
      </c>
      <c r="F7" s="1023">
        <f>SOBREPISO!E12</f>
        <v>10000</v>
      </c>
      <c r="G7" s="1023">
        <f>E7*F7</f>
        <v>7424800</v>
      </c>
      <c r="H7" s="1023">
        <f t="shared" ref="H7:H8" si="1">G7*$H$1</f>
        <v>890976</v>
      </c>
      <c r="I7" s="1023">
        <f t="shared" si="0"/>
        <v>8315776</v>
      </c>
      <c r="J7" s="121">
        <v>0</v>
      </c>
      <c r="K7" s="1240">
        <f t="shared" ref="K7:K10" si="2">I7-J7</f>
        <v>8315776</v>
      </c>
      <c r="L7" s="1434">
        <f>0.2*G7</f>
        <v>1484960</v>
      </c>
      <c r="M7" s="1024">
        <f>(150*$F$7)-15*$F$7*0.1-150*$F$7*0.2</f>
        <v>1185000</v>
      </c>
      <c r="N7" s="1024">
        <f>(150*$F$7)-15*$F$7*0.1-150*$F$7*0.2</f>
        <v>1185000</v>
      </c>
      <c r="O7" s="1024">
        <f>(150*$F$7)-15*$F$7*0.1-150*$F$7*0.2</f>
        <v>1185000</v>
      </c>
      <c r="P7" s="1024">
        <f>9.48*F7+0.12*G7+1953+5859</f>
        <v>993588</v>
      </c>
      <c r="Q7" s="1019"/>
      <c r="R7" s="1019"/>
      <c r="S7" s="1019"/>
      <c r="T7" s="1019"/>
      <c r="U7" s="1019"/>
      <c r="V7" s="1019"/>
      <c r="W7" s="1019"/>
      <c r="X7" s="1019"/>
      <c r="Y7" s="1019"/>
      <c r="Z7" s="1019"/>
      <c r="AA7" s="1019"/>
      <c r="AB7" s="1019"/>
      <c r="AC7" s="1065"/>
      <c r="AD7" s="1020">
        <f t="shared" ref="AD7:AD52" si="3">SUM(L7:AC7)</f>
        <v>6033548</v>
      </c>
      <c r="AE7" s="1021">
        <f t="shared" ref="AE7:AE52" si="4">K7-AD7</f>
        <v>2282228</v>
      </c>
      <c r="AF7" s="121"/>
      <c r="AG7" s="121"/>
      <c r="AH7" s="121"/>
      <c r="AI7" s="121"/>
      <c r="AJ7" s="121"/>
      <c r="AK7" s="121"/>
      <c r="AL7" s="121"/>
      <c r="AM7" s="121"/>
    </row>
    <row r="8" spans="2:39" s="1010" customFormat="1" ht="30.6" customHeight="1" x14ac:dyDescent="0.4">
      <c r="B8" s="1763" t="s">
        <v>38</v>
      </c>
      <c r="C8" s="1470" t="s">
        <v>732</v>
      </c>
      <c r="D8" s="1480" t="s">
        <v>958</v>
      </c>
      <c r="E8" s="1023">
        <f>(E7/2)/642</f>
        <v>0.57825545171339565</v>
      </c>
      <c r="F8" s="1023">
        <v>13500000</v>
      </c>
      <c r="G8" s="1023">
        <f t="shared" ref="G8" si="5">E8*F8</f>
        <v>7806448.5981308417</v>
      </c>
      <c r="H8" s="1023">
        <f t="shared" si="1"/>
        <v>936773.83177570102</v>
      </c>
      <c r="I8" s="1023">
        <f t="shared" si="0"/>
        <v>8743222.4299065433</v>
      </c>
      <c r="J8" s="121">
        <v>0</v>
      </c>
      <c r="K8" s="1240">
        <f t="shared" si="2"/>
        <v>8743222.4299065433</v>
      </c>
      <c r="L8" s="1435">
        <f>I8</f>
        <v>8743222.4299065433</v>
      </c>
      <c r="M8" s="1019"/>
      <c r="N8" s="1019"/>
      <c r="O8" s="1019"/>
      <c r="P8" s="1019"/>
      <c r="Q8" s="1019"/>
      <c r="R8" s="1019"/>
      <c r="S8" s="1019"/>
      <c r="T8" s="1019"/>
      <c r="U8" s="1019"/>
      <c r="V8" s="1019"/>
      <c r="W8" s="1019"/>
      <c r="X8" s="1019"/>
      <c r="Y8" s="1019"/>
      <c r="Z8" s="1019"/>
      <c r="AA8" s="1019"/>
      <c r="AB8" s="1019"/>
      <c r="AC8" s="1065"/>
      <c r="AD8" s="1020">
        <f t="shared" si="3"/>
        <v>8743222.4299065433</v>
      </c>
      <c r="AE8" s="1021">
        <f t="shared" si="4"/>
        <v>0</v>
      </c>
      <c r="AF8" s="121"/>
      <c r="AG8" s="121"/>
      <c r="AH8" s="121"/>
      <c r="AI8" s="121"/>
      <c r="AJ8" s="121"/>
      <c r="AK8" s="121"/>
      <c r="AL8" s="121"/>
      <c r="AM8" s="121"/>
    </row>
    <row r="9" spans="2:39" s="1010" customFormat="1" ht="30.6" customHeight="1" x14ac:dyDescent="0.4">
      <c r="B9" s="1763" t="s">
        <v>38</v>
      </c>
      <c r="C9" s="1470" t="s">
        <v>733</v>
      </c>
      <c r="D9" s="1480" t="s">
        <v>869</v>
      </c>
      <c r="E9" s="1510">
        <f>E7*0.05</f>
        <v>37.124000000000002</v>
      </c>
      <c r="F9" s="1023">
        <v>140000</v>
      </c>
      <c r="G9" s="1023">
        <f>E9*F9</f>
        <v>5197360</v>
      </c>
      <c r="H9" s="1023">
        <f>G9*$H$1</f>
        <v>623683.19999999995</v>
      </c>
      <c r="I9" s="1023">
        <f>G9+H9</f>
        <v>5821043.2000000002</v>
      </c>
      <c r="J9" s="121">
        <v>0</v>
      </c>
      <c r="K9" s="1240">
        <f t="shared" si="2"/>
        <v>5821043.2000000002</v>
      </c>
      <c r="L9" s="1435">
        <f>I9</f>
        <v>5821043.2000000002</v>
      </c>
      <c r="M9" s="1019"/>
      <c r="N9" s="1019"/>
      <c r="O9" s="1019"/>
      <c r="P9" s="1019"/>
      <c r="Q9" s="1019"/>
      <c r="R9" s="1019"/>
      <c r="S9" s="1019"/>
      <c r="T9" s="1019"/>
      <c r="U9" s="1019"/>
      <c r="V9" s="1019"/>
      <c r="W9" s="1019"/>
      <c r="X9" s="1019"/>
      <c r="Y9" s="1019"/>
      <c r="Z9" s="1019"/>
      <c r="AA9" s="1019"/>
      <c r="AB9" s="1019"/>
      <c r="AC9" s="1065"/>
      <c r="AD9" s="1020">
        <f t="shared" si="3"/>
        <v>5821043.2000000002</v>
      </c>
      <c r="AE9" s="1021">
        <f t="shared" si="4"/>
        <v>0</v>
      </c>
      <c r="AF9" s="121"/>
      <c r="AG9" s="121"/>
      <c r="AH9" s="121"/>
      <c r="AI9" s="121"/>
      <c r="AJ9" s="121"/>
      <c r="AK9" s="121"/>
      <c r="AL9" s="121"/>
      <c r="AM9" s="121"/>
    </row>
    <row r="10" spans="2:39" s="1010" customFormat="1" ht="30.75" customHeight="1" x14ac:dyDescent="0.4">
      <c r="B10" s="1763" t="s">
        <v>200</v>
      </c>
      <c r="C10" s="1470" t="s">
        <v>867</v>
      </c>
      <c r="D10" s="1550" t="s">
        <v>306</v>
      </c>
      <c r="E10" s="1023">
        <v>1</v>
      </c>
      <c r="F10" s="1023">
        <f>SIST.INCENDIO!I20+SIST.INCENDIO!I39</f>
        <v>73545500</v>
      </c>
      <c r="G10" s="1023">
        <f>(E10*F10)</f>
        <v>73545500</v>
      </c>
      <c r="H10" s="1023">
        <f>G10*$H$1</f>
        <v>8825460</v>
      </c>
      <c r="I10" s="1023">
        <f>G10+H10</f>
        <v>82370960</v>
      </c>
      <c r="J10" s="121">
        <v>0</v>
      </c>
      <c r="K10" s="1240">
        <f t="shared" si="2"/>
        <v>82370960</v>
      </c>
      <c r="L10" s="1434">
        <f>F10*0.5</f>
        <v>36772750</v>
      </c>
      <c r="M10" s="1024"/>
      <c r="N10" s="1024">
        <f>(F10-L10)*0.2</f>
        <v>7354550</v>
      </c>
      <c r="O10" s="1024"/>
      <c r="P10" s="1024">
        <f>(G10-N10)*0.3</f>
        <v>19857285</v>
      </c>
      <c r="Q10" s="1019"/>
      <c r="R10" s="1019">
        <f>I10-(P10+N10+L10)</f>
        <v>18386375</v>
      </c>
      <c r="S10" s="1019"/>
      <c r="T10" s="1019"/>
      <c r="U10" s="1019"/>
      <c r="V10" s="1019"/>
      <c r="W10" s="1019"/>
      <c r="X10" s="1019"/>
      <c r="Y10" s="1019"/>
      <c r="Z10" s="1019"/>
      <c r="AA10" s="1019"/>
      <c r="AB10" s="1019"/>
      <c r="AC10" s="1065"/>
      <c r="AD10" s="1020">
        <f t="shared" si="3"/>
        <v>82370960</v>
      </c>
      <c r="AE10" s="1021">
        <f t="shared" si="4"/>
        <v>0</v>
      </c>
      <c r="AF10" s="121"/>
      <c r="AG10" s="121"/>
      <c r="AH10" s="121"/>
      <c r="AI10" s="121"/>
      <c r="AJ10" s="121"/>
      <c r="AK10" s="121"/>
      <c r="AL10" s="121"/>
      <c r="AM10" s="121"/>
    </row>
    <row r="11" spans="2:39" s="1010" customFormat="1" ht="30.75" customHeight="1" x14ac:dyDescent="0.4">
      <c r="B11" s="1763" t="s">
        <v>84</v>
      </c>
      <c r="C11" s="1470" t="s">
        <v>966</v>
      </c>
      <c r="D11" s="1550" t="s">
        <v>11</v>
      </c>
      <c r="E11" s="1023">
        <v>216</v>
      </c>
      <c r="F11" s="1023">
        <f>'CIELO RASO'!E12</f>
        <v>440000</v>
      </c>
      <c r="G11" s="1023">
        <f>E11*F11</f>
        <v>95040000</v>
      </c>
      <c r="H11" s="1023">
        <f t="shared" ref="H11:H52" si="6">G11*$H$1</f>
        <v>11404800</v>
      </c>
      <c r="I11" s="1023">
        <f t="shared" si="0"/>
        <v>106444800</v>
      </c>
      <c r="J11" s="121">
        <v>0</v>
      </c>
      <c r="K11" s="1240">
        <f>I11-J11</f>
        <v>106444800</v>
      </c>
      <c r="L11" s="1434"/>
      <c r="M11" s="1024">
        <f>G11*0.7</f>
        <v>66527999.999999993</v>
      </c>
      <c r="N11" s="1024"/>
      <c r="O11" s="1024">
        <f>(0.3*$G$11)/4</f>
        <v>7128000</v>
      </c>
      <c r="P11" s="1024">
        <f t="shared" ref="P11:R11" si="7">(0.3*$G$11)/4</f>
        <v>7128000</v>
      </c>
      <c r="Q11" s="1024">
        <f t="shared" si="7"/>
        <v>7128000</v>
      </c>
      <c r="R11" s="1024">
        <f t="shared" si="7"/>
        <v>7128000</v>
      </c>
      <c r="S11" s="1019">
        <f>H11</f>
        <v>11404800</v>
      </c>
      <c r="T11" s="1019"/>
      <c r="U11" s="1019"/>
      <c r="V11" s="1019"/>
      <c r="W11" s="1019"/>
      <c r="X11" s="1019"/>
      <c r="Y11" s="1019"/>
      <c r="Z11" s="1019"/>
      <c r="AA11" s="1019"/>
      <c r="AB11" s="1019"/>
      <c r="AC11" s="1065"/>
      <c r="AD11" s="1020">
        <f t="shared" si="3"/>
        <v>106444800</v>
      </c>
      <c r="AE11" s="1021">
        <f t="shared" si="4"/>
        <v>0</v>
      </c>
      <c r="AF11" s="121"/>
      <c r="AG11" s="121"/>
      <c r="AH11" s="121"/>
      <c r="AI11" s="121"/>
      <c r="AJ11" s="121"/>
      <c r="AK11" s="121"/>
      <c r="AL11" s="121"/>
      <c r="AM11" s="121"/>
    </row>
    <row r="12" spans="2:39" s="1010" customFormat="1" ht="30.75" customHeight="1" x14ac:dyDescent="0.4">
      <c r="B12" s="1763" t="s">
        <v>84</v>
      </c>
      <c r="C12" s="1470" t="s">
        <v>630</v>
      </c>
      <c r="D12" s="1421" t="s">
        <v>306</v>
      </c>
      <c r="E12" s="1022">
        <v>1</v>
      </c>
      <c r="F12" s="1022">
        <f>(CORNISAS!K44+CORNISAS!K59)*0+CORNISAS!K13</f>
        <v>2000083.02</v>
      </c>
      <c r="G12" s="1022">
        <f>E12*F12</f>
        <v>2000083.02</v>
      </c>
      <c r="H12" s="1022">
        <f t="shared" si="6"/>
        <v>240009.96239999999</v>
      </c>
      <c r="I12" s="1023">
        <f t="shared" si="0"/>
        <v>2240092.9824000001</v>
      </c>
      <c r="J12" s="121">
        <v>0</v>
      </c>
      <c r="K12" s="1240">
        <f t="shared" ref="K12:K52" si="8">I12-J12</f>
        <v>2240092.9824000001</v>
      </c>
      <c r="L12" s="1434">
        <f>CORNISAS!K59</f>
        <v>685000</v>
      </c>
      <c r="M12" s="1024">
        <f>(CORNISAS!$K$44)/3</f>
        <v>273324</v>
      </c>
      <c r="N12" s="1024">
        <f>(CORNISAS!$K$44)/3</f>
        <v>273324</v>
      </c>
      <c r="O12" s="1024">
        <f>(CORNISAS!$K$44)/3+H12</f>
        <v>513333.96239999996</v>
      </c>
      <c r="P12" s="1024"/>
      <c r="Q12" s="1024"/>
      <c r="R12" s="1019"/>
      <c r="S12" s="1019"/>
      <c r="T12" s="1019"/>
      <c r="U12" s="1019"/>
      <c r="V12" s="1019"/>
      <c r="W12" s="1019"/>
      <c r="X12" s="1019"/>
      <c r="Y12" s="1019"/>
      <c r="Z12" s="1019"/>
      <c r="AA12" s="1019"/>
      <c r="AB12" s="1019"/>
      <c r="AC12" s="1065"/>
      <c r="AD12" s="1020">
        <f t="shared" si="3"/>
        <v>1744981.9624000001</v>
      </c>
      <c r="AE12" s="1021">
        <f t="shared" si="4"/>
        <v>495111.02</v>
      </c>
      <c r="AF12" s="121"/>
      <c r="AG12" s="121"/>
      <c r="AH12" s="121"/>
      <c r="AI12" s="121"/>
      <c r="AJ12" s="121"/>
      <c r="AK12" s="121"/>
      <c r="AL12" s="121"/>
      <c r="AM12" s="121"/>
    </row>
    <row r="13" spans="2:39" s="1010" customFormat="1" ht="30.75" customHeight="1" x14ac:dyDescent="0.4">
      <c r="B13" s="1763" t="s">
        <v>200</v>
      </c>
      <c r="C13" s="1470" t="s">
        <v>523</v>
      </c>
      <c r="D13" s="1421" t="s">
        <v>11</v>
      </c>
      <c r="E13" s="1022">
        <v>1</v>
      </c>
      <c r="F13" s="1022">
        <f>VIDRIOS!F11</f>
        <v>658995000.00000012</v>
      </c>
      <c r="G13" s="1022">
        <f>E13*F13</f>
        <v>658995000.00000012</v>
      </c>
      <c r="H13" s="1022">
        <f t="shared" si="6"/>
        <v>79079400.000000015</v>
      </c>
      <c r="I13" s="1023">
        <f t="shared" si="0"/>
        <v>738074400.00000012</v>
      </c>
      <c r="J13" s="121">
        <v>0</v>
      </c>
      <c r="K13" s="1240">
        <f t="shared" si="8"/>
        <v>738074400.00000012</v>
      </c>
      <c r="L13" s="1435"/>
      <c r="M13" s="1019"/>
      <c r="N13" s="1024">
        <f>F13*0.7</f>
        <v>461296500.00000006</v>
      </c>
      <c r="O13" s="1024"/>
      <c r="P13" s="1024"/>
      <c r="Q13" s="1024">
        <f>F13*0.2</f>
        <v>131799000.00000003</v>
      </c>
      <c r="R13" s="1024"/>
      <c r="S13" s="1019">
        <f>I13-(Q13+N13)</f>
        <v>144978900</v>
      </c>
      <c r="T13" s="1019"/>
      <c r="U13" s="1019"/>
      <c r="V13" s="1019"/>
      <c r="W13" s="1019"/>
      <c r="X13" s="1019"/>
      <c r="Y13" s="1019"/>
      <c r="Z13" s="1019"/>
      <c r="AA13" s="1019"/>
      <c r="AB13" s="1019"/>
      <c r="AC13" s="1065"/>
      <c r="AD13" s="1020">
        <f t="shared" si="3"/>
        <v>738074400.00000012</v>
      </c>
      <c r="AE13" s="1021">
        <f t="shared" si="4"/>
        <v>0</v>
      </c>
      <c r="AF13" s="121"/>
      <c r="AG13" s="121"/>
      <c r="AH13" s="121"/>
      <c r="AI13" s="121"/>
      <c r="AJ13" s="121"/>
      <c r="AK13" s="121"/>
      <c r="AL13" s="121"/>
      <c r="AM13" s="121"/>
    </row>
    <row r="14" spans="2:39" s="1010" customFormat="1" ht="30.75" customHeight="1" x14ac:dyDescent="0.4">
      <c r="B14" s="1763" t="s">
        <v>200</v>
      </c>
      <c r="C14" s="1470" t="s">
        <v>33</v>
      </c>
      <c r="D14" s="1550" t="s">
        <v>306</v>
      </c>
      <c r="E14" s="1023">
        <v>1</v>
      </c>
      <c r="F14" s="1023">
        <f>'SISTEMA HIDRONEUMATICO'!F17</f>
        <v>13170000</v>
      </c>
      <c r="G14" s="1023">
        <f>F14*E14</f>
        <v>13170000</v>
      </c>
      <c r="H14" s="1023">
        <f t="shared" si="6"/>
        <v>1580400</v>
      </c>
      <c r="I14" s="1023">
        <f t="shared" si="0"/>
        <v>14750400</v>
      </c>
      <c r="J14" s="121">
        <v>0</v>
      </c>
      <c r="K14" s="1240">
        <f t="shared" si="8"/>
        <v>14750400</v>
      </c>
      <c r="L14" s="1435"/>
      <c r="M14" s="1019"/>
      <c r="N14" s="1024"/>
      <c r="O14" s="1024"/>
      <c r="P14" s="1024"/>
      <c r="Q14" s="1024"/>
      <c r="R14" s="1024"/>
      <c r="S14" s="1019">
        <f>0.7*G14</f>
        <v>9219000</v>
      </c>
      <c r="T14" s="1019"/>
      <c r="U14" s="1019"/>
      <c r="V14" s="1019"/>
      <c r="W14" s="1019"/>
      <c r="X14" s="1019"/>
      <c r="Y14" s="1019">
        <f>0.3*G14+0.12*G14</f>
        <v>5531400</v>
      </c>
      <c r="Z14" s="1019"/>
      <c r="AA14" s="1019"/>
      <c r="AB14" s="1019"/>
      <c r="AC14" s="1065"/>
      <c r="AD14" s="1020">
        <f t="shared" si="3"/>
        <v>14750400</v>
      </c>
      <c r="AE14" s="1021">
        <f t="shared" si="4"/>
        <v>0</v>
      </c>
      <c r="AF14" s="121"/>
      <c r="AG14" s="121"/>
      <c r="AH14" s="121"/>
      <c r="AI14" s="121"/>
      <c r="AJ14" s="121"/>
      <c r="AK14" s="121"/>
      <c r="AL14" s="121"/>
      <c r="AM14" s="121"/>
    </row>
    <row r="15" spans="2:39" s="1010" customFormat="1" ht="30.75" customHeight="1" x14ac:dyDescent="0.4">
      <c r="B15" s="1763" t="s">
        <v>84</v>
      </c>
      <c r="C15" s="1470" t="s">
        <v>642</v>
      </c>
      <c r="D15" s="1550" t="s">
        <v>306</v>
      </c>
      <c r="E15" s="1023">
        <v>1</v>
      </c>
      <c r="F15" s="1023">
        <f>'MOVIMIENTO DE TIERRA'!M34</f>
        <v>4385000</v>
      </c>
      <c r="G15" s="1023">
        <f>F15*E15</f>
        <v>4385000</v>
      </c>
      <c r="H15" s="1023">
        <f t="shared" si="6"/>
        <v>526200</v>
      </c>
      <c r="I15" s="1023">
        <f t="shared" si="0"/>
        <v>4911200</v>
      </c>
      <c r="J15" s="121">
        <v>0</v>
      </c>
      <c r="K15" s="1240">
        <f t="shared" si="8"/>
        <v>4911200</v>
      </c>
      <c r="L15" s="1024">
        <f>F15*0.5</f>
        <v>2192500</v>
      </c>
      <c r="M15" s="1019">
        <f>(G15-L15)+H15</f>
        <v>2718700</v>
      </c>
      <c r="N15" s="1019"/>
      <c r="O15" s="1019"/>
      <c r="P15" s="1019"/>
      <c r="Q15" s="1019"/>
      <c r="R15" s="1019"/>
      <c r="S15" s="1019"/>
      <c r="T15" s="1019"/>
      <c r="U15" s="1019"/>
      <c r="V15" s="1019"/>
      <c r="W15" s="1019"/>
      <c r="X15" s="1019"/>
      <c r="Y15" s="1019"/>
      <c r="Z15" s="1019"/>
      <c r="AA15" s="1019"/>
      <c r="AB15" s="1019"/>
      <c r="AC15" s="1065"/>
      <c r="AD15" s="1020">
        <f t="shared" si="3"/>
        <v>4911200</v>
      </c>
      <c r="AE15" s="1021">
        <f t="shared" si="4"/>
        <v>0</v>
      </c>
      <c r="AF15" s="121"/>
      <c r="AG15" s="121"/>
      <c r="AH15" s="121"/>
      <c r="AI15" s="121"/>
      <c r="AJ15" s="121"/>
      <c r="AK15" s="121"/>
      <c r="AL15" s="121"/>
      <c r="AM15" s="121"/>
    </row>
    <row r="16" spans="2:39" ht="30.6" customHeight="1" x14ac:dyDescent="0.4">
      <c r="B16" s="1763" t="s">
        <v>84</v>
      </c>
      <c r="C16" s="1551" t="s">
        <v>76</v>
      </c>
      <c r="D16" s="1552" t="s">
        <v>11</v>
      </c>
      <c r="E16" s="1029">
        <f>'pavimento concreto'!G16+500</f>
        <v>1739.06</v>
      </c>
      <c r="F16" s="1553">
        <v>21000</v>
      </c>
      <c r="G16" s="121">
        <f t="shared" ref="G16:G46" si="9">E16*F16</f>
        <v>36520260</v>
      </c>
      <c r="H16" s="1023">
        <f t="shared" si="6"/>
        <v>4382431.2</v>
      </c>
      <c r="I16" s="121">
        <f t="shared" ref="I16:I42" si="10">G16+H16</f>
        <v>40902691.200000003</v>
      </c>
      <c r="J16" s="121">
        <v>0</v>
      </c>
      <c r="K16" s="1240">
        <f t="shared" si="8"/>
        <v>40902691.200000003</v>
      </c>
      <c r="L16" s="1024"/>
      <c r="M16" s="1024"/>
      <c r="N16" s="1024">
        <f>300*$F$16</f>
        <v>6300000</v>
      </c>
      <c r="O16" s="1024">
        <f t="shared" ref="O16:P16" si="11">300*$F$16</f>
        <v>6300000</v>
      </c>
      <c r="P16" s="1024">
        <f t="shared" si="11"/>
        <v>6300000</v>
      </c>
      <c r="Q16" s="1024">
        <f>300*$F$16</f>
        <v>6300000</v>
      </c>
      <c r="R16" s="1024">
        <f>300*$F$16</f>
        <v>6300000</v>
      </c>
      <c r="S16" s="1024">
        <f>239.06*F16</f>
        <v>5020260</v>
      </c>
      <c r="T16" s="1024"/>
      <c r="U16" s="1019">
        <f>H16</f>
        <v>4382431.2</v>
      </c>
      <c r="V16" s="1024"/>
      <c r="W16" s="1024"/>
      <c r="X16" s="1024"/>
      <c r="Y16" s="1024"/>
      <c r="Z16" s="1024"/>
      <c r="AA16" s="1024"/>
      <c r="AB16" s="1024"/>
      <c r="AC16" s="1066"/>
      <c r="AD16" s="1020">
        <f t="shared" si="3"/>
        <v>40902691.200000003</v>
      </c>
      <c r="AE16" s="1021">
        <f t="shared" si="4"/>
        <v>0</v>
      </c>
      <c r="AF16" s="1026"/>
      <c r="AG16" s="1025"/>
      <c r="AH16" s="1025"/>
      <c r="AI16" s="1026"/>
      <c r="AJ16" s="1027"/>
      <c r="AK16" s="1026"/>
      <c r="AL16" s="1026"/>
      <c r="AM16" s="1026"/>
    </row>
    <row r="17" spans="2:39" ht="30.6" customHeight="1" x14ac:dyDescent="0.4">
      <c r="B17" s="1763" t="s">
        <v>84</v>
      </c>
      <c r="C17" s="1551" t="s">
        <v>643</v>
      </c>
      <c r="D17" s="1552" t="s">
        <v>542</v>
      </c>
      <c r="E17" s="1029">
        <v>6</v>
      </c>
      <c r="F17" s="1553">
        <f>3*700000</f>
        <v>2100000</v>
      </c>
      <c r="G17" s="121">
        <f t="shared" si="9"/>
        <v>12600000</v>
      </c>
      <c r="H17" s="1023">
        <f t="shared" si="6"/>
        <v>1512000</v>
      </c>
      <c r="I17" s="121">
        <f t="shared" si="10"/>
        <v>14112000</v>
      </c>
      <c r="J17" s="121">
        <v>0</v>
      </c>
      <c r="K17" s="1240">
        <f t="shared" si="8"/>
        <v>14112000</v>
      </c>
      <c r="L17" s="1024"/>
      <c r="M17" s="1024"/>
      <c r="N17" s="1024">
        <f>240000*1.12</f>
        <v>268800</v>
      </c>
      <c r="O17" s="1024">
        <f t="shared" ref="O17:S17" si="12">240000*1.12</f>
        <v>268800</v>
      </c>
      <c r="P17" s="1024">
        <f t="shared" si="12"/>
        <v>268800</v>
      </c>
      <c r="Q17" s="1024">
        <f t="shared" si="12"/>
        <v>268800</v>
      </c>
      <c r="R17" s="1024">
        <f t="shared" si="12"/>
        <v>268800</v>
      </c>
      <c r="S17" s="1024">
        <f t="shared" si="12"/>
        <v>268800</v>
      </c>
      <c r="T17" s="1024"/>
      <c r="U17" s="1024"/>
      <c r="V17" s="1024"/>
      <c r="W17" s="1024"/>
      <c r="X17" s="1024"/>
      <c r="Y17" s="1024"/>
      <c r="Z17" s="1024"/>
      <c r="AA17" s="1024"/>
      <c r="AB17" s="1024"/>
      <c r="AC17" s="1066"/>
      <c r="AD17" s="1020">
        <f t="shared" si="3"/>
        <v>1612800</v>
      </c>
      <c r="AE17" s="1021">
        <f t="shared" si="4"/>
        <v>12499200</v>
      </c>
      <c r="AF17" s="1026"/>
      <c r="AG17" s="1025"/>
      <c r="AH17" s="1025"/>
      <c r="AI17" s="1026"/>
      <c r="AJ17" s="1027"/>
      <c r="AK17" s="1026"/>
      <c r="AL17" s="1026"/>
      <c r="AM17" s="1026"/>
    </row>
    <row r="18" spans="2:39" ht="30.75" customHeight="1" x14ac:dyDescent="0.4">
      <c r="B18" s="1764" t="s">
        <v>38</v>
      </c>
      <c r="C18" s="1471" t="s">
        <v>959</v>
      </c>
      <c r="D18" s="1554" t="s">
        <v>960</v>
      </c>
      <c r="E18" s="1555">
        <f>'pavimento concreto'!G65</f>
        <v>174</v>
      </c>
      <c r="F18" s="1553">
        <f>'pavimento concreto'!J65</f>
        <v>40000</v>
      </c>
      <c r="G18" s="121">
        <f t="shared" si="9"/>
        <v>6960000</v>
      </c>
      <c r="H18" s="1023">
        <f t="shared" si="6"/>
        <v>835200</v>
      </c>
      <c r="I18" s="121">
        <f t="shared" si="10"/>
        <v>7795200</v>
      </c>
      <c r="J18" s="121">
        <v>0</v>
      </c>
      <c r="K18" s="1240">
        <f t="shared" ref="K18:K25" si="13">I18-J18</f>
        <v>7795200</v>
      </c>
      <c r="L18" s="1024"/>
      <c r="M18" s="1019">
        <f>K18</f>
        <v>7795200</v>
      </c>
      <c r="N18" s="1019"/>
      <c r="O18" s="1019"/>
      <c r="P18" s="1019"/>
      <c r="Q18" s="1019"/>
      <c r="R18" s="1019"/>
      <c r="S18" s="1019"/>
      <c r="T18" s="1019"/>
      <c r="U18" s="1019"/>
      <c r="V18" s="1019"/>
      <c r="W18" s="1019"/>
      <c r="X18" s="1019"/>
      <c r="Y18" s="1019"/>
      <c r="Z18" s="1019"/>
      <c r="AA18" s="1019"/>
      <c r="AB18" s="1019"/>
      <c r="AC18" s="1065"/>
      <c r="AD18" s="1020">
        <f t="shared" ref="AD18" si="14">SUM(L18:AC18)</f>
        <v>7795200</v>
      </c>
      <c r="AE18" s="1021">
        <f t="shared" ref="AE18" si="15">K18-AD18</f>
        <v>0</v>
      </c>
      <c r="AF18" s="1026"/>
      <c r="AG18" s="1025"/>
      <c r="AH18" s="1025"/>
      <c r="AI18" s="1026"/>
      <c r="AJ18" s="1026"/>
      <c r="AK18" s="1027"/>
      <c r="AL18" s="1026"/>
      <c r="AM18" s="1026"/>
    </row>
    <row r="19" spans="2:39" ht="30.75" customHeight="1" x14ac:dyDescent="0.4">
      <c r="B19" s="1764" t="s">
        <v>38</v>
      </c>
      <c r="C19" s="1471" t="s">
        <v>961</v>
      </c>
      <c r="D19" s="1554" t="s">
        <v>962</v>
      </c>
      <c r="E19" s="1555">
        <v>3</v>
      </c>
      <c r="F19" s="1553">
        <v>13500000</v>
      </c>
      <c r="G19" s="121">
        <f>E19*F19</f>
        <v>40500000</v>
      </c>
      <c r="H19" s="1023">
        <f t="shared" si="6"/>
        <v>4860000</v>
      </c>
      <c r="I19" s="121">
        <f t="shared" si="10"/>
        <v>45360000</v>
      </c>
      <c r="J19" s="121">
        <v>0</v>
      </c>
      <c r="K19" s="1240">
        <f t="shared" si="13"/>
        <v>45360000</v>
      </c>
      <c r="L19" s="1024"/>
      <c r="M19" s="1019">
        <f>F19*1.12</f>
        <v>15120000.000000002</v>
      </c>
      <c r="N19" s="1019"/>
      <c r="O19" s="1019"/>
      <c r="P19" s="1019">
        <f>F19*1.12</f>
        <v>15120000.000000002</v>
      </c>
      <c r="Q19" s="1019"/>
      <c r="R19" s="1019">
        <f>F19*1.12</f>
        <v>15120000.000000002</v>
      </c>
      <c r="S19" s="1019"/>
      <c r="T19" s="1019"/>
      <c r="U19" s="1019"/>
      <c r="V19" s="1019"/>
      <c r="W19" s="1019"/>
      <c r="X19" s="1019"/>
      <c r="Y19" s="1019"/>
      <c r="Z19" s="1019"/>
      <c r="AA19" s="1019"/>
      <c r="AB19" s="1019"/>
      <c r="AC19" s="1065"/>
      <c r="AD19" s="1020">
        <f t="shared" ref="AD19" si="16">SUM(L19:AC19)</f>
        <v>45360000.000000007</v>
      </c>
      <c r="AE19" s="1021">
        <f t="shared" ref="AE19" si="17">K19-AD19</f>
        <v>0</v>
      </c>
      <c r="AF19" s="1026"/>
      <c r="AG19" s="1025"/>
      <c r="AH19" s="1025"/>
      <c r="AI19" s="1026"/>
      <c r="AJ19" s="1026"/>
      <c r="AK19" s="1027"/>
      <c r="AL19" s="1026"/>
      <c r="AM19" s="1026"/>
    </row>
    <row r="20" spans="2:39" ht="30.75" customHeight="1" x14ac:dyDescent="0.4">
      <c r="B20" s="1764" t="s">
        <v>38</v>
      </c>
      <c r="C20" s="1471" t="s">
        <v>963</v>
      </c>
      <c r="D20" s="1554" t="s">
        <v>23</v>
      </c>
      <c r="E20" s="1555">
        <f>174*0.9</f>
        <v>156.6</v>
      </c>
      <c r="F20" s="1553">
        <f>'pavimento concreto'!J75</f>
        <v>450000</v>
      </c>
      <c r="G20" s="121">
        <f t="shared" ref="G20" si="18">E20*F20</f>
        <v>70470000</v>
      </c>
      <c r="H20" s="1023">
        <f t="shared" ref="H20:H22" si="19">G20*$H$1</f>
        <v>8456400</v>
      </c>
      <c r="I20" s="121">
        <f t="shared" ref="I20:I22" si="20">G20+H20</f>
        <v>78926400</v>
      </c>
      <c r="J20" s="121">
        <v>0</v>
      </c>
      <c r="K20" s="1240">
        <f t="shared" si="13"/>
        <v>78926400</v>
      </c>
      <c r="L20" s="1024"/>
      <c r="M20" s="1019">
        <f>I20</f>
        <v>78926400</v>
      </c>
      <c r="N20" s="1019"/>
      <c r="O20" s="1019"/>
      <c r="P20" s="1019"/>
      <c r="Q20" s="1019"/>
      <c r="R20" s="1019"/>
      <c r="S20" s="1019"/>
      <c r="T20" s="1019"/>
      <c r="U20" s="1019"/>
      <c r="V20" s="1019"/>
      <c r="W20" s="1019"/>
      <c r="X20" s="1019"/>
      <c r="Y20" s="1019"/>
      <c r="Z20" s="1019"/>
      <c r="AA20" s="1019"/>
      <c r="AB20" s="1019"/>
      <c r="AC20" s="1065"/>
      <c r="AD20" s="1020">
        <f t="shared" ref="AD20:AD21" si="21">SUM(L20:AC20)</f>
        <v>78926400</v>
      </c>
      <c r="AE20" s="1021">
        <f t="shared" ref="AE20:AE21" si="22">K20-AD20</f>
        <v>0</v>
      </c>
      <c r="AF20" s="1026"/>
      <c r="AG20" s="1025"/>
      <c r="AH20" s="1025"/>
      <c r="AI20" s="1026"/>
      <c r="AJ20" s="1026"/>
      <c r="AK20" s="1027"/>
      <c r="AL20" s="1026"/>
      <c r="AM20" s="1026"/>
    </row>
    <row r="21" spans="2:39" ht="30.75" customHeight="1" x14ac:dyDescent="0.4">
      <c r="B21" s="1764" t="s">
        <v>38</v>
      </c>
      <c r="C21" s="1471" t="s">
        <v>964</v>
      </c>
      <c r="D21" s="1554" t="s">
        <v>23</v>
      </c>
      <c r="E21" s="1555">
        <f>'pavimento concreto'!G78</f>
        <v>76.56</v>
      </c>
      <c r="F21" s="1553">
        <f>'pavimento concreto'!J78</f>
        <v>140000</v>
      </c>
      <c r="G21" s="121">
        <f>E21*F21</f>
        <v>10718400</v>
      </c>
      <c r="H21" s="1023">
        <f t="shared" si="19"/>
        <v>1286208</v>
      </c>
      <c r="I21" s="121">
        <f t="shared" si="20"/>
        <v>12004608</v>
      </c>
      <c r="J21" s="121">
        <v>0</v>
      </c>
      <c r="K21" s="1240">
        <f t="shared" si="13"/>
        <v>12004608</v>
      </c>
      <c r="L21" s="1024"/>
      <c r="M21" s="1019">
        <f>I21</f>
        <v>12004608</v>
      </c>
      <c r="N21" s="1019"/>
      <c r="O21" s="1019"/>
      <c r="P21" s="1019"/>
      <c r="Q21" s="1019"/>
      <c r="R21" s="1019"/>
      <c r="S21" s="1019"/>
      <c r="T21" s="1019"/>
      <c r="U21" s="1019"/>
      <c r="V21" s="1019"/>
      <c r="W21" s="1019"/>
      <c r="X21" s="1019"/>
      <c r="Y21" s="1019"/>
      <c r="Z21" s="1019"/>
      <c r="AA21" s="1019"/>
      <c r="AB21" s="1019"/>
      <c r="AC21" s="1065"/>
      <c r="AD21" s="1020">
        <f t="shared" si="21"/>
        <v>12004608</v>
      </c>
      <c r="AE21" s="1021">
        <f t="shared" si="22"/>
        <v>0</v>
      </c>
      <c r="AF21" s="1026"/>
      <c r="AG21" s="1025"/>
      <c r="AH21" s="1025"/>
      <c r="AI21" s="1026"/>
      <c r="AJ21" s="1026"/>
      <c r="AK21" s="1027"/>
      <c r="AL21" s="1026"/>
      <c r="AM21" s="1026"/>
    </row>
    <row r="22" spans="2:39" ht="30.75" customHeight="1" x14ac:dyDescent="0.4">
      <c r="B22" s="1764" t="s">
        <v>84</v>
      </c>
      <c r="C22" s="1471" t="s">
        <v>1182</v>
      </c>
      <c r="D22" s="1554" t="s">
        <v>542</v>
      </c>
      <c r="E22" s="1555">
        <v>3</v>
      </c>
      <c r="F22" s="1553">
        <f>2*2000000</f>
        <v>4000000</v>
      </c>
      <c r="G22" s="121">
        <f>E22*F22</f>
        <v>12000000</v>
      </c>
      <c r="H22" s="1023">
        <f t="shared" si="19"/>
        <v>1440000</v>
      </c>
      <c r="I22" s="121">
        <f t="shared" si="20"/>
        <v>13440000</v>
      </c>
      <c r="J22" s="121">
        <v>0</v>
      </c>
      <c r="K22" s="1240">
        <f t="shared" si="13"/>
        <v>13440000</v>
      </c>
      <c r="L22" s="1024"/>
      <c r="M22" s="1019"/>
      <c r="N22" s="1019"/>
      <c r="O22" s="1019"/>
      <c r="P22" s="1019"/>
      <c r="Q22" s="1019"/>
      <c r="R22" s="1019"/>
      <c r="S22" s="1019"/>
      <c r="T22" s="1019"/>
      <c r="U22" s="1019"/>
      <c r="V22" s="1019"/>
      <c r="W22" s="1019"/>
      <c r="X22" s="1019"/>
      <c r="Y22" s="1019"/>
      <c r="Z22" s="1019"/>
      <c r="AA22" s="1019"/>
      <c r="AB22" s="1019"/>
      <c r="AC22" s="1065"/>
      <c r="AD22" s="1020"/>
      <c r="AE22" s="1021"/>
      <c r="AF22" s="1026"/>
      <c r="AG22" s="1025"/>
      <c r="AH22" s="1025"/>
      <c r="AI22" s="1026"/>
      <c r="AJ22" s="1026"/>
      <c r="AK22" s="1027"/>
      <c r="AL22" s="1026"/>
      <c r="AM22" s="1026"/>
    </row>
    <row r="23" spans="2:39" ht="30.75" customHeight="1" x14ac:dyDescent="0.4">
      <c r="B23" s="1764" t="s">
        <v>38</v>
      </c>
      <c r="C23" s="1471" t="s">
        <v>1029</v>
      </c>
      <c r="D23" s="1554" t="s">
        <v>298</v>
      </c>
      <c r="E23" s="1555">
        <f>'CEMENTO PULIDO'!L153</f>
        <v>122.46582857142857</v>
      </c>
      <c r="F23" s="1553">
        <v>75000</v>
      </c>
      <c r="G23" s="121">
        <f t="shared" ref="G23:G28" si="23">E23*F23</f>
        <v>9184937.1428571437</v>
      </c>
      <c r="H23" s="1023">
        <f t="shared" ref="H23:H28" si="24">G23*$H$1</f>
        <v>1102192.4571428571</v>
      </c>
      <c r="I23" s="121">
        <f t="shared" ref="I23" si="25">G23+H23</f>
        <v>10287129.600000001</v>
      </c>
      <c r="J23" s="121">
        <v>0</v>
      </c>
      <c r="K23" s="1240">
        <f t="shared" si="13"/>
        <v>10287129.600000001</v>
      </c>
      <c r="L23" s="1024"/>
      <c r="M23" s="1024"/>
      <c r="N23" s="1019"/>
      <c r="O23" s="1019"/>
      <c r="P23" s="1019"/>
      <c r="Q23" s="1019"/>
      <c r="R23" s="1019"/>
      <c r="S23" s="1019">
        <f>I23</f>
        <v>10287129.600000001</v>
      </c>
      <c r="T23" s="1019"/>
      <c r="U23" s="1019"/>
      <c r="V23" s="1019"/>
      <c r="W23" s="1019"/>
      <c r="X23" s="1019"/>
      <c r="Y23" s="1019"/>
      <c r="Z23" s="1019"/>
      <c r="AA23" s="1019"/>
      <c r="AB23" s="1019"/>
      <c r="AC23" s="1065"/>
      <c r="AD23" s="1020">
        <f t="shared" ref="AD23:AD29" si="26">SUM(L23:AC23)</f>
        <v>10287129.600000001</v>
      </c>
      <c r="AE23" s="1021">
        <f t="shared" ref="AE23:AE28" si="27">K23-AD23</f>
        <v>0</v>
      </c>
      <c r="AF23" s="1026"/>
      <c r="AG23" s="1025"/>
      <c r="AH23" s="1025"/>
      <c r="AI23" s="1026"/>
      <c r="AJ23" s="1026"/>
      <c r="AK23" s="1027"/>
      <c r="AL23" s="1026"/>
      <c r="AM23" s="1026"/>
    </row>
    <row r="24" spans="2:39" ht="30.75" customHeight="1" x14ac:dyDescent="0.4">
      <c r="B24" s="1764" t="s">
        <v>38</v>
      </c>
      <c r="C24" s="1471" t="s">
        <v>1031</v>
      </c>
      <c r="D24" s="1554" t="s">
        <v>298</v>
      </c>
      <c r="E24" s="1555">
        <f>'CEMENTO PULIDO'!L154</f>
        <v>66.239999999999995</v>
      </c>
      <c r="F24" s="1553">
        <v>75000</v>
      </c>
      <c r="G24" s="121">
        <f t="shared" si="23"/>
        <v>4968000</v>
      </c>
      <c r="H24" s="1023">
        <f t="shared" si="24"/>
        <v>596160</v>
      </c>
      <c r="I24" s="121">
        <f>G24+H24</f>
        <v>5564160</v>
      </c>
      <c r="J24" s="121">
        <v>0</v>
      </c>
      <c r="K24" s="1240">
        <f t="shared" si="13"/>
        <v>5564160</v>
      </c>
      <c r="L24" s="1024"/>
      <c r="M24" s="1024"/>
      <c r="N24" s="1019"/>
      <c r="O24" s="1019"/>
      <c r="P24" s="1019"/>
      <c r="Q24" s="1019"/>
      <c r="R24" s="1019"/>
      <c r="S24" s="1019">
        <f>I24</f>
        <v>5564160</v>
      </c>
      <c r="T24" s="1019"/>
      <c r="U24" s="1019"/>
      <c r="V24" s="1019"/>
      <c r="W24" s="1019"/>
      <c r="X24" s="1019"/>
      <c r="Y24" s="1019"/>
      <c r="Z24" s="1019"/>
      <c r="AA24" s="1019"/>
      <c r="AB24" s="1019"/>
      <c r="AC24" s="1065"/>
      <c r="AD24" s="1020">
        <f t="shared" si="26"/>
        <v>5564160</v>
      </c>
      <c r="AE24" s="1021">
        <f t="shared" si="27"/>
        <v>0</v>
      </c>
      <c r="AF24" s="1026"/>
      <c r="AG24" s="1025"/>
      <c r="AH24" s="1025"/>
      <c r="AI24" s="1026"/>
      <c r="AJ24" s="1026"/>
      <c r="AK24" s="1027"/>
      <c r="AL24" s="1026"/>
      <c r="AM24" s="1026"/>
    </row>
    <row r="25" spans="2:39" ht="30.75" customHeight="1" x14ac:dyDescent="0.4">
      <c r="B25" s="1764" t="s">
        <v>38</v>
      </c>
      <c r="C25" s="1471" t="s">
        <v>1087</v>
      </c>
      <c r="D25" s="1554" t="s">
        <v>1011</v>
      </c>
      <c r="E25" s="1555">
        <f>'CEMENTO PULIDO'!O142</f>
        <v>3</v>
      </c>
      <c r="F25" s="1553">
        <v>1175656</v>
      </c>
      <c r="G25" s="121">
        <f t="shared" si="23"/>
        <v>3526968</v>
      </c>
      <c r="H25" s="1023">
        <f t="shared" si="24"/>
        <v>423236.16</v>
      </c>
      <c r="I25" s="121">
        <f>G25+H25</f>
        <v>3950204.16</v>
      </c>
      <c r="J25" s="121">
        <v>0</v>
      </c>
      <c r="K25" s="1240">
        <f t="shared" si="13"/>
        <v>3950204.16</v>
      </c>
      <c r="L25" s="1024"/>
      <c r="M25" s="1024"/>
      <c r="N25" s="1019"/>
      <c r="O25" s="1019"/>
      <c r="P25" s="1019"/>
      <c r="Q25" s="1019"/>
      <c r="R25" s="1019"/>
      <c r="S25" s="1019">
        <f>I25</f>
        <v>3950204.16</v>
      </c>
      <c r="T25" s="1019"/>
      <c r="U25" s="1019"/>
      <c r="V25" s="1019"/>
      <c r="W25" s="1019"/>
      <c r="X25" s="1019"/>
      <c r="Y25" s="1019"/>
      <c r="Z25" s="1019"/>
      <c r="AA25" s="1019"/>
      <c r="AB25" s="1019"/>
      <c r="AC25" s="1065"/>
      <c r="AD25" s="1020">
        <f t="shared" si="26"/>
        <v>3950204.16</v>
      </c>
      <c r="AE25" s="1021">
        <f t="shared" si="27"/>
        <v>0</v>
      </c>
      <c r="AF25" s="1026"/>
      <c r="AG25" s="1025"/>
      <c r="AH25" s="1025"/>
      <c r="AI25" s="1026"/>
      <c r="AJ25" s="1026"/>
      <c r="AK25" s="1027"/>
      <c r="AL25" s="1026"/>
      <c r="AM25" s="1026"/>
    </row>
    <row r="26" spans="2:39" ht="30.75" customHeight="1" x14ac:dyDescent="0.4">
      <c r="B26" s="1764" t="s">
        <v>38</v>
      </c>
      <c r="C26" s="1471" t="s">
        <v>1088</v>
      </c>
      <c r="D26" s="1554" t="s">
        <v>41</v>
      </c>
      <c r="E26" s="1555">
        <v>6</v>
      </c>
      <c r="F26" s="1553">
        <v>350000</v>
      </c>
      <c r="G26" s="121">
        <f t="shared" si="23"/>
        <v>2100000</v>
      </c>
      <c r="H26" s="1023">
        <f t="shared" si="24"/>
        <v>252000</v>
      </c>
      <c r="I26" s="121">
        <f t="shared" ref="I26:I28" si="28">G26+H26</f>
        <v>2352000</v>
      </c>
      <c r="J26" s="121">
        <v>0</v>
      </c>
      <c r="K26" s="1240">
        <f t="shared" ref="K26:K28" si="29">I26-J26</f>
        <v>2352000</v>
      </c>
      <c r="L26" s="1024"/>
      <c r="M26" s="1024"/>
      <c r="N26" s="1019"/>
      <c r="O26" s="1019"/>
      <c r="P26" s="1019"/>
      <c r="Q26" s="1019"/>
      <c r="R26" s="1019"/>
      <c r="S26" s="1019">
        <f>I26</f>
        <v>2352000</v>
      </c>
      <c r="T26" s="1019"/>
      <c r="U26" s="1019"/>
      <c r="V26" s="1019"/>
      <c r="W26" s="1019"/>
      <c r="X26" s="1019"/>
      <c r="Y26" s="1019"/>
      <c r="Z26" s="1019"/>
      <c r="AA26" s="1019"/>
      <c r="AB26" s="1019"/>
      <c r="AC26" s="1065"/>
      <c r="AD26" s="1020">
        <f t="shared" si="26"/>
        <v>2352000</v>
      </c>
      <c r="AE26" s="1021">
        <f t="shared" si="27"/>
        <v>0</v>
      </c>
      <c r="AF26" s="1026"/>
      <c r="AG26" s="1025"/>
      <c r="AH26" s="1025"/>
      <c r="AI26" s="1026"/>
      <c r="AJ26" s="1026"/>
      <c r="AK26" s="1027"/>
      <c r="AL26" s="1026"/>
      <c r="AM26" s="1026"/>
    </row>
    <row r="27" spans="2:39" ht="30.75" customHeight="1" x14ac:dyDescent="0.4">
      <c r="B27" s="1764" t="s">
        <v>38</v>
      </c>
      <c r="C27" s="1471" t="s">
        <v>1184</v>
      </c>
      <c r="D27" s="1554" t="s">
        <v>1011</v>
      </c>
      <c r="E27" s="1555">
        <v>4</v>
      </c>
      <c r="F27" s="1553">
        <v>150000</v>
      </c>
      <c r="G27" s="121">
        <f>E27*F27</f>
        <v>600000</v>
      </c>
      <c r="H27" s="1023">
        <f t="shared" si="24"/>
        <v>72000</v>
      </c>
      <c r="I27" s="121">
        <f t="shared" si="28"/>
        <v>672000</v>
      </c>
      <c r="J27" s="121"/>
      <c r="K27" s="1240"/>
      <c r="L27" s="1024"/>
      <c r="M27" s="1024"/>
      <c r="N27" s="1019"/>
      <c r="O27" s="1019"/>
      <c r="P27" s="1019"/>
      <c r="Q27" s="1019"/>
      <c r="R27" s="1019"/>
      <c r="S27" s="1019">
        <f>I27</f>
        <v>672000</v>
      </c>
      <c r="T27" s="1019"/>
      <c r="U27" s="1019"/>
      <c r="V27" s="1019"/>
      <c r="W27" s="1019"/>
      <c r="X27" s="1019"/>
      <c r="Y27" s="1019"/>
      <c r="Z27" s="1019"/>
      <c r="AA27" s="1019"/>
      <c r="AB27" s="1019"/>
      <c r="AC27" s="1065"/>
      <c r="AD27" s="1020">
        <f t="shared" si="26"/>
        <v>672000</v>
      </c>
      <c r="AE27" s="1021"/>
      <c r="AF27" s="1026"/>
      <c r="AG27" s="1025"/>
      <c r="AH27" s="1025"/>
      <c r="AI27" s="1026"/>
      <c r="AJ27" s="1026"/>
      <c r="AK27" s="1027"/>
      <c r="AL27" s="1026"/>
      <c r="AM27" s="1026"/>
    </row>
    <row r="28" spans="2:39" ht="30.75" customHeight="1" x14ac:dyDescent="0.4">
      <c r="B28" s="1764" t="s">
        <v>38</v>
      </c>
      <c r="C28" s="1471" t="s">
        <v>1086</v>
      </c>
      <c r="D28" s="1554" t="s">
        <v>11</v>
      </c>
      <c r="E28" s="1555">
        <f>'CEMENTO PULIDO'!G19</f>
        <v>216</v>
      </c>
      <c r="F28" s="1553">
        <f>'CEMENTO PULIDO'!L19</f>
        <v>11500</v>
      </c>
      <c r="G28" s="121">
        <f t="shared" si="23"/>
        <v>2484000</v>
      </c>
      <c r="H28" s="1023">
        <f t="shared" si="24"/>
        <v>298080</v>
      </c>
      <c r="I28" s="121">
        <f t="shared" si="28"/>
        <v>2782080</v>
      </c>
      <c r="J28" s="121">
        <v>0</v>
      </c>
      <c r="K28" s="1240">
        <f t="shared" si="29"/>
        <v>2782080</v>
      </c>
      <c r="L28" s="1024"/>
      <c r="M28" s="1024"/>
      <c r="N28" s="1019"/>
      <c r="O28" s="1019"/>
      <c r="P28" s="1019"/>
      <c r="Q28" s="1019"/>
      <c r="R28" s="1019"/>
      <c r="S28" s="1019"/>
      <c r="T28" s="1024">
        <f>100*F28</f>
        <v>1150000</v>
      </c>
      <c r="U28" s="1024">
        <f>116*F28</f>
        <v>1334000</v>
      </c>
      <c r="V28" s="1019">
        <f>H28</f>
        <v>298080</v>
      </c>
      <c r="W28" s="1019"/>
      <c r="X28" s="1019"/>
      <c r="Y28" s="1019"/>
      <c r="Z28" s="1019"/>
      <c r="AA28" s="1019"/>
      <c r="AB28" s="1019"/>
      <c r="AC28" s="1065"/>
      <c r="AD28" s="1020">
        <f t="shared" si="26"/>
        <v>2782080</v>
      </c>
      <c r="AE28" s="1021">
        <f t="shared" si="27"/>
        <v>0</v>
      </c>
      <c r="AF28" s="1026"/>
      <c r="AG28" s="1025"/>
      <c r="AH28" s="1025"/>
      <c r="AI28" s="1026"/>
      <c r="AJ28" s="1026"/>
      <c r="AK28" s="1027"/>
      <c r="AL28" s="1026"/>
      <c r="AM28" s="1026"/>
    </row>
    <row r="29" spans="2:39" ht="51" customHeight="1" x14ac:dyDescent="0.4">
      <c r="B29" s="1764" t="s">
        <v>38</v>
      </c>
      <c r="C29" s="1471" t="s">
        <v>1089</v>
      </c>
      <c r="D29" s="1554" t="s">
        <v>306</v>
      </c>
      <c r="E29" s="1029">
        <v>1</v>
      </c>
      <c r="F29" s="1553">
        <f>TERRACOTA!K24</f>
        <v>40128000</v>
      </c>
      <c r="G29" s="121">
        <f t="shared" si="9"/>
        <v>40128000</v>
      </c>
      <c r="H29" s="1023">
        <f t="shared" si="6"/>
        <v>4815360</v>
      </c>
      <c r="I29" s="121">
        <f t="shared" si="10"/>
        <v>44943360</v>
      </c>
      <c r="J29" s="121">
        <v>0</v>
      </c>
      <c r="K29" s="1240">
        <f t="shared" si="8"/>
        <v>44943360</v>
      </c>
      <c r="L29" s="1024"/>
      <c r="M29" s="1024"/>
      <c r="N29" s="1024"/>
      <c r="O29" s="1019"/>
      <c r="P29" s="1024"/>
      <c r="Q29" s="1024"/>
      <c r="R29" s="1019"/>
      <c r="S29" s="1019">
        <f>F29*0.6</f>
        <v>24076800</v>
      </c>
      <c r="T29" s="1019"/>
      <c r="U29" s="1019"/>
      <c r="V29" s="1019">
        <f>I29-S29</f>
        <v>20866560</v>
      </c>
      <c r="W29" s="1019"/>
      <c r="X29" s="1019"/>
      <c r="Y29" s="1019"/>
      <c r="Z29" s="1019"/>
      <c r="AA29" s="1019"/>
      <c r="AB29" s="1019"/>
      <c r="AC29" s="1065"/>
      <c r="AD29" s="1020">
        <f t="shared" si="26"/>
        <v>44943360</v>
      </c>
      <c r="AE29" s="1021">
        <f t="shared" si="4"/>
        <v>0</v>
      </c>
      <c r="AF29" s="1026"/>
      <c r="AG29" s="1025"/>
      <c r="AH29" s="1025"/>
      <c r="AI29" s="1026"/>
      <c r="AJ29" s="1026"/>
      <c r="AK29" s="1027"/>
      <c r="AL29" s="1026"/>
      <c r="AM29" s="1026"/>
    </row>
    <row r="30" spans="2:39" ht="30.75" customHeight="1" x14ac:dyDescent="0.4">
      <c r="B30" s="1763" t="s">
        <v>84</v>
      </c>
      <c r="C30" s="1471" t="s">
        <v>1092</v>
      </c>
      <c r="D30" s="1651" t="s">
        <v>11</v>
      </c>
      <c r="E30" s="1029">
        <f>TERRACOTA!$G$36</f>
        <v>220</v>
      </c>
      <c r="F30" s="1029">
        <v>11500</v>
      </c>
      <c r="G30" s="1029">
        <f t="shared" si="9"/>
        <v>2530000</v>
      </c>
      <c r="H30" s="1023">
        <f t="shared" si="6"/>
        <v>303600</v>
      </c>
      <c r="I30" s="1029">
        <f t="shared" si="10"/>
        <v>2833600</v>
      </c>
      <c r="J30" s="121">
        <v>0</v>
      </c>
      <c r="K30" s="1240">
        <f t="shared" si="8"/>
        <v>2833600</v>
      </c>
      <c r="L30" s="1024"/>
      <c r="M30" s="1024"/>
      <c r="N30" s="1019"/>
      <c r="O30" s="1019"/>
      <c r="P30" s="1019"/>
      <c r="Q30" s="1019"/>
      <c r="R30" s="1024"/>
      <c r="S30" s="1024">
        <f>($G$30)/4</f>
        <v>632500</v>
      </c>
      <c r="T30" s="1024">
        <f t="shared" ref="T30:U30" si="30">($G$30)/4</f>
        <v>632500</v>
      </c>
      <c r="U30" s="1024">
        <f t="shared" si="30"/>
        <v>632500</v>
      </c>
      <c r="V30" s="1024">
        <f>(($G$30/4)+O30)</f>
        <v>632500</v>
      </c>
      <c r="W30" s="1019">
        <f>H30</f>
        <v>303600</v>
      </c>
      <c r="X30" s="1019"/>
      <c r="Y30" s="1019"/>
      <c r="Z30" s="1019"/>
      <c r="AA30" s="1019"/>
      <c r="AB30" s="1019"/>
      <c r="AC30" s="1065"/>
      <c r="AD30" s="1020">
        <f t="shared" si="3"/>
        <v>2833600</v>
      </c>
      <c r="AE30" s="1021">
        <f t="shared" si="4"/>
        <v>0</v>
      </c>
      <c r="AF30" s="1026"/>
      <c r="AG30" s="1025"/>
      <c r="AH30" s="1025"/>
      <c r="AI30" s="1026"/>
      <c r="AJ30" s="1026"/>
      <c r="AK30" s="1027"/>
      <c r="AL30" s="1026"/>
      <c r="AM30" s="1026"/>
    </row>
    <row r="31" spans="2:39" ht="30.75" customHeight="1" x14ac:dyDescent="0.4">
      <c r="B31" s="1764" t="s">
        <v>84</v>
      </c>
      <c r="C31" s="1471" t="s">
        <v>1185</v>
      </c>
      <c r="D31" s="1554" t="s">
        <v>306</v>
      </c>
      <c r="E31" s="1029">
        <v>1</v>
      </c>
      <c r="F31" s="1553">
        <f>TERRACOTA!I54</f>
        <v>19845664.799999997</v>
      </c>
      <c r="G31" s="121">
        <f>E31*F31</f>
        <v>19845664.799999997</v>
      </c>
      <c r="H31" s="1023">
        <f>G31*$H$1</f>
        <v>2381479.7759999996</v>
      </c>
      <c r="I31" s="121">
        <f>G31+H31</f>
        <v>22227144.575999998</v>
      </c>
      <c r="J31" s="121">
        <v>0</v>
      </c>
      <c r="K31" s="1240">
        <f>I31-J31</f>
        <v>22227144.575999998</v>
      </c>
      <c r="L31" s="1024"/>
      <c r="M31" s="1024"/>
      <c r="N31" s="1024"/>
      <c r="O31" s="1019"/>
      <c r="P31" s="1024"/>
      <c r="Q31" s="1024"/>
      <c r="R31" s="1019"/>
      <c r="S31" s="1024">
        <f>G31*0.7</f>
        <v>13891965.359999998</v>
      </c>
      <c r="T31" s="1019">
        <f>G31*0.3/6</f>
        <v>992283.23999999976</v>
      </c>
      <c r="U31" s="1019">
        <f>G31*0.3/6</f>
        <v>992283.23999999976</v>
      </c>
      <c r="V31" s="1019">
        <f>G31*0.3/6</f>
        <v>992283.23999999976</v>
      </c>
      <c r="W31" s="1019">
        <f>G31*0.3/6</f>
        <v>992283.23999999976</v>
      </c>
      <c r="X31" s="1019">
        <f>G31*0.3/6</f>
        <v>992283.23999999976</v>
      </c>
      <c r="Y31" s="1019">
        <f>I31-S31-T31-U31-V31-W31-X31</f>
        <v>3373763.0159999994</v>
      </c>
      <c r="Z31" s="1019"/>
      <c r="AA31" s="1019"/>
      <c r="AB31" s="1019"/>
      <c r="AC31" s="1065"/>
      <c r="AD31" s="1020">
        <f>SUM(L31:AC31)</f>
        <v>22227144.575999994</v>
      </c>
      <c r="AE31" s="1021">
        <f>K31-AD31</f>
        <v>0</v>
      </c>
      <c r="AF31" s="1026"/>
      <c r="AG31" s="1025"/>
      <c r="AH31" s="1025"/>
      <c r="AI31" s="1026"/>
      <c r="AJ31" s="1026"/>
      <c r="AK31" s="1027"/>
      <c r="AL31" s="1026"/>
      <c r="AM31" s="1026"/>
    </row>
    <row r="32" spans="2:39" ht="30.75" customHeight="1" x14ac:dyDescent="0.4">
      <c r="B32" s="1764" t="s">
        <v>38</v>
      </c>
      <c r="C32" s="1471" t="s">
        <v>54</v>
      </c>
      <c r="D32" s="1554" t="s">
        <v>55</v>
      </c>
      <c r="E32" s="1555">
        <f>TERRACOTA!G17</f>
        <v>396</v>
      </c>
      <c r="F32" s="1553">
        <f>TERRACOTA!H50</f>
        <v>26000</v>
      </c>
      <c r="G32" s="121">
        <f>E32*F32</f>
        <v>10296000</v>
      </c>
      <c r="H32" s="1023">
        <f>G32*$H$1</f>
        <v>1235520</v>
      </c>
      <c r="I32" s="121">
        <f t="shared" ref="I32" si="31">G32+H32</f>
        <v>11531520</v>
      </c>
      <c r="J32" s="121">
        <v>0</v>
      </c>
      <c r="K32" s="1240">
        <f>I32-J32</f>
        <v>11531520</v>
      </c>
      <c r="L32" s="1019"/>
      <c r="M32" s="1024"/>
      <c r="N32" s="1024"/>
      <c r="O32" s="1024"/>
      <c r="P32" s="1024"/>
      <c r="Q32" s="1024"/>
      <c r="R32" s="1019">
        <f>I32</f>
        <v>11531520</v>
      </c>
      <c r="S32" s="1019"/>
      <c r="T32" s="1019"/>
      <c r="U32" s="1019"/>
      <c r="V32" s="1019"/>
      <c r="W32" s="1019"/>
      <c r="X32" s="1019"/>
      <c r="Y32" s="1019"/>
      <c r="Z32" s="1019"/>
      <c r="AA32" s="1019"/>
      <c r="AB32" s="1019"/>
      <c r="AC32" s="1065"/>
      <c r="AD32" s="1020">
        <f>SUM(L32:AC32)</f>
        <v>11531520</v>
      </c>
      <c r="AE32" s="1021">
        <f>K32-AD32</f>
        <v>0</v>
      </c>
      <c r="AF32" s="1026"/>
      <c r="AG32" s="1025"/>
      <c r="AH32" s="1025"/>
      <c r="AI32" s="1026"/>
      <c r="AJ32" s="1026"/>
      <c r="AK32" s="1027"/>
      <c r="AL32" s="1026"/>
      <c r="AM32" s="1026"/>
    </row>
    <row r="33" spans="2:39" ht="30.75" customHeight="1" x14ac:dyDescent="0.4">
      <c r="B33" s="1763" t="s">
        <v>200</v>
      </c>
      <c r="C33" s="1654" t="s">
        <v>1096</v>
      </c>
      <c r="D33" s="1651" t="s">
        <v>11</v>
      </c>
      <c r="E33" s="121">
        <f>'PINTURA '!D12+'PINTURA '!D13</f>
        <v>2093.7620000000002</v>
      </c>
      <c r="F33" s="121">
        <v>20000</v>
      </c>
      <c r="G33" s="121">
        <f>F33*E33</f>
        <v>41875240</v>
      </c>
      <c r="H33" s="1023">
        <f t="shared" si="6"/>
        <v>5025028.8</v>
      </c>
      <c r="I33" s="121">
        <f>G33+H33</f>
        <v>46900268.799999997</v>
      </c>
      <c r="J33" s="121">
        <v>0</v>
      </c>
      <c r="K33" s="1240">
        <f t="shared" si="8"/>
        <v>46900268.799999997</v>
      </c>
      <c r="L33" s="1024"/>
      <c r="M33" s="1024"/>
      <c r="N33" s="1024">
        <f>(300*850)-(300*850*0.1)</f>
        <v>229500</v>
      </c>
      <c r="O33" s="1024">
        <f t="shared" ref="O33:Q33" si="32">(300*850)-(300*850*0.1)</f>
        <v>229500</v>
      </c>
      <c r="P33" s="1024">
        <f t="shared" si="32"/>
        <v>229500</v>
      </c>
      <c r="Q33" s="1024">
        <f t="shared" si="32"/>
        <v>229500</v>
      </c>
      <c r="R33" s="1024">
        <f>(300*850)-(300*850*0.1)</f>
        <v>229500</v>
      </c>
      <c r="S33" s="1024">
        <f>(300*850)-(300*850*0.1)</f>
        <v>229500</v>
      </c>
      <c r="T33" s="1019">
        <f>(200*850)-(200*850*0.1)</f>
        <v>153000</v>
      </c>
      <c r="U33" s="1019">
        <f>I33-(+L33+N33+O33+P33+Q33+R33+S33+T33)</f>
        <v>45370268.799999997</v>
      </c>
      <c r="V33" s="1019"/>
      <c r="W33" s="1019"/>
      <c r="X33" s="1019"/>
      <c r="Y33" s="1019"/>
      <c r="Z33" s="1019"/>
      <c r="AA33" s="1019"/>
      <c r="AB33" s="1019"/>
      <c r="AC33" s="1065"/>
      <c r="AD33" s="1020">
        <f t="shared" si="3"/>
        <v>46900268.799999997</v>
      </c>
      <c r="AE33" s="1021">
        <f t="shared" si="4"/>
        <v>0</v>
      </c>
      <c r="AF33" s="1026"/>
      <c r="AG33" s="1025"/>
      <c r="AH33" s="1025"/>
      <c r="AI33" s="1026"/>
      <c r="AJ33" s="1026"/>
      <c r="AK33" s="1027"/>
      <c r="AL33" s="1026"/>
      <c r="AM33" s="1026"/>
    </row>
    <row r="34" spans="2:39" ht="30.75" customHeight="1" x14ac:dyDescent="0.4">
      <c r="B34" s="1764" t="s">
        <v>38</v>
      </c>
      <c r="C34" s="1654" t="s">
        <v>1097</v>
      </c>
      <c r="D34" s="1651" t="s">
        <v>55</v>
      </c>
      <c r="E34" s="121">
        <v>200</v>
      </c>
      <c r="F34" s="121">
        <v>80000</v>
      </c>
      <c r="G34" s="121">
        <f>F34*E34</f>
        <v>16000000</v>
      </c>
      <c r="H34" s="1023">
        <f t="shared" si="6"/>
        <v>1920000</v>
      </c>
      <c r="I34" s="121">
        <f>G34+H34</f>
        <v>17920000</v>
      </c>
      <c r="J34" s="121">
        <v>0</v>
      </c>
      <c r="K34" s="1240">
        <f t="shared" si="8"/>
        <v>17920000</v>
      </c>
      <c r="L34" s="1024"/>
      <c r="M34" s="1024">
        <f>E34*12500*1.12</f>
        <v>2800000.0000000005</v>
      </c>
      <c r="N34" s="1024"/>
      <c r="O34" s="1024"/>
      <c r="P34" s="1024"/>
      <c r="Q34" s="1024"/>
      <c r="R34" s="1024"/>
      <c r="S34" s="1019"/>
      <c r="T34" s="1019"/>
      <c r="U34" s="1019"/>
      <c r="V34" s="1019"/>
      <c r="W34" s="1019"/>
      <c r="X34" s="1019"/>
      <c r="Y34" s="1019"/>
      <c r="Z34" s="1019"/>
      <c r="AA34" s="1019"/>
      <c r="AB34" s="1019"/>
      <c r="AC34" s="1065"/>
      <c r="AD34" s="1020">
        <f t="shared" si="3"/>
        <v>2800000.0000000005</v>
      </c>
      <c r="AE34" s="1021">
        <f t="shared" si="4"/>
        <v>15120000</v>
      </c>
      <c r="AF34" s="1026"/>
      <c r="AG34" s="1025"/>
      <c r="AH34" s="1025"/>
      <c r="AI34" s="1026"/>
      <c r="AJ34" s="1026"/>
      <c r="AK34" s="1027"/>
      <c r="AL34" s="1026"/>
      <c r="AM34" s="1026"/>
    </row>
    <row r="35" spans="2:39" ht="51" customHeight="1" x14ac:dyDescent="0.4">
      <c r="B35" s="1764" t="s">
        <v>38</v>
      </c>
      <c r="C35" s="1654" t="s">
        <v>1098</v>
      </c>
      <c r="D35" s="1651" t="s">
        <v>306</v>
      </c>
      <c r="E35" s="121">
        <v>1</v>
      </c>
      <c r="F35" s="121">
        <f>'PINTURA '!J23</f>
        <v>28032136</v>
      </c>
      <c r="G35" s="121">
        <f>F35*E35</f>
        <v>28032136</v>
      </c>
      <c r="H35" s="1023">
        <f t="shared" si="6"/>
        <v>3363856.32</v>
      </c>
      <c r="I35" s="121">
        <f>G35+H35</f>
        <v>31395992.32</v>
      </c>
      <c r="J35" s="121">
        <v>0</v>
      </c>
      <c r="K35" s="1240">
        <f t="shared" si="8"/>
        <v>31395992.32</v>
      </c>
      <c r="L35" s="1024"/>
      <c r="M35" s="1024"/>
      <c r="N35" s="1024"/>
      <c r="O35" s="1024"/>
      <c r="P35" s="1024"/>
      <c r="Q35" s="1024"/>
      <c r="R35" s="1024"/>
      <c r="S35" s="1019">
        <f>F35</f>
        <v>28032136</v>
      </c>
      <c r="T35" s="1019"/>
      <c r="U35" s="1019"/>
      <c r="V35" s="1019"/>
      <c r="W35" s="1019"/>
      <c r="X35" s="1019"/>
      <c r="Y35" s="1019"/>
      <c r="Z35" s="1019"/>
      <c r="AA35" s="1019"/>
      <c r="AB35" s="1019"/>
      <c r="AC35" s="1065"/>
      <c r="AD35" s="1020">
        <f t="shared" si="3"/>
        <v>28032136</v>
      </c>
      <c r="AE35" s="1021">
        <f t="shared" si="4"/>
        <v>3363856.3200000003</v>
      </c>
      <c r="AF35" s="1026"/>
      <c r="AG35" s="1025"/>
      <c r="AH35" s="1025"/>
      <c r="AI35" s="1026"/>
      <c r="AJ35" s="1026"/>
      <c r="AK35" s="1027"/>
      <c r="AL35" s="1026"/>
      <c r="AM35" s="1026"/>
    </row>
    <row r="36" spans="2:39" ht="30.75" customHeight="1" x14ac:dyDescent="0.4">
      <c r="B36" s="1763" t="s">
        <v>84</v>
      </c>
      <c r="C36" s="1654" t="s">
        <v>521</v>
      </c>
      <c r="D36" s="1651" t="s">
        <v>565</v>
      </c>
      <c r="E36" s="121">
        <v>4</v>
      </c>
      <c r="F36" s="1029">
        <f>31*5000*10</f>
        <v>1550000</v>
      </c>
      <c r="G36" s="121">
        <f>F36*E36</f>
        <v>6200000</v>
      </c>
      <c r="H36" s="1023">
        <f t="shared" si="6"/>
        <v>744000</v>
      </c>
      <c r="I36" s="121">
        <f>G36+H36</f>
        <v>6944000</v>
      </c>
      <c r="J36" s="121">
        <v>0</v>
      </c>
      <c r="K36" s="1240">
        <f t="shared" si="8"/>
        <v>6944000</v>
      </c>
      <c r="L36" s="1024"/>
      <c r="M36" s="1019">
        <f>F36*1.12</f>
        <v>1736000.0000000002</v>
      </c>
      <c r="N36" s="1024"/>
      <c r="O36" s="1024"/>
      <c r="P36" s="1024">
        <f>279000*1.12</f>
        <v>312480.00000000006</v>
      </c>
      <c r="Q36" s="1024"/>
      <c r="R36" s="1019"/>
      <c r="S36" s="1019"/>
      <c r="T36" s="1019"/>
      <c r="U36" s="1019">
        <f>279000*1.12</f>
        <v>312480.00000000006</v>
      </c>
      <c r="V36" s="1019"/>
      <c r="W36" s="1019"/>
      <c r="X36" s="1019"/>
      <c r="Y36" s="1019"/>
      <c r="Z36" s="1019"/>
      <c r="AA36" s="1019"/>
      <c r="AB36" s="1019"/>
      <c r="AC36" s="1065"/>
      <c r="AD36" s="1020">
        <f t="shared" si="3"/>
        <v>2360960.0000000005</v>
      </c>
      <c r="AE36" s="1021">
        <f t="shared" si="4"/>
        <v>4583040</v>
      </c>
      <c r="AF36" s="1026"/>
      <c r="AG36" s="1025"/>
      <c r="AH36" s="1025"/>
      <c r="AI36" s="1026"/>
      <c r="AJ36" s="1026"/>
      <c r="AK36" s="1027"/>
      <c r="AL36" s="1026"/>
      <c r="AM36" s="1026"/>
    </row>
    <row r="37" spans="2:39" ht="30.6" customHeight="1" x14ac:dyDescent="0.4">
      <c r="B37" s="1765" t="s">
        <v>200</v>
      </c>
      <c r="C37" s="1471" t="s">
        <v>93</v>
      </c>
      <c r="D37" s="1651" t="s">
        <v>12</v>
      </c>
      <c r="E37" s="1029">
        <v>23</v>
      </c>
      <c r="F37" s="121">
        <f>BARANDAS!F22</f>
        <v>246000</v>
      </c>
      <c r="G37" s="121">
        <f>E37*F37</f>
        <v>5658000</v>
      </c>
      <c r="H37" s="1023">
        <f t="shared" si="6"/>
        <v>678960</v>
      </c>
      <c r="I37" s="121">
        <f t="shared" si="10"/>
        <v>6336960</v>
      </c>
      <c r="J37" s="121">
        <v>0</v>
      </c>
      <c r="K37" s="1240">
        <f t="shared" si="8"/>
        <v>6336960</v>
      </c>
      <c r="L37" s="1019"/>
      <c r="M37" s="1024"/>
      <c r="N37" s="1019"/>
      <c r="O37" s="1024"/>
      <c r="P37" s="1024"/>
      <c r="Q37" s="1024">
        <f>G37*0.5</f>
        <v>2829000</v>
      </c>
      <c r="R37" s="1019">
        <f>G37*0.5+H37</f>
        <v>3507960</v>
      </c>
      <c r="S37" s="1024"/>
      <c r="T37" s="1024"/>
      <c r="U37" s="1024"/>
      <c r="V37" s="1024"/>
      <c r="W37" s="1024"/>
      <c r="X37" s="1024"/>
      <c r="Y37" s="1024"/>
      <c r="Z37" s="1024"/>
      <c r="AA37" s="1024"/>
      <c r="AB37" s="1024"/>
      <c r="AC37" s="1066"/>
      <c r="AD37" s="1020">
        <f t="shared" si="3"/>
        <v>6336960</v>
      </c>
      <c r="AE37" s="1021">
        <f t="shared" si="4"/>
        <v>0</v>
      </c>
      <c r="AF37" s="1026"/>
      <c r="AG37" s="1025"/>
      <c r="AH37" s="1025"/>
      <c r="AI37" s="1026"/>
      <c r="AJ37" s="1026"/>
      <c r="AK37" s="1027"/>
      <c r="AL37" s="1026"/>
      <c r="AM37" s="1026"/>
    </row>
    <row r="38" spans="2:39" ht="30.6" customHeight="1" x14ac:dyDescent="0.4">
      <c r="B38" s="1763" t="s">
        <v>84</v>
      </c>
      <c r="C38" s="1471" t="s">
        <v>910</v>
      </c>
      <c r="D38" s="1651" t="s">
        <v>298</v>
      </c>
      <c r="E38" s="1029">
        <f>3200*0+6500</f>
        <v>6500</v>
      </c>
      <c r="F38" s="121">
        <v>25000</v>
      </c>
      <c r="G38" s="121">
        <f t="shared" si="9"/>
        <v>162500000</v>
      </c>
      <c r="H38" s="1023">
        <f>G38*$H$1</f>
        <v>19500000</v>
      </c>
      <c r="I38" s="121">
        <f t="shared" si="10"/>
        <v>182000000</v>
      </c>
      <c r="J38" s="121">
        <v>0</v>
      </c>
      <c r="K38" s="1240">
        <f>I38-J38</f>
        <v>182000000</v>
      </c>
      <c r="L38" s="1019"/>
      <c r="M38" s="1024"/>
      <c r="N38" s="1019"/>
      <c r="O38" s="1024"/>
      <c r="P38" s="1024"/>
      <c r="Q38" s="1024"/>
      <c r="R38" s="1019"/>
      <c r="S38" s="1024">
        <f>G38*0.7</f>
        <v>113750000</v>
      </c>
      <c r="T38" s="1024"/>
      <c r="U38" s="1024"/>
      <c r="V38" s="1024"/>
      <c r="W38" s="1024"/>
      <c r="X38" s="1019">
        <f>(G38*0.3)+H38</f>
        <v>68250000</v>
      </c>
      <c r="Y38" s="1024"/>
      <c r="Z38" s="1024"/>
      <c r="AA38" s="1024"/>
      <c r="AB38" s="1024"/>
      <c r="AC38" s="1066"/>
      <c r="AD38" s="1020">
        <f t="shared" si="3"/>
        <v>182000000</v>
      </c>
      <c r="AE38" s="1021">
        <f t="shared" si="4"/>
        <v>0</v>
      </c>
      <c r="AF38" s="1026"/>
      <c r="AG38" s="1025"/>
      <c r="AH38" s="1025"/>
      <c r="AI38" s="1026"/>
      <c r="AJ38" s="1026"/>
      <c r="AK38" s="1027"/>
      <c r="AL38" s="1026"/>
      <c r="AM38" s="1026"/>
    </row>
    <row r="39" spans="2:39" ht="30.75" customHeight="1" x14ac:dyDescent="0.4">
      <c r="B39" s="1763" t="s">
        <v>84</v>
      </c>
      <c r="C39" s="1471" t="s">
        <v>101</v>
      </c>
      <c r="D39" s="1651" t="s">
        <v>306</v>
      </c>
      <c r="E39" s="1029">
        <v>1</v>
      </c>
      <c r="F39" s="121">
        <f>'REMATES DE MAMPOSTERIA'!K27</f>
        <v>2410000</v>
      </c>
      <c r="G39" s="121">
        <f t="shared" si="9"/>
        <v>2410000</v>
      </c>
      <c r="H39" s="1023">
        <f t="shared" si="6"/>
        <v>289200</v>
      </c>
      <c r="I39" s="121">
        <f t="shared" ref="I39" si="33">G39+H39</f>
        <v>2699200</v>
      </c>
      <c r="J39" s="121">
        <v>0</v>
      </c>
      <c r="K39" s="1240">
        <f t="shared" si="8"/>
        <v>2699200</v>
      </c>
      <c r="L39" s="1019"/>
      <c r="M39" s="1024"/>
      <c r="N39" s="1024"/>
      <c r="O39" s="1024"/>
      <c r="P39" s="1019"/>
      <c r="Q39" s="1024"/>
      <c r="R39" s="1024">
        <v>71000</v>
      </c>
      <c r="S39" s="1024">
        <v>58000</v>
      </c>
      <c r="T39" s="1024">
        <v>120000</v>
      </c>
      <c r="U39" s="1024">
        <v>120000</v>
      </c>
      <c r="V39" s="1024">
        <f>60000+H40+8808.01-216240.01</f>
        <v>111480</v>
      </c>
      <c r="W39" s="1024"/>
      <c r="X39" s="1024"/>
      <c r="Y39" s="1024"/>
      <c r="Z39" s="1024"/>
      <c r="AA39" s="1024"/>
      <c r="AB39" s="1024"/>
      <c r="AC39" s="1066"/>
      <c r="AD39" s="1020">
        <f t="shared" si="3"/>
        <v>480480</v>
      </c>
      <c r="AE39" s="1021">
        <f t="shared" si="4"/>
        <v>2218720</v>
      </c>
      <c r="AF39" s="1026"/>
      <c r="AG39" s="1025"/>
      <c r="AH39" s="1025"/>
      <c r="AI39" s="1026"/>
      <c r="AJ39" s="1026"/>
      <c r="AK39" s="1027"/>
      <c r="AL39" s="1026"/>
      <c r="AM39" s="1026"/>
    </row>
    <row r="40" spans="2:39" ht="30.75" customHeight="1" x14ac:dyDescent="0.4">
      <c r="B40" s="1763" t="s">
        <v>38</v>
      </c>
      <c r="C40" s="1654" t="s">
        <v>400</v>
      </c>
      <c r="D40" s="1655" t="s">
        <v>306</v>
      </c>
      <c r="E40" s="1029">
        <v>1</v>
      </c>
      <c r="F40" s="121">
        <f>'MALLA PUESTA A TIERRA'!Z22</f>
        <v>2157600</v>
      </c>
      <c r="G40" s="121">
        <f t="shared" si="9"/>
        <v>2157600</v>
      </c>
      <c r="H40" s="1023">
        <f t="shared" si="6"/>
        <v>258912</v>
      </c>
      <c r="I40" s="121">
        <f t="shared" si="10"/>
        <v>2416512</v>
      </c>
      <c r="J40" s="121">
        <v>0</v>
      </c>
      <c r="K40" s="1240">
        <f t="shared" si="8"/>
        <v>2416512</v>
      </c>
      <c r="L40" s="1019"/>
      <c r="M40" s="1024"/>
      <c r="N40" s="1024"/>
      <c r="O40" s="1019">
        <v>398271.94400000002</v>
      </c>
      <c r="P40" s="1024"/>
      <c r="Q40" s="1024"/>
      <c r="R40" s="1024"/>
      <c r="S40" s="1024"/>
      <c r="T40" s="1024"/>
      <c r="U40" s="1024"/>
      <c r="V40" s="1024"/>
      <c r="W40" s="1024"/>
      <c r="X40" s="1024"/>
      <c r="Y40" s="1024"/>
      <c r="Z40" s="1024"/>
      <c r="AA40" s="1024"/>
      <c r="AB40" s="1024"/>
      <c r="AC40" s="1066"/>
      <c r="AD40" s="1020">
        <f t="shared" si="3"/>
        <v>398271.94400000002</v>
      </c>
      <c r="AE40" s="1021">
        <f t="shared" si="4"/>
        <v>2018240.0559999999</v>
      </c>
      <c r="AF40" s="1026"/>
      <c r="AG40" s="1025"/>
      <c r="AH40" s="1025"/>
      <c r="AI40" s="1026"/>
      <c r="AJ40" s="1026"/>
      <c r="AK40" s="1027"/>
      <c r="AL40" s="1026"/>
      <c r="AM40" s="1026"/>
    </row>
    <row r="41" spans="2:39" ht="30.75" customHeight="1" x14ac:dyDescent="0.4">
      <c r="B41" s="1763" t="s">
        <v>84</v>
      </c>
      <c r="C41" s="1654" t="s">
        <v>401</v>
      </c>
      <c r="D41" s="1655" t="s">
        <v>306</v>
      </c>
      <c r="E41" s="1029">
        <v>1</v>
      </c>
      <c r="F41" s="121">
        <v>179000</v>
      </c>
      <c r="G41" s="121">
        <f t="shared" si="9"/>
        <v>179000</v>
      </c>
      <c r="H41" s="1023">
        <f t="shared" si="6"/>
        <v>21480</v>
      </c>
      <c r="I41" s="121">
        <f t="shared" si="10"/>
        <v>200480</v>
      </c>
      <c r="J41" s="121">
        <v>0</v>
      </c>
      <c r="K41" s="1240">
        <f t="shared" si="8"/>
        <v>200480</v>
      </c>
      <c r="L41" s="1024"/>
      <c r="M41" s="1024"/>
      <c r="N41" s="1024"/>
      <c r="O41" s="1019">
        <v>50400</v>
      </c>
      <c r="P41" s="1024"/>
      <c r="Q41" s="1024"/>
      <c r="R41" s="1024"/>
      <c r="S41" s="1024"/>
      <c r="T41" s="1024"/>
      <c r="U41" s="1024"/>
      <c r="V41" s="1024"/>
      <c r="W41" s="1024"/>
      <c r="X41" s="1024"/>
      <c r="Y41" s="1024"/>
      <c r="Z41" s="1024"/>
      <c r="AA41" s="1024"/>
      <c r="AB41" s="1024"/>
      <c r="AC41" s="1066"/>
      <c r="AD41" s="1020">
        <f t="shared" si="3"/>
        <v>50400</v>
      </c>
      <c r="AE41" s="1021">
        <f t="shared" si="4"/>
        <v>150080</v>
      </c>
      <c r="AF41" s="1026"/>
      <c r="AG41" s="1025"/>
      <c r="AH41" s="1025"/>
      <c r="AI41" s="1026"/>
      <c r="AJ41" s="1026"/>
      <c r="AK41" s="1027"/>
      <c r="AL41" s="1026"/>
      <c r="AM41" s="1026"/>
    </row>
    <row r="42" spans="2:39" ht="30.75" customHeight="1" x14ac:dyDescent="0.4">
      <c r="B42" s="1763" t="s">
        <v>38</v>
      </c>
      <c r="C42" s="1471" t="s">
        <v>911</v>
      </c>
      <c r="D42" s="1655" t="s">
        <v>19</v>
      </c>
      <c r="E42" s="1029">
        <v>1</v>
      </c>
      <c r="F42" s="121">
        <v>860000000</v>
      </c>
      <c r="G42" s="121">
        <f t="shared" si="9"/>
        <v>860000000</v>
      </c>
      <c r="H42" s="1023">
        <f t="shared" si="6"/>
        <v>103200000</v>
      </c>
      <c r="I42" s="121">
        <f t="shared" si="10"/>
        <v>963200000</v>
      </c>
      <c r="J42" s="121">
        <v>0</v>
      </c>
      <c r="K42" s="1240">
        <f t="shared" si="8"/>
        <v>963200000</v>
      </c>
      <c r="L42" s="1024"/>
      <c r="M42" s="1024"/>
      <c r="N42" s="1024"/>
      <c r="O42" s="1024"/>
      <c r="P42" s="1024"/>
      <c r="Q42" s="1024"/>
      <c r="R42" s="1024"/>
      <c r="S42" s="1024"/>
      <c r="T42" s="1024"/>
      <c r="U42" s="1024"/>
      <c r="V42" s="1024"/>
      <c r="W42" s="1019">
        <f>K42</f>
        <v>963200000</v>
      </c>
      <c r="X42" s="1024"/>
      <c r="Y42" s="1024"/>
      <c r="Z42" s="1024"/>
      <c r="AA42" s="1024"/>
      <c r="AB42" s="1024"/>
      <c r="AC42" s="1066"/>
      <c r="AD42" s="1020">
        <f t="shared" si="3"/>
        <v>963200000</v>
      </c>
      <c r="AE42" s="1021">
        <f t="shared" si="4"/>
        <v>0</v>
      </c>
      <c r="AF42" s="1026"/>
      <c r="AG42" s="1025"/>
      <c r="AH42" s="1025"/>
      <c r="AI42" s="1026"/>
      <c r="AJ42" s="1026"/>
      <c r="AK42" s="1027"/>
      <c r="AL42" s="1026"/>
      <c r="AM42" s="1026"/>
    </row>
    <row r="43" spans="2:39" ht="30.75" customHeight="1" x14ac:dyDescent="0.4">
      <c r="B43" s="1763" t="s">
        <v>38</v>
      </c>
      <c r="C43" s="1471" t="s">
        <v>266</v>
      </c>
      <c r="D43" s="1655" t="s">
        <v>382</v>
      </c>
      <c r="E43" s="1029">
        <v>1</v>
      </c>
      <c r="F43" s="121">
        <f>ILUMINACION!J38</f>
        <v>26547553.719999999</v>
      </c>
      <c r="G43" s="121">
        <f>E43*F43</f>
        <v>26547553.719999999</v>
      </c>
      <c r="H43" s="1023">
        <f t="shared" si="6"/>
        <v>3185706.4463999998</v>
      </c>
      <c r="I43" s="121">
        <f>G43+H43</f>
        <v>29733260.1664</v>
      </c>
      <c r="J43" s="121">
        <v>0</v>
      </c>
      <c r="K43" s="1240">
        <f t="shared" si="8"/>
        <v>29733260.1664</v>
      </c>
      <c r="L43" s="1024"/>
      <c r="M43" s="1024"/>
      <c r="N43" s="1024"/>
      <c r="O43" s="1024"/>
      <c r="P43" s="1024"/>
      <c r="Q43" s="1024"/>
      <c r="R43" s="1024"/>
      <c r="S43" s="1024"/>
      <c r="T43" s="1024"/>
      <c r="U43" s="1024"/>
      <c r="V43" s="1024"/>
      <c r="W43" s="1019">
        <v>5110581.9184000008</v>
      </c>
      <c r="X43" s="1019"/>
      <c r="Y43" s="1024"/>
      <c r="Z43" s="1024"/>
      <c r="AA43" s="1024"/>
      <c r="AB43" s="1024"/>
      <c r="AC43" s="1066"/>
      <c r="AD43" s="1020">
        <f t="shared" si="3"/>
        <v>5110581.9184000008</v>
      </c>
      <c r="AE43" s="1021">
        <f t="shared" si="4"/>
        <v>24622678.248</v>
      </c>
      <c r="AF43" s="1026"/>
      <c r="AG43" s="1025"/>
      <c r="AH43" s="1025"/>
      <c r="AI43" s="1026"/>
      <c r="AJ43" s="1026"/>
      <c r="AK43" s="1027"/>
      <c r="AL43" s="1026"/>
      <c r="AM43" s="1026"/>
    </row>
    <row r="44" spans="2:39" ht="30.75" customHeight="1" x14ac:dyDescent="0.4">
      <c r="B44" s="1763" t="s">
        <v>84</v>
      </c>
      <c r="C44" s="1471" t="s">
        <v>267</v>
      </c>
      <c r="D44" s="1422" t="s">
        <v>306</v>
      </c>
      <c r="E44" s="1028">
        <v>1</v>
      </c>
      <c r="F44" s="1025">
        <v>18500000</v>
      </c>
      <c r="G44" s="1025">
        <f t="shared" si="9"/>
        <v>18500000</v>
      </c>
      <c r="H44" s="1022">
        <f t="shared" si="6"/>
        <v>2220000</v>
      </c>
      <c r="I44" s="121">
        <f t="shared" ref="I44:I52" si="34">G44+H44</f>
        <v>20720000</v>
      </c>
      <c r="J44" s="121">
        <v>0</v>
      </c>
      <c r="K44" s="1240">
        <f t="shared" si="8"/>
        <v>20720000</v>
      </c>
      <c r="L44" s="1019"/>
      <c r="M44" s="1019"/>
      <c r="N44" s="1024"/>
      <c r="O44" s="1024"/>
      <c r="P44" s="1024"/>
      <c r="Q44" s="1024"/>
      <c r="R44" s="1024"/>
      <c r="S44" s="1024"/>
      <c r="T44" s="1024"/>
      <c r="U44" s="1024"/>
      <c r="V44" s="1024"/>
      <c r="W44" s="1019">
        <f>K44*0.7</f>
        <v>14504000</v>
      </c>
      <c r="X44" s="1019">
        <f>I44-W44</f>
        <v>6216000</v>
      </c>
      <c r="Y44" s="1024"/>
      <c r="Z44" s="1024"/>
      <c r="AA44" s="1024"/>
      <c r="AB44" s="1024"/>
      <c r="AC44" s="1066"/>
      <c r="AD44" s="1020">
        <f t="shared" si="3"/>
        <v>20720000</v>
      </c>
      <c r="AE44" s="1021">
        <f t="shared" si="4"/>
        <v>0</v>
      </c>
      <c r="AF44" s="1026"/>
      <c r="AG44" s="1025"/>
      <c r="AH44" s="1025"/>
      <c r="AI44" s="1026"/>
      <c r="AJ44" s="1026"/>
      <c r="AK44" s="1027"/>
      <c r="AL44" s="1026"/>
      <c r="AM44" s="1026"/>
    </row>
    <row r="45" spans="2:39" ht="30.75" customHeight="1" x14ac:dyDescent="0.4">
      <c r="B45" s="1763" t="s">
        <v>38</v>
      </c>
      <c r="C45" s="1471" t="s">
        <v>280</v>
      </c>
      <c r="D45" s="1554" t="s">
        <v>306</v>
      </c>
      <c r="E45" s="1747">
        <v>1</v>
      </c>
      <c r="F45" s="1553">
        <v>1917600</v>
      </c>
      <c r="G45" s="1553">
        <f t="shared" si="9"/>
        <v>1917600</v>
      </c>
      <c r="H45" s="1748">
        <f t="shared" si="6"/>
        <v>230112</v>
      </c>
      <c r="I45" s="1553">
        <f t="shared" si="34"/>
        <v>2147712</v>
      </c>
      <c r="J45" s="121">
        <v>0</v>
      </c>
      <c r="K45" s="1240">
        <f t="shared" si="8"/>
        <v>2147712</v>
      </c>
      <c r="L45" s="1024"/>
      <c r="M45" s="1024"/>
      <c r="N45" s="1024"/>
      <c r="O45" s="1024"/>
      <c r="P45" s="1024"/>
      <c r="Q45" s="1024"/>
      <c r="R45" s="1024"/>
      <c r="S45" s="1024"/>
      <c r="T45" s="1024"/>
      <c r="U45" s="1024"/>
      <c r="V45" s="1024"/>
      <c r="W45" s="1019">
        <f>I45</f>
        <v>2147712</v>
      </c>
      <c r="X45" s="1024"/>
      <c r="Y45" s="1024"/>
      <c r="Z45" s="1024"/>
      <c r="AA45" s="1024"/>
      <c r="AB45" s="1024"/>
      <c r="AC45" s="1066"/>
      <c r="AD45" s="1020">
        <f t="shared" si="3"/>
        <v>2147712</v>
      </c>
      <c r="AE45" s="1021">
        <f t="shared" si="4"/>
        <v>0</v>
      </c>
      <c r="AF45" s="1026"/>
      <c r="AG45" s="1025"/>
      <c r="AH45" s="1025"/>
      <c r="AI45" s="1026"/>
      <c r="AJ45" s="1026"/>
      <c r="AK45" s="1027"/>
      <c r="AL45" s="1026"/>
      <c r="AM45" s="1026"/>
    </row>
    <row r="46" spans="2:39" ht="30.75" customHeight="1" x14ac:dyDescent="0.4">
      <c r="B46" s="1763" t="s">
        <v>84</v>
      </c>
      <c r="C46" s="1471" t="s">
        <v>320</v>
      </c>
      <c r="D46" s="1554" t="s">
        <v>306</v>
      </c>
      <c r="E46" s="1747">
        <v>1</v>
      </c>
      <c r="F46" s="1553">
        <v>185000</v>
      </c>
      <c r="G46" s="1553">
        <f t="shared" si="9"/>
        <v>185000</v>
      </c>
      <c r="H46" s="1748">
        <f t="shared" si="6"/>
        <v>22200</v>
      </c>
      <c r="I46" s="1553">
        <f t="shared" si="34"/>
        <v>207200</v>
      </c>
      <c r="J46" s="121">
        <v>0</v>
      </c>
      <c r="K46" s="1240">
        <f t="shared" si="8"/>
        <v>207200</v>
      </c>
      <c r="L46" s="1024"/>
      <c r="M46" s="1024"/>
      <c r="N46" s="1024"/>
      <c r="O46" s="1024"/>
      <c r="P46" s="1024"/>
      <c r="Q46" s="1024"/>
      <c r="R46" s="1024"/>
      <c r="S46" s="1024"/>
      <c r="T46" s="1024"/>
      <c r="U46" s="1024"/>
      <c r="V46" s="1024"/>
      <c r="W46" s="1024"/>
      <c r="X46" s="1019">
        <f>I46</f>
        <v>207200</v>
      </c>
      <c r="Y46" s="1024"/>
      <c r="Z46" s="1024"/>
      <c r="AA46" s="1024"/>
      <c r="AB46" s="1024"/>
      <c r="AC46" s="1066"/>
      <c r="AD46" s="1020">
        <f t="shared" si="3"/>
        <v>207200</v>
      </c>
      <c r="AE46" s="1021">
        <f t="shared" si="4"/>
        <v>0</v>
      </c>
      <c r="AF46" s="1026"/>
      <c r="AG46" s="1025"/>
      <c r="AH46" s="1025"/>
      <c r="AI46" s="1026"/>
      <c r="AJ46" s="1026"/>
      <c r="AK46" s="1027"/>
      <c r="AL46" s="1026"/>
      <c r="AM46" s="1026"/>
    </row>
    <row r="47" spans="2:39" ht="30.75" customHeight="1" x14ac:dyDescent="0.4">
      <c r="B47" s="1763" t="s">
        <v>38</v>
      </c>
      <c r="C47" s="1471" t="s">
        <v>135</v>
      </c>
      <c r="D47" s="1655" t="s">
        <v>306</v>
      </c>
      <c r="E47" s="1029">
        <v>1</v>
      </c>
      <c r="F47" s="121">
        <f>'POSTE Y HERRAJE'!E72*1.25</f>
        <v>4922072.9749999996</v>
      </c>
      <c r="G47" s="121">
        <f t="shared" ref="G47:G52" si="35">F47*E47</f>
        <v>4922072.9749999996</v>
      </c>
      <c r="H47" s="1023">
        <f t="shared" si="6"/>
        <v>590648.75699999998</v>
      </c>
      <c r="I47" s="121">
        <f t="shared" si="34"/>
        <v>5512721.7319999998</v>
      </c>
      <c r="J47" s="121">
        <v>0</v>
      </c>
      <c r="K47" s="1240">
        <f t="shared" si="8"/>
        <v>5512721.7319999998</v>
      </c>
      <c r="L47" s="1019"/>
      <c r="M47" s="1024"/>
      <c r="N47" s="1024"/>
      <c r="O47" s="1024"/>
      <c r="P47" s="1024"/>
      <c r="Q47" s="1024"/>
      <c r="R47" s="1024"/>
      <c r="S47" s="1024"/>
      <c r="T47" s="1024"/>
      <c r="U47" s="1024"/>
      <c r="V47" s="1024"/>
      <c r="W47" s="1019">
        <f>I47</f>
        <v>5512721.7319999998</v>
      </c>
      <c r="X47" s="1024"/>
      <c r="Y47" s="1024"/>
      <c r="Z47" s="1024"/>
      <c r="AA47" s="1024"/>
      <c r="AB47" s="1024"/>
      <c r="AC47" s="1066"/>
      <c r="AD47" s="1020">
        <f t="shared" si="3"/>
        <v>5512721.7319999998</v>
      </c>
      <c r="AE47" s="1021">
        <f t="shared" si="4"/>
        <v>0</v>
      </c>
      <c r="AF47" s="1026"/>
      <c r="AG47" s="1025"/>
      <c r="AH47" s="1025"/>
      <c r="AI47" s="1026"/>
      <c r="AJ47" s="1026"/>
      <c r="AK47" s="1027"/>
      <c r="AL47" s="1026"/>
      <c r="AM47" s="1026"/>
    </row>
    <row r="48" spans="2:39" ht="30.75" customHeight="1" x14ac:dyDescent="0.4">
      <c r="B48" s="1765" t="s">
        <v>38</v>
      </c>
      <c r="C48" s="1471" t="s">
        <v>393</v>
      </c>
      <c r="D48" s="1655" t="s">
        <v>306</v>
      </c>
      <c r="E48" s="1029">
        <v>1</v>
      </c>
      <c r="F48" s="121">
        <f>CABLES!K36</f>
        <v>67615305</v>
      </c>
      <c r="G48" s="121">
        <f t="shared" si="35"/>
        <v>67615305</v>
      </c>
      <c r="H48" s="1023">
        <f t="shared" si="6"/>
        <v>8113836.5999999996</v>
      </c>
      <c r="I48" s="121">
        <f t="shared" si="34"/>
        <v>75729141.599999994</v>
      </c>
      <c r="J48" s="121">
        <v>0</v>
      </c>
      <c r="K48" s="1240">
        <f t="shared" si="8"/>
        <v>75729141.599999994</v>
      </c>
      <c r="L48" s="1024"/>
      <c r="M48" s="1024"/>
      <c r="N48" s="1024"/>
      <c r="O48" s="1024"/>
      <c r="P48" s="1024"/>
      <c r="Q48" s="1024"/>
      <c r="R48" s="1024"/>
      <c r="S48" s="1024"/>
      <c r="T48" s="1024"/>
      <c r="U48" s="1024"/>
      <c r="V48" s="1024"/>
      <c r="W48" s="1019">
        <f>I48</f>
        <v>75729141.599999994</v>
      </c>
      <c r="X48" s="1024"/>
      <c r="Y48" s="1024"/>
      <c r="Z48" s="1024"/>
      <c r="AA48" s="1024"/>
      <c r="AB48" s="1024"/>
      <c r="AC48" s="1066"/>
      <c r="AD48" s="1020">
        <f t="shared" si="3"/>
        <v>75729141.599999994</v>
      </c>
      <c r="AE48" s="1021">
        <f t="shared" si="4"/>
        <v>0</v>
      </c>
      <c r="AF48" s="1026"/>
      <c r="AG48" s="1025"/>
      <c r="AH48" s="1025"/>
      <c r="AI48" s="1026"/>
      <c r="AJ48" s="1026"/>
      <c r="AK48" s="1027"/>
      <c r="AL48" s="1026"/>
      <c r="AM48" s="1026"/>
    </row>
    <row r="49" spans="2:39" ht="30.75" customHeight="1" x14ac:dyDescent="0.4">
      <c r="B49" s="1763" t="s">
        <v>84</v>
      </c>
      <c r="C49" s="1654" t="s">
        <v>315</v>
      </c>
      <c r="D49" s="1655" t="s">
        <v>306</v>
      </c>
      <c r="E49" s="1029">
        <v>1</v>
      </c>
      <c r="F49" s="121">
        <f>'PUERTAS DE MADERA'!I28+'PUERTAS DE MADERA'!I32</f>
        <v>18930000</v>
      </c>
      <c r="G49" s="121">
        <f t="shared" si="35"/>
        <v>18930000</v>
      </c>
      <c r="H49" s="1023">
        <f t="shared" si="6"/>
        <v>2271600</v>
      </c>
      <c r="I49" s="121">
        <f t="shared" si="34"/>
        <v>21201600</v>
      </c>
      <c r="J49" s="121">
        <v>0</v>
      </c>
      <c r="K49" s="1240">
        <f t="shared" si="8"/>
        <v>21201600</v>
      </c>
      <c r="L49" s="1024"/>
      <c r="M49" s="1019"/>
      <c r="N49" s="1019"/>
      <c r="O49" s="1019"/>
      <c r="P49" s="1019"/>
      <c r="Q49" s="1019"/>
      <c r="R49" s="1019"/>
      <c r="S49" s="1019"/>
      <c r="T49" s="1024"/>
      <c r="U49" s="1024"/>
      <c r="V49" s="1024">
        <f>G49*0.3</f>
        <v>5679000</v>
      </c>
      <c r="W49" s="1019">
        <f>(G49-V49)+H49</f>
        <v>15522600</v>
      </c>
      <c r="X49" s="1024"/>
      <c r="Y49" s="1019"/>
      <c r="Z49" s="1019"/>
      <c r="AA49" s="1024"/>
      <c r="AB49" s="1024"/>
      <c r="AC49" s="1066"/>
      <c r="AD49" s="1020">
        <f t="shared" si="3"/>
        <v>21201600</v>
      </c>
      <c r="AE49" s="1021">
        <f t="shared" si="4"/>
        <v>0</v>
      </c>
      <c r="AF49" s="1026"/>
      <c r="AG49" s="1025"/>
      <c r="AH49" s="1025"/>
      <c r="AI49" s="1026"/>
      <c r="AJ49" s="1026"/>
      <c r="AK49" s="1027"/>
      <c r="AL49" s="1026"/>
      <c r="AM49" s="1026"/>
    </row>
    <row r="50" spans="2:39" ht="30.75" customHeight="1" x14ac:dyDescent="0.4">
      <c r="B50" s="1763" t="s">
        <v>38</v>
      </c>
      <c r="C50" s="1654" t="s">
        <v>340</v>
      </c>
      <c r="D50" s="1422" t="s">
        <v>306</v>
      </c>
      <c r="E50" s="1028">
        <v>1</v>
      </c>
      <c r="F50" s="1025">
        <f>'AVISOS CORPOREOS'!K17</f>
        <v>1020000</v>
      </c>
      <c r="G50" s="1025">
        <f t="shared" si="35"/>
        <v>1020000</v>
      </c>
      <c r="H50" s="1022">
        <f>G50*$H$1</f>
        <v>122400</v>
      </c>
      <c r="I50" s="121">
        <f>G50+H50</f>
        <v>1142400</v>
      </c>
      <c r="J50" s="121">
        <v>0</v>
      </c>
      <c r="K50" s="1240">
        <f t="shared" si="8"/>
        <v>1142400</v>
      </c>
      <c r="L50" s="1019"/>
      <c r="M50" s="1019"/>
      <c r="N50" s="1019"/>
      <c r="O50" s="1019"/>
      <c r="P50" s="1019"/>
      <c r="Q50" s="1019"/>
      <c r="R50" s="1019"/>
      <c r="S50" s="1019"/>
      <c r="T50" s="1019"/>
      <c r="U50" s="1019"/>
      <c r="V50" s="1019"/>
      <c r="W50" s="1024"/>
      <c r="X50" s="1019">
        <v>175500</v>
      </c>
      <c r="Y50" s="1019"/>
      <c r="Z50" s="1024"/>
      <c r="AA50" s="1019">
        <v>217620</v>
      </c>
      <c r="AB50" s="1019"/>
      <c r="AC50" s="1065"/>
      <c r="AD50" s="1020">
        <f t="shared" si="3"/>
        <v>393120</v>
      </c>
      <c r="AE50" s="1021">
        <f t="shared" si="4"/>
        <v>749280</v>
      </c>
      <c r="AF50" s="1026"/>
      <c r="AG50" s="1025"/>
      <c r="AH50" s="1025"/>
      <c r="AI50" s="1026"/>
      <c r="AJ50" s="1026"/>
      <c r="AK50" s="1027"/>
      <c r="AL50" s="1026"/>
      <c r="AM50" s="1026"/>
    </row>
    <row r="51" spans="2:39" ht="30.75" customHeight="1" x14ac:dyDescent="0.4">
      <c r="B51" s="1763" t="s">
        <v>84</v>
      </c>
      <c r="C51" s="1654" t="s">
        <v>341</v>
      </c>
      <c r="D51" s="1422" t="s">
        <v>306</v>
      </c>
      <c r="E51" s="1028">
        <v>2</v>
      </c>
      <c r="F51" s="1025">
        <v>125000</v>
      </c>
      <c r="G51" s="1025">
        <f t="shared" si="35"/>
        <v>250000</v>
      </c>
      <c r="H51" s="1022">
        <f t="shared" si="6"/>
        <v>30000</v>
      </c>
      <c r="I51" s="121">
        <f>G51+H51</f>
        <v>280000</v>
      </c>
      <c r="J51" s="121">
        <v>0</v>
      </c>
      <c r="K51" s="1240">
        <f t="shared" si="8"/>
        <v>280000</v>
      </c>
      <c r="L51" s="1019"/>
      <c r="M51" s="1019"/>
      <c r="N51" s="1019"/>
      <c r="O51" s="1019"/>
      <c r="P51" s="1019"/>
      <c r="Q51" s="1019"/>
      <c r="R51" s="1019"/>
      <c r="S51" s="1019"/>
      <c r="T51" s="1024"/>
      <c r="U51" s="1024"/>
      <c r="V51" s="1024"/>
      <c r="W51" s="1024"/>
      <c r="X51" s="1019"/>
      <c r="Y51" s="1019">
        <f>I51*100%</f>
        <v>280000</v>
      </c>
      <c r="Z51" s="1024"/>
      <c r="AA51" s="1024"/>
      <c r="AB51" s="1024"/>
      <c r="AC51" s="1066"/>
      <c r="AD51" s="1020">
        <f t="shared" si="3"/>
        <v>280000</v>
      </c>
      <c r="AE51" s="1021">
        <f t="shared" si="4"/>
        <v>0</v>
      </c>
      <c r="AF51" s="1026"/>
      <c r="AG51" s="1025"/>
      <c r="AH51" s="1025"/>
      <c r="AI51" s="1026"/>
      <c r="AJ51" s="1026"/>
      <c r="AK51" s="1027"/>
      <c r="AL51" s="1026"/>
      <c r="AM51" s="1026"/>
    </row>
    <row r="52" spans="2:39" ht="30.75" customHeight="1" thickBot="1" x14ac:dyDescent="0.45">
      <c r="B52" s="1766" t="s">
        <v>308</v>
      </c>
      <c r="C52" s="1761" t="s">
        <v>307</v>
      </c>
      <c r="D52" s="1758" t="s">
        <v>306</v>
      </c>
      <c r="E52" s="1759">
        <v>1</v>
      </c>
      <c r="F52" s="1030">
        <f>PAISAJISMO!K21</f>
        <v>3290000</v>
      </c>
      <c r="G52" s="1030">
        <f t="shared" si="35"/>
        <v>3290000</v>
      </c>
      <c r="H52" s="1760">
        <f t="shared" si="6"/>
        <v>394800</v>
      </c>
      <c r="I52" s="1030">
        <f t="shared" si="34"/>
        <v>3684800</v>
      </c>
      <c r="J52" s="1030">
        <v>0</v>
      </c>
      <c r="K52" s="1241">
        <f t="shared" si="8"/>
        <v>3684800</v>
      </c>
      <c r="L52" s="1024"/>
      <c r="M52" s="1019"/>
      <c r="N52" s="1019"/>
      <c r="O52" s="1019"/>
      <c r="P52" s="1019"/>
      <c r="Q52" s="1019"/>
      <c r="R52" s="1019"/>
      <c r="S52" s="1019"/>
      <c r="T52" s="1024">
        <f>0.5*G52</f>
        <v>1645000</v>
      </c>
      <c r="U52" s="1024"/>
      <c r="V52" s="1024"/>
      <c r="W52" s="1024"/>
      <c r="X52" s="1024">
        <f>0.5*G52+0.12*G52</f>
        <v>2039800</v>
      </c>
      <c r="Y52" s="1024"/>
      <c r="Z52" s="1024"/>
      <c r="AA52" s="1024"/>
      <c r="AB52" s="1024"/>
      <c r="AC52" s="1066"/>
      <c r="AD52" s="1020">
        <f t="shared" si="3"/>
        <v>3684800</v>
      </c>
      <c r="AE52" s="1021">
        <f t="shared" si="4"/>
        <v>0</v>
      </c>
      <c r="AF52" s="1026"/>
      <c r="AG52" s="1025"/>
      <c r="AH52" s="1025"/>
      <c r="AI52" s="1026"/>
      <c r="AJ52" s="1026"/>
      <c r="AK52" s="1027"/>
      <c r="AL52" s="1026"/>
      <c r="AM52" s="1026"/>
    </row>
    <row r="53" spans="2:39" ht="40.200000000000003" customHeight="1" thickBot="1" x14ac:dyDescent="0.45">
      <c r="E53" s="1025"/>
      <c r="F53" s="1025"/>
      <c r="G53" s="121"/>
      <c r="H53" s="1025"/>
      <c r="I53" s="1767">
        <f>SUM(I6:I52)</f>
        <v>2788364240.7667065</v>
      </c>
      <c r="J53" s="1768">
        <f>SUM(J6:J52)</f>
        <v>0</v>
      </c>
      <c r="K53" s="1769">
        <f>I53-J53</f>
        <v>2788364240.7667065</v>
      </c>
      <c r="L53" s="1031">
        <f t="shared" ref="L53:AD53" si="36">SUM(L5:L52)</f>
        <v>89911975.62990655</v>
      </c>
      <c r="M53" s="1031">
        <f t="shared" si="36"/>
        <v>196647232</v>
      </c>
      <c r="N53" s="1031">
        <f t="shared" si="36"/>
        <v>478167674.00000006</v>
      </c>
      <c r="O53" s="1031">
        <f t="shared" si="36"/>
        <v>17333305.906399999</v>
      </c>
      <c r="P53" s="1031">
        <f t="shared" si="36"/>
        <v>51469653</v>
      </c>
      <c r="Q53" s="1031">
        <f t="shared" si="36"/>
        <v>149814300.00000003</v>
      </c>
      <c r="R53" s="1031">
        <f t="shared" si="36"/>
        <v>69213155</v>
      </c>
      <c r="S53" s="1031">
        <f t="shared" si="36"/>
        <v>374388155.12</v>
      </c>
      <c r="T53" s="1031">
        <f t="shared" si="36"/>
        <v>12356383.24</v>
      </c>
      <c r="U53" s="1031">
        <f t="shared" si="36"/>
        <v>62368123.239999995</v>
      </c>
      <c r="V53" s="1031">
        <f t="shared" si="36"/>
        <v>28579903.239999998</v>
      </c>
      <c r="W53" s="1031">
        <f t="shared" si="36"/>
        <v>1083022640.4904001</v>
      </c>
      <c r="X53" s="1031">
        <f t="shared" si="36"/>
        <v>77880783.239999995</v>
      </c>
      <c r="Y53" s="1031">
        <f t="shared" si="36"/>
        <v>9185163.0159999989</v>
      </c>
      <c r="Z53" s="1031">
        <f t="shared" si="36"/>
        <v>0</v>
      </c>
      <c r="AA53" s="1031">
        <f t="shared" si="36"/>
        <v>217620</v>
      </c>
      <c r="AB53" s="1031">
        <f t="shared" si="36"/>
        <v>0</v>
      </c>
      <c r="AC53" s="1031">
        <f t="shared" si="36"/>
        <v>0</v>
      </c>
      <c r="AD53" s="1032">
        <f t="shared" si="36"/>
        <v>2700556067.1227064</v>
      </c>
      <c r="AE53" s="1021">
        <f t="shared" ref="AE53" si="37">K53-AD53</f>
        <v>87808173.644000053</v>
      </c>
      <c r="AF53" s="1026"/>
      <c r="AG53" s="1026"/>
      <c r="AH53" s="1026"/>
      <c r="AI53" s="1026"/>
      <c r="AJ53" s="1026"/>
      <c r="AK53" s="1026"/>
      <c r="AL53" s="1026"/>
      <c r="AM53" s="1026"/>
    </row>
    <row r="54" spans="2:39" ht="20.100000000000001" customHeight="1" thickBot="1" x14ac:dyDescent="0.45">
      <c r="E54" s="1025"/>
      <c r="F54" s="1033"/>
      <c r="G54" s="1033"/>
      <c r="H54" s="1033"/>
      <c r="I54" s="1033"/>
      <c r="J54" s="1026"/>
      <c r="K54" s="1026"/>
      <c r="L54" s="1034">
        <f>+L53</f>
        <v>89911975.62990655</v>
      </c>
      <c r="M54" s="1035">
        <f>L54+M53</f>
        <v>286559207.62990654</v>
      </c>
      <c r="N54" s="1035">
        <f>M54+N53</f>
        <v>764726881.62990665</v>
      </c>
      <c r="O54" s="1035">
        <f t="shared" ref="O54:P54" si="38">N54+O53</f>
        <v>782060187.53630662</v>
      </c>
      <c r="P54" s="1035">
        <f t="shared" si="38"/>
        <v>833529840.53630662</v>
      </c>
      <c r="Q54" s="1035">
        <f t="shared" ref="Q54" si="39">P54+Q53</f>
        <v>983344140.53630662</v>
      </c>
      <c r="R54" s="1035">
        <f t="shared" ref="R54" si="40">Q54+R53</f>
        <v>1052557295.5363066</v>
      </c>
      <c r="S54" s="1036">
        <f t="shared" ref="S54" si="41">R54+S53</f>
        <v>1426945450.6563067</v>
      </c>
      <c r="T54" s="1035">
        <f t="shared" ref="T54" si="42">S54+T53</f>
        <v>1439301833.8963068</v>
      </c>
      <c r="U54" s="1035">
        <f t="shared" ref="U54" si="43">T54+U53</f>
        <v>1501669957.1363068</v>
      </c>
      <c r="V54" s="1035">
        <f t="shared" ref="V54" si="44">U54+V53</f>
        <v>1530249860.3763068</v>
      </c>
      <c r="W54" s="1035">
        <f t="shared" ref="W54" si="45">V54+W53</f>
        <v>2613272500.8667068</v>
      </c>
      <c r="X54" s="1035">
        <f t="shared" ref="X54" si="46">W54+X53</f>
        <v>2691153284.1067066</v>
      </c>
      <c r="Y54" s="1035">
        <f t="shared" ref="Y54" si="47">X54+Y53</f>
        <v>2700338447.1227064</v>
      </c>
      <c r="Z54" s="1035">
        <f t="shared" ref="Z54" si="48">Y54+Z53</f>
        <v>2700338447.1227064</v>
      </c>
      <c r="AA54" s="1035">
        <f>Z54+AA53</f>
        <v>2700556067.1227064</v>
      </c>
      <c r="AB54" s="1035">
        <f t="shared" ref="AB54" si="49">AA54+AB53</f>
        <v>2700556067.1227064</v>
      </c>
      <c r="AC54" s="1035">
        <f>AB54+AC53</f>
        <v>2700556067.1227064</v>
      </c>
      <c r="AD54" s="1026"/>
      <c r="AE54" s="1037" t="s">
        <v>517</v>
      </c>
      <c r="AF54" s="1026"/>
      <c r="AG54" s="1026"/>
      <c r="AH54" s="1026"/>
      <c r="AI54" s="1026"/>
      <c r="AJ54" s="1026"/>
      <c r="AK54" s="1026"/>
      <c r="AL54" s="1026"/>
      <c r="AM54" s="1026"/>
    </row>
    <row r="55" spans="2:39" ht="20.100000000000001" customHeight="1" x14ac:dyDescent="0.35">
      <c r="E55" s="1025"/>
      <c r="F55" s="1033"/>
      <c r="G55" s="1033"/>
      <c r="H55" s="1033"/>
      <c r="I55" s="1033"/>
      <c r="J55" s="1026"/>
      <c r="K55" s="1026"/>
      <c r="L55" s="1026"/>
      <c r="M55" s="1026"/>
      <c r="N55" s="1026"/>
      <c r="O55" s="1026"/>
      <c r="P55" s="1026"/>
      <c r="Q55" s="1026"/>
      <c r="R55" s="1026"/>
      <c r="S55" s="1026"/>
      <c r="T55" s="1026"/>
      <c r="U55" s="1026"/>
      <c r="V55" s="1026"/>
      <c r="W55" s="1026"/>
      <c r="X55" s="1026"/>
      <c r="Y55" s="1026"/>
      <c r="Z55" s="1026"/>
      <c r="AA55" s="1026"/>
      <c r="AB55" s="1026"/>
      <c r="AC55" s="1026"/>
      <c r="AD55" s="1026"/>
      <c r="AE55" s="1037"/>
      <c r="AF55" s="1026"/>
      <c r="AG55" s="1026"/>
      <c r="AH55" s="1026"/>
      <c r="AI55" s="1026"/>
      <c r="AJ55" s="1026"/>
      <c r="AK55" s="1026"/>
      <c r="AL55" s="1026"/>
      <c r="AM55" s="1026"/>
    </row>
    <row r="56" spans="2:39" ht="20.100000000000001" customHeight="1" x14ac:dyDescent="0.35">
      <c r="C56" s="1749"/>
      <c r="E56" s="1025"/>
      <c r="F56" s="1033"/>
      <c r="G56" s="1033"/>
      <c r="H56" s="1033"/>
      <c r="I56" s="1033"/>
      <c r="J56" s="1026"/>
      <c r="K56" s="1026"/>
      <c r="L56" s="1026"/>
      <c r="M56" s="1026"/>
      <c r="N56" s="1026"/>
      <c r="O56" s="1026"/>
      <c r="P56" s="1026"/>
      <c r="Q56" s="1026"/>
      <c r="R56" s="1026"/>
      <c r="S56" s="1026"/>
      <c r="T56" s="1026"/>
      <c r="U56" s="1026"/>
      <c r="V56" s="1026"/>
      <c r="W56" s="1026"/>
      <c r="X56" s="1026"/>
      <c r="Y56" s="1026"/>
      <c r="Z56" s="1026"/>
      <c r="AA56" s="1026"/>
      <c r="AB56" s="1026"/>
      <c r="AC56" s="1026"/>
      <c r="AD56" s="1026"/>
      <c r="AE56" s="1037"/>
      <c r="AF56" s="1026"/>
      <c r="AG56" s="1026"/>
      <c r="AH56" s="1026"/>
      <c r="AI56" s="1026"/>
      <c r="AJ56" s="1026"/>
      <c r="AK56" s="1026"/>
      <c r="AL56" s="1026"/>
      <c r="AM56" s="1026"/>
    </row>
    <row r="57" spans="2:39" x14ac:dyDescent="0.35">
      <c r="C57" s="1749"/>
      <c r="E57" s="1025"/>
      <c r="F57" s="1033"/>
      <c r="G57" s="1033"/>
      <c r="H57" s="1033"/>
      <c r="I57" s="1033"/>
      <c r="J57" s="1026"/>
      <c r="K57" s="1026"/>
      <c r="L57" s="1026"/>
      <c r="M57" s="1026"/>
      <c r="N57" s="1026"/>
      <c r="O57" s="1026"/>
      <c r="P57" s="1026"/>
      <c r="Q57" s="1026"/>
      <c r="R57" s="1026"/>
      <c r="S57" s="1026"/>
      <c r="T57" s="1026"/>
      <c r="U57" s="1026"/>
      <c r="V57" s="1026"/>
      <c r="W57" s="1026"/>
      <c r="X57" s="1026"/>
      <c r="Y57" s="1026"/>
      <c r="Z57" s="1026"/>
      <c r="AA57" s="1026"/>
      <c r="AB57" s="1026"/>
      <c r="AC57" s="1026"/>
      <c r="AD57" s="1026"/>
      <c r="AE57" s="1037"/>
      <c r="AF57" s="1026"/>
      <c r="AG57" s="1026"/>
      <c r="AH57" s="1026"/>
      <c r="AI57" s="1026"/>
      <c r="AJ57" s="1026"/>
      <c r="AK57" s="1026"/>
      <c r="AL57" s="1026"/>
      <c r="AM57" s="1026"/>
    </row>
    <row r="58" spans="2:39" x14ac:dyDescent="0.35">
      <c r="C58" s="1749"/>
      <c r="E58" s="1025"/>
      <c r="F58" s="1033"/>
      <c r="G58" s="1033"/>
      <c r="H58" s="1033"/>
      <c r="I58" s="1033"/>
      <c r="J58" s="1026"/>
      <c r="K58" s="1026"/>
      <c r="L58" s="1026"/>
      <c r="M58" s="1026"/>
      <c r="N58" s="1026"/>
      <c r="O58" s="1026"/>
      <c r="P58" s="1026"/>
      <c r="Q58" s="1026"/>
      <c r="R58" s="1026"/>
      <c r="S58" s="1026"/>
      <c r="T58" s="1026"/>
      <c r="U58" s="1026"/>
      <c r="V58" s="1026"/>
      <c r="W58" s="1026"/>
      <c r="X58" s="1026"/>
      <c r="Y58" s="1026"/>
      <c r="Z58" s="1026"/>
      <c r="AA58" s="1026"/>
      <c r="AB58" s="1026"/>
      <c r="AC58" s="1026"/>
      <c r="AD58" s="1026"/>
      <c r="AE58" s="1037"/>
      <c r="AF58" s="1026"/>
      <c r="AG58" s="1026"/>
      <c r="AH58" s="1026"/>
      <c r="AI58" s="1026"/>
      <c r="AJ58" s="1026"/>
      <c r="AK58" s="1026"/>
      <c r="AL58" s="1026"/>
      <c r="AM58" s="1026"/>
    </row>
    <row r="59" spans="2:39" x14ac:dyDescent="0.35">
      <c r="C59" s="1749"/>
    </row>
    <row r="60" spans="2:39" x14ac:dyDescent="0.35">
      <c r="C60" s="1749"/>
    </row>
    <row r="61" spans="2:39" x14ac:dyDescent="0.35">
      <c r="C61" s="1749"/>
    </row>
    <row r="62" spans="2:39" x14ac:dyDescent="0.35">
      <c r="C62" s="1749"/>
    </row>
  </sheetData>
  <mergeCells count="5">
    <mergeCell ref="AE4:AF4"/>
    <mergeCell ref="L2:O2"/>
    <mergeCell ref="P2:T2"/>
    <mergeCell ref="U2:X2"/>
    <mergeCell ref="Y2:AB2"/>
  </mergeCells>
  <pageMargins left="0.7" right="0.7" top="0.75" bottom="0.75" header="0.3" footer="0.3"/>
  <pageSetup scale="8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FF0000"/>
  </sheetPr>
  <dimension ref="A1:BH328"/>
  <sheetViews>
    <sheetView topLeftCell="C69" zoomScale="85" zoomScaleNormal="85" workbookViewId="0">
      <selection activeCell="E77" sqref="E77"/>
    </sheetView>
  </sheetViews>
  <sheetFormatPr baseColWidth="10" defaultColWidth="11.44140625" defaultRowHeight="15.6" x14ac:dyDescent="0.3"/>
  <cols>
    <col min="1" max="1" width="11.44140625" style="346"/>
    <col min="2" max="2" width="65.109375" style="346" customWidth="1"/>
    <col min="3" max="3" width="24.88671875" style="346" customWidth="1"/>
    <col min="4" max="4" width="51.77734375" style="346" customWidth="1"/>
    <col min="5" max="5" width="53.109375" style="346" customWidth="1"/>
    <col min="6" max="6" width="23.33203125" style="346" customWidth="1"/>
    <col min="7" max="7" width="21.21875" style="346" customWidth="1"/>
    <col min="8" max="8" width="26.77734375" style="346" customWidth="1"/>
    <col min="9" max="9" width="24.77734375" style="346" customWidth="1"/>
    <col min="10" max="11" width="24.44140625" style="346" customWidth="1"/>
    <col min="12" max="12" width="17.5546875" style="346" bestFit="1" customWidth="1"/>
    <col min="13" max="20" width="17.5546875" style="346" customWidth="1"/>
    <col min="21" max="21" width="23.88671875" style="346" customWidth="1"/>
    <col min="22" max="22" width="17" style="346" customWidth="1"/>
    <col min="23" max="23" width="19.109375" style="346" customWidth="1"/>
    <col min="24" max="24" width="20" style="346" customWidth="1"/>
    <col min="25" max="25" width="21.33203125" style="346" customWidth="1"/>
    <col min="26" max="16384" width="11.44140625" style="346"/>
  </cols>
  <sheetData>
    <row r="1" spans="4:25" ht="15.75" customHeight="1" thickBot="1" x14ac:dyDescent="0.35">
      <c r="D1" s="533"/>
      <c r="E1" s="2092" t="s">
        <v>121</v>
      </c>
      <c r="F1" s="2092"/>
      <c r="G1" s="2092"/>
      <c r="H1" s="2092"/>
      <c r="I1" s="2092"/>
      <c r="J1" s="2092"/>
      <c r="K1" s="2092"/>
      <c r="L1" s="2092"/>
      <c r="M1" s="2092"/>
      <c r="N1" s="2092"/>
      <c r="O1" s="2092"/>
      <c r="P1" s="2092"/>
      <c r="Q1" s="2092"/>
      <c r="R1" s="2092"/>
      <c r="S1" s="2092"/>
      <c r="T1" s="2092"/>
      <c r="U1" s="2092"/>
      <c r="V1" s="2092"/>
      <c r="W1" s="2092"/>
      <c r="X1" s="534"/>
      <c r="Y1" s="534"/>
    </row>
    <row r="2" spans="4:25" ht="15.75" customHeight="1" thickBot="1" x14ac:dyDescent="0.3">
      <c r="D2" s="533"/>
      <c r="H2" s="399"/>
      <c r="I2" s="2093" t="s">
        <v>134</v>
      </c>
      <c r="J2" s="2093"/>
      <c r="K2" s="2093"/>
      <c r="L2" s="1938"/>
      <c r="M2" s="1938"/>
      <c r="N2" s="1938"/>
      <c r="O2" s="1938"/>
      <c r="P2" s="1938"/>
      <c r="Q2" s="1938"/>
      <c r="R2" s="1938"/>
      <c r="S2" s="1938"/>
      <c r="T2" s="1938"/>
      <c r="U2" s="1938"/>
      <c r="V2" s="1938"/>
      <c r="W2" s="1939"/>
      <c r="X2" s="534"/>
      <c r="Y2" s="534"/>
    </row>
    <row r="3" spans="4:25" ht="15.75" customHeight="1" x14ac:dyDescent="0.25">
      <c r="D3" s="533"/>
      <c r="H3" s="282"/>
      <c r="I3" s="2094" t="s">
        <v>0</v>
      </c>
      <c r="J3" s="2095"/>
      <c r="K3" s="2096"/>
      <c r="L3" s="2097" t="s">
        <v>0</v>
      </c>
      <c r="M3" s="2098"/>
      <c r="N3" s="2094" t="s">
        <v>0</v>
      </c>
      <c r="O3" s="2095"/>
      <c r="P3" s="2096"/>
      <c r="Q3" s="2097" t="s">
        <v>0</v>
      </c>
      <c r="R3" s="2098"/>
      <c r="S3" s="525"/>
      <c r="T3" s="525"/>
      <c r="U3" s="525"/>
      <c r="V3" s="2097" t="s">
        <v>0</v>
      </c>
      <c r="W3" s="2098"/>
      <c r="X3" s="534"/>
      <c r="Y3" s="534"/>
    </row>
    <row r="4" spans="4:25" ht="15.75" customHeight="1" thickBot="1" x14ac:dyDescent="0.3">
      <c r="D4" s="533"/>
      <c r="H4" s="282"/>
      <c r="I4" s="2100" t="s">
        <v>1</v>
      </c>
      <c r="J4" s="2101"/>
      <c r="K4" s="519" t="s">
        <v>2</v>
      </c>
      <c r="L4" s="520" t="s">
        <v>1</v>
      </c>
      <c r="M4" s="521" t="s">
        <v>2</v>
      </c>
      <c r="N4" s="2100" t="s">
        <v>1</v>
      </c>
      <c r="O4" s="2101"/>
      <c r="P4" s="519" t="s">
        <v>2</v>
      </c>
      <c r="Q4" s="522" t="s">
        <v>3</v>
      </c>
      <c r="R4" s="523" t="s">
        <v>4</v>
      </c>
      <c r="S4" s="690"/>
      <c r="T4" s="690"/>
      <c r="U4" s="690"/>
      <c r="V4" s="522" t="s">
        <v>3</v>
      </c>
      <c r="W4" s="523" t="s">
        <v>4</v>
      </c>
      <c r="X4" s="534"/>
      <c r="Y4" s="534"/>
    </row>
    <row r="5" spans="4:25" ht="15.75" customHeight="1" x14ac:dyDescent="0.3">
      <c r="D5" s="533"/>
      <c r="H5" s="282"/>
      <c r="I5" s="2102" t="s">
        <v>358</v>
      </c>
      <c r="J5" s="2103"/>
      <c r="K5" s="2104"/>
      <c r="L5" s="2108"/>
      <c r="M5" s="2109"/>
      <c r="N5" s="2108"/>
      <c r="O5" s="2110"/>
      <c r="P5" s="2109"/>
      <c r="Q5" s="2108"/>
      <c r="R5" s="2109"/>
      <c r="S5" s="678"/>
      <c r="T5" s="678"/>
      <c r="U5" s="678"/>
      <c r="V5" s="2114"/>
      <c r="W5" s="2115"/>
      <c r="X5" s="534"/>
      <c r="Y5" s="534"/>
    </row>
    <row r="6" spans="4:25" ht="15.75" customHeight="1" thickBot="1" x14ac:dyDescent="0.35">
      <c r="D6" s="282"/>
      <c r="H6" s="282"/>
      <c r="I6" s="2105"/>
      <c r="J6" s="2106"/>
      <c r="K6" s="2107"/>
      <c r="L6" s="2105"/>
      <c r="M6" s="2107"/>
      <c r="N6" s="2105"/>
      <c r="O6" s="2106"/>
      <c r="P6" s="2107"/>
      <c r="Q6" s="2105"/>
      <c r="R6" s="2107"/>
      <c r="S6" s="677"/>
      <c r="T6" s="677"/>
      <c r="U6" s="677"/>
      <c r="V6" s="2116"/>
      <c r="W6" s="2117"/>
      <c r="X6" s="534"/>
      <c r="Y6" s="534"/>
    </row>
    <row r="7" spans="4:25" ht="15.75" customHeight="1" x14ac:dyDescent="0.25">
      <c r="D7" s="618"/>
      <c r="E7" s="621" t="s">
        <v>6</v>
      </c>
      <c r="F7" s="525" t="s">
        <v>7</v>
      </c>
      <c r="G7" s="619" t="s">
        <v>8</v>
      </c>
      <c r="H7" s="282"/>
      <c r="I7" s="618" t="s">
        <v>9</v>
      </c>
      <c r="J7" s="525" t="s">
        <v>10</v>
      </c>
      <c r="K7" s="619" t="s">
        <v>29</v>
      </c>
      <c r="L7" s="618" t="s">
        <v>9</v>
      </c>
      <c r="M7" s="619" t="s">
        <v>10</v>
      </c>
      <c r="N7" s="525" t="s">
        <v>9</v>
      </c>
      <c r="O7" s="525" t="s">
        <v>10</v>
      </c>
      <c r="P7" s="619" t="s">
        <v>29</v>
      </c>
      <c r="Q7" s="525" t="s">
        <v>9</v>
      </c>
      <c r="R7" s="619" t="s">
        <v>10</v>
      </c>
      <c r="S7" s="525"/>
      <c r="T7" s="525"/>
      <c r="U7" s="525"/>
      <c r="V7" s="618" t="s">
        <v>9</v>
      </c>
      <c r="W7" s="619" t="s">
        <v>10</v>
      </c>
      <c r="X7" s="534"/>
      <c r="Y7" s="534"/>
    </row>
    <row r="8" spans="4:25" ht="31.5" customHeight="1" x14ac:dyDescent="0.25">
      <c r="D8" s="620">
        <v>1</v>
      </c>
      <c r="E8" s="517" t="s">
        <v>345</v>
      </c>
      <c r="F8" s="64" t="s">
        <v>20</v>
      </c>
      <c r="G8" s="69">
        <v>1</v>
      </c>
      <c r="H8" s="282"/>
      <c r="I8" s="526">
        <v>9000</v>
      </c>
      <c r="J8" s="527">
        <f>G8*I8</f>
        <v>9000</v>
      </c>
      <c r="K8" s="530" t="s">
        <v>122</v>
      </c>
      <c r="L8" s="528"/>
      <c r="M8" s="532"/>
      <c r="N8" s="542">
        <v>31100</v>
      </c>
      <c r="O8" s="527">
        <f>G8*N8</f>
        <v>31100</v>
      </c>
      <c r="P8" s="530" t="s">
        <v>122</v>
      </c>
      <c r="Q8" s="527">
        <v>34000</v>
      </c>
      <c r="R8" s="530">
        <f>Q8*G8</f>
        <v>34000</v>
      </c>
      <c r="S8" s="527"/>
      <c r="T8" s="527"/>
      <c r="U8" s="527"/>
      <c r="V8" s="543">
        <f>N8</f>
        <v>31100</v>
      </c>
      <c r="W8" s="531">
        <f>V8*G8</f>
        <v>31100</v>
      </c>
      <c r="X8" s="534"/>
      <c r="Y8" s="534"/>
    </row>
    <row r="9" spans="4:25" ht="31.5" customHeight="1" x14ac:dyDescent="0.25">
      <c r="D9" s="620">
        <v>2</v>
      </c>
      <c r="E9" s="517" t="s">
        <v>346</v>
      </c>
      <c r="F9" s="64" t="s">
        <v>347</v>
      </c>
      <c r="G9" s="624">
        <v>1</v>
      </c>
      <c r="H9" s="534"/>
      <c r="I9" s="526">
        <v>6000</v>
      </c>
      <c r="J9" s="527">
        <f t="shared" ref="J9:J18" si="0">G9*I9</f>
        <v>6000</v>
      </c>
      <c r="K9" s="624"/>
      <c r="L9" s="631"/>
      <c r="M9" s="624"/>
      <c r="N9" s="540"/>
      <c r="O9" s="540"/>
      <c r="P9" s="540"/>
      <c r="Q9" s="540"/>
      <c r="R9" s="540"/>
      <c r="S9" s="540"/>
      <c r="T9" s="540"/>
      <c r="U9" s="540"/>
      <c r="V9" s="540"/>
      <c r="W9" s="540"/>
      <c r="X9" s="534"/>
      <c r="Y9" s="534"/>
    </row>
    <row r="10" spans="4:25" ht="31.5" customHeight="1" x14ac:dyDescent="0.25">
      <c r="D10" s="620">
        <v>3</v>
      </c>
      <c r="E10" s="517" t="s">
        <v>348</v>
      </c>
      <c r="F10" s="64" t="s">
        <v>20</v>
      </c>
      <c r="G10" s="624">
        <v>5</v>
      </c>
      <c r="H10" s="534"/>
      <c r="I10" s="526">
        <v>1000</v>
      </c>
      <c r="J10" s="527">
        <f t="shared" si="0"/>
        <v>5000</v>
      </c>
      <c r="K10" s="628"/>
      <c r="L10" s="632"/>
      <c r="M10" s="628"/>
      <c r="N10" s="623"/>
      <c r="O10" s="623"/>
      <c r="P10" s="623"/>
      <c r="Q10" s="623"/>
      <c r="R10" s="623"/>
      <c r="S10" s="623"/>
      <c r="T10" s="623"/>
      <c r="U10" s="623"/>
      <c r="V10" s="623"/>
      <c r="W10" s="623"/>
      <c r="X10" s="534"/>
      <c r="Y10" s="534"/>
    </row>
    <row r="11" spans="4:25" ht="31.5" customHeight="1" x14ac:dyDescent="0.25">
      <c r="D11" s="620">
        <v>4</v>
      </c>
      <c r="E11" s="517" t="s">
        <v>349</v>
      </c>
      <c r="F11" s="64" t="s">
        <v>12</v>
      </c>
      <c r="G11" s="624">
        <v>120</v>
      </c>
      <c r="H11" s="534"/>
      <c r="I11" s="526">
        <v>2500</v>
      </c>
      <c r="J11" s="527">
        <f t="shared" si="0"/>
        <v>300000</v>
      </c>
      <c r="K11" s="532"/>
      <c r="L11" s="2119"/>
      <c r="M11" s="2120"/>
      <c r="N11" s="487"/>
      <c r="O11" s="487"/>
      <c r="P11" s="487"/>
      <c r="Q11" s="487"/>
      <c r="R11" s="487"/>
      <c r="S11" s="666"/>
      <c r="T11" s="666"/>
      <c r="U11" s="666"/>
      <c r="V11" s="1834"/>
      <c r="W11" s="1834"/>
      <c r="X11" s="534"/>
      <c r="Y11" s="534"/>
    </row>
    <row r="12" spans="4:25" ht="31.5" customHeight="1" x14ac:dyDescent="0.25">
      <c r="D12" s="620">
        <v>5</v>
      </c>
      <c r="E12" s="517" t="s">
        <v>350</v>
      </c>
      <c r="F12" s="64" t="s">
        <v>12</v>
      </c>
      <c r="G12" s="624">
        <v>340</v>
      </c>
      <c r="H12" s="534"/>
      <c r="I12" s="526">
        <v>60</v>
      </c>
      <c r="J12" s="527">
        <f t="shared" si="0"/>
        <v>20400</v>
      </c>
      <c r="K12" s="532"/>
      <c r="L12" s="528"/>
      <c r="M12" s="532"/>
      <c r="N12" s="487"/>
      <c r="O12" s="487"/>
      <c r="P12" s="487"/>
      <c r="Q12" s="487"/>
      <c r="R12" s="487"/>
      <c r="S12" s="666"/>
      <c r="T12" s="666"/>
      <c r="U12" s="666"/>
      <c r="V12" s="487"/>
      <c r="W12" s="487"/>
      <c r="X12" s="534"/>
      <c r="Y12" s="534"/>
    </row>
    <row r="13" spans="4:25" ht="31.5" customHeight="1" x14ac:dyDescent="0.25">
      <c r="D13" s="620">
        <v>6</v>
      </c>
      <c r="E13" s="517" t="s">
        <v>351</v>
      </c>
      <c r="F13" s="64" t="s">
        <v>306</v>
      </c>
      <c r="G13" s="624">
        <v>1</v>
      </c>
      <c r="H13" s="534"/>
      <c r="I13" s="526">
        <v>21000</v>
      </c>
      <c r="J13" s="527">
        <f t="shared" si="0"/>
        <v>21000</v>
      </c>
      <c r="K13" s="532"/>
      <c r="L13" s="528"/>
      <c r="M13" s="532"/>
      <c r="N13" s="617"/>
      <c r="O13" s="617"/>
      <c r="P13" s="617"/>
      <c r="Q13" s="617"/>
      <c r="R13" s="617"/>
      <c r="S13" s="666"/>
      <c r="T13" s="666"/>
      <c r="U13" s="666"/>
      <c r="V13" s="617"/>
      <c r="W13" s="617"/>
      <c r="X13" s="617"/>
      <c r="Y13" s="617"/>
    </row>
    <row r="14" spans="4:25" ht="31.5" customHeight="1" x14ac:dyDescent="0.25">
      <c r="D14" s="620">
        <v>7</v>
      </c>
      <c r="E14" s="517" t="s">
        <v>352</v>
      </c>
      <c r="F14" s="64" t="s">
        <v>306</v>
      </c>
      <c r="G14" s="624">
        <v>1</v>
      </c>
      <c r="H14" s="534"/>
      <c r="I14" s="526">
        <v>1500</v>
      </c>
      <c r="J14" s="527">
        <f t="shared" si="0"/>
        <v>1500</v>
      </c>
      <c r="K14" s="532"/>
      <c r="L14" s="528"/>
      <c r="M14" s="532"/>
      <c r="N14" s="617"/>
      <c r="O14" s="617"/>
      <c r="P14" s="617"/>
      <c r="Q14" s="617"/>
      <c r="R14" s="617"/>
      <c r="S14" s="666"/>
      <c r="T14" s="666"/>
      <c r="U14" s="666"/>
      <c r="V14" s="617"/>
      <c r="W14" s="617"/>
      <c r="X14" s="617"/>
      <c r="Y14" s="617"/>
    </row>
    <row r="15" spans="4:25" ht="31.5" customHeight="1" x14ac:dyDescent="0.25">
      <c r="D15" s="620">
        <v>8</v>
      </c>
      <c r="E15" s="517" t="s">
        <v>353</v>
      </c>
      <c r="F15" s="64" t="s">
        <v>306</v>
      </c>
      <c r="G15" s="624">
        <v>1</v>
      </c>
      <c r="H15" s="534"/>
      <c r="I15" s="526">
        <v>2000</v>
      </c>
      <c r="J15" s="527">
        <f t="shared" si="0"/>
        <v>2000</v>
      </c>
      <c r="K15" s="532"/>
      <c r="L15" s="528"/>
      <c r="M15" s="532"/>
      <c r="N15" s="617"/>
      <c r="O15" s="617"/>
      <c r="P15" s="617"/>
      <c r="Q15" s="617"/>
      <c r="R15" s="617"/>
      <c r="S15" s="666"/>
      <c r="T15" s="666"/>
      <c r="U15" s="666"/>
      <c r="V15" s="617"/>
      <c r="W15" s="617"/>
      <c r="X15" s="617"/>
      <c r="Y15" s="617"/>
    </row>
    <row r="16" spans="4:25" ht="31.5" customHeight="1" x14ac:dyDescent="0.25">
      <c r="D16" s="620">
        <v>9</v>
      </c>
      <c r="E16" s="517" t="s">
        <v>354</v>
      </c>
      <c r="F16" s="64" t="s">
        <v>306</v>
      </c>
      <c r="G16" s="625">
        <v>1</v>
      </c>
      <c r="H16" s="541"/>
      <c r="I16" s="526">
        <v>1000</v>
      </c>
      <c r="J16" s="527">
        <f t="shared" si="0"/>
        <v>1000</v>
      </c>
      <c r="K16" s="532"/>
      <c r="L16" s="528"/>
      <c r="M16" s="532"/>
      <c r="N16" s="617"/>
      <c r="O16" s="617"/>
      <c r="P16" s="617"/>
      <c r="Q16" s="617"/>
      <c r="R16" s="617"/>
      <c r="S16" s="666"/>
      <c r="T16" s="666"/>
      <c r="U16" s="666"/>
      <c r="V16" s="617"/>
      <c r="W16" s="617"/>
      <c r="X16" s="617"/>
      <c r="Y16" s="617"/>
    </row>
    <row r="17" spans="1:60" ht="31.5" customHeight="1" x14ac:dyDescent="0.25">
      <c r="D17" s="620">
        <v>10</v>
      </c>
      <c r="E17" s="517" t="s">
        <v>355</v>
      </c>
      <c r="F17" s="64" t="s">
        <v>306</v>
      </c>
      <c r="G17" s="625">
        <v>2</v>
      </c>
      <c r="H17" s="534"/>
      <c r="I17" s="526">
        <v>1000</v>
      </c>
      <c r="J17" s="527">
        <f t="shared" si="0"/>
        <v>2000</v>
      </c>
      <c r="K17" s="532"/>
      <c r="L17" s="528"/>
      <c r="M17" s="532"/>
      <c r="N17" s="617"/>
      <c r="O17" s="617"/>
      <c r="P17" s="617"/>
      <c r="Q17" s="617"/>
      <c r="R17" s="617"/>
      <c r="S17" s="666"/>
      <c r="T17" s="666"/>
      <c r="U17" s="666"/>
      <c r="V17" s="617"/>
      <c r="W17" s="617"/>
      <c r="X17" s="617"/>
      <c r="Y17" s="617"/>
    </row>
    <row r="18" spans="1:60" ht="31.5" customHeight="1" x14ac:dyDescent="0.25">
      <c r="D18" s="620">
        <v>11</v>
      </c>
      <c r="E18" s="517" t="s">
        <v>356</v>
      </c>
      <c r="F18" s="64" t="s">
        <v>306</v>
      </c>
      <c r="G18" s="625">
        <v>1</v>
      </c>
      <c r="H18" s="534"/>
      <c r="I18" s="526">
        <v>3000</v>
      </c>
      <c r="J18" s="527">
        <f t="shared" si="0"/>
        <v>3000</v>
      </c>
      <c r="K18" s="532"/>
      <c r="L18" s="528"/>
      <c r="M18" s="532"/>
      <c r="N18" s="617"/>
      <c r="O18" s="617"/>
      <c r="P18" s="617"/>
      <c r="Q18" s="617"/>
      <c r="R18" s="617"/>
      <c r="S18" s="666"/>
      <c r="T18" s="666"/>
      <c r="U18" s="666"/>
      <c r="V18" s="617"/>
      <c r="W18" s="617"/>
      <c r="X18" s="617"/>
      <c r="Y18" s="617"/>
    </row>
    <row r="19" spans="1:60" ht="31.5" customHeight="1" thickBot="1" x14ac:dyDescent="0.35">
      <c r="D19" s="626">
        <v>12</v>
      </c>
      <c r="E19" s="518" t="s">
        <v>357</v>
      </c>
      <c r="F19" s="463" t="s">
        <v>306</v>
      </c>
      <c r="G19" s="627">
        <v>1</v>
      </c>
      <c r="H19" s="534"/>
      <c r="I19" s="629">
        <v>1000</v>
      </c>
      <c r="J19" s="634">
        <v>95900</v>
      </c>
      <c r="K19" s="630"/>
      <c r="L19" s="633"/>
      <c r="M19" s="630"/>
      <c r="N19" s="617"/>
      <c r="O19" s="617"/>
      <c r="P19" s="617"/>
      <c r="Q19" s="617"/>
      <c r="R19" s="617"/>
      <c r="S19" s="666"/>
      <c r="T19" s="666"/>
      <c r="U19" s="666"/>
      <c r="V19" s="617"/>
      <c r="W19" s="617"/>
      <c r="X19" s="617"/>
      <c r="Y19" s="617"/>
    </row>
    <row r="20" spans="1:60" ht="31.5" customHeight="1" thickBot="1" x14ac:dyDescent="0.35">
      <c r="F20" s="348"/>
      <c r="G20" s="541"/>
      <c r="H20" s="534"/>
      <c r="I20" s="518" t="s">
        <v>10</v>
      </c>
      <c r="J20" s="635">
        <f>SUM(J8:J19)</f>
        <v>466800</v>
      </c>
      <c r="K20" s="617"/>
      <c r="L20" s="617"/>
      <c r="M20" s="617"/>
      <c r="N20" s="617"/>
      <c r="O20" s="617"/>
      <c r="P20" s="617"/>
      <c r="Q20" s="617"/>
      <c r="R20" s="617"/>
      <c r="S20" s="666"/>
      <c r="T20" s="666"/>
      <c r="U20" s="666"/>
      <c r="V20" s="617"/>
      <c r="W20" s="617"/>
      <c r="X20" s="617"/>
      <c r="Y20" s="617"/>
    </row>
    <row r="21" spans="1:60" x14ac:dyDescent="0.3">
      <c r="G21" s="534"/>
      <c r="H21" s="534"/>
      <c r="I21" s="617"/>
      <c r="J21" s="617"/>
      <c r="K21" s="617"/>
      <c r="L21" s="617"/>
      <c r="M21" s="617"/>
      <c r="N21" s="617"/>
      <c r="O21" s="617"/>
      <c r="P21" s="617"/>
      <c r="Q21" s="617"/>
      <c r="R21" s="617"/>
      <c r="S21" s="666"/>
      <c r="T21" s="666"/>
      <c r="U21" s="666"/>
      <c r="V21" s="617"/>
      <c r="W21" s="617"/>
      <c r="X21" s="617"/>
      <c r="Y21" s="617"/>
    </row>
    <row r="22" spans="1:60" x14ac:dyDescent="0.3">
      <c r="G22" s="534"/>
      <c r="H22" s="534"/>
      <c r="I22" s="617"/>
      <c r="J22" s="617"/>
      <c r="K22" s="617"/>
      <c r="L22" s="617"/>
      <c r="M22" s="617"/>
      <c r="N22" s="617"/>
      <c r="O22" s="617"/>
      <c r="P22" s="617"/>
      <c r="Q22" s="617"/>
      <c r="R22" s="617"/>
      <c r="S22" s="666"/>
      <c r="T22" s="666"/>
      <c r="U22" s="666"/>
      <c r="V22" s="617"/>
      <c r="W22" s="617"/>
      <c r="X22" s="617"/>
      <c r="Y22" s="617"/>
    </row>
    <row r="23" spans="1:60" x14ac:dyDescent="0.3">
      <c r="I23" s="617"/>
      <c r="J23" s="617"/>
      <c r="K23" s="617"/>
      <c r="L23" s="617"/>
      <c r="M23" s="617"/>
      <c r="N23" s="617"/>
      <c r="O23" s="617"/>
      <c r="P23" s="617"/>
      <c r="Q23" s="617"/>
      <c r="R23" s="617"/>
      <c r="S23" s="666"/>
      <c r="T23" s="666"/>
      <c r="U23" s="666"/>
      <c r="V23" s="617"/>
      <c r="W23" s="617"/>
      <c r="X23" s="617"/>
      <c r="Y23" s="617"/>
    </row>
    <row r="24" spans="1:60" x14ac:dyDescent="0.3">
      <c r="I24" s="617"/>
      <c r="J24" s="617"/>
      <c r="K24" s="617"/>
      <c r="L24" s="617"/>
      <c r="M24" s="617"/>
      <c r="N24" s="617"/>
      <c r="O24" s="617"/>
      <c r="P24" s="617"/>
      <c r="Q24" s="617"/>
      <c r="R24" s="617"/>
      <c r="S24" s="666"/>
      <c r="T24" s="666"/>
      <c r="U24" s="666"/>
      <c r="V24" s="617"/>
      <c r="W24" s="617"/>
      <c r="X24" s="617"/>
      <c r="Y24" s="617"/>
    </row>
    <row r="25" spans="1:60" x14ac:dyDescent="0.3">
      <c r="I25" s="617"/>
      <c r="J25" s="617"/>
      <c r="K25" s="617"/>
      <c r="L25" s="617"/>
      <c r="M25" s="617"/>
      <c r="N25" s="617"/>
      <c r="O25" s="617"/>
      <c r="P25" s="617"/>
      <c r="Q25" s="617"/>
      <c r="R25" s="617"/>
      <c r="S25" s="666"/>
      <c r="T25" s="666"/>
      <c r="U25" s="666"/>
      <c r="V25" s="617"/>
      <c r="W25" s="617"/>
      <c r="X25" s="617"/>
      <c r="Y25" s="617"/>
    </row>
    <row r="26" spans="1:60" x14ac:dyDescent="0.3">
      <c r="I26" s="617"/>
      <c r="J26" s="617"/>
      <c r="K26" s="617"/>
      <c r="L26" s="617"/>
      <c r="M26" s="617"/>
      <c r="N26" s="617"/>
      <c r="O26" s="617"/>
      <c r="P26" s="617"/>
      <c r="Q26" s="617"/>
      <c r="R26" s="617"/>
      <c r="S26" s="666"/>
      <c r="T26" s="666"/>
      <c r="U26" s="666"/>
      <c r="V26" s="617"/>
      <c r="W26" s="617"/>
      <c r="X26" s="617"/>
      <c r="Y26" s="617"/>
    </row>
    <row r="27" spans="1:60" x14ac:dyDescent="0.3">
      <c r="I27" s="617"/>
      <c r="J27" s="617"/>
      <c r="K27" s="617"/>
      <c r="L27" s="617"/>
      <c r="M27" s="617"/>
      <c r="N27" s="617"/>
      <c r="O27" s="617"/>
      <c r="P27" s="617"/>
      <c r="Q27" s="617"/>
      <c r="R27" s="617"/>
      <c r="S27" s="666"/>
      <c r="T27" s="666"/>
      <c r="U27" s="666"/>
      <c r="V27" s="617"/>
      <c r="W27" s="617"/>
      <c r="X27" s="617"/>
      <c r="Y27" s="617"/>
    </row>
    <row r="28" spans="1:60" x14ac:dyDescent="0.3">
      <c r="I28" s="617"/>
      <c r="J28" s="617"/>
      <c r="K28" s="617"/>
      <c r="L28" s="617"/>
      <c r="M28" s="617"/>
      <c r="N28" s="617"/>
      <c r="O28" s="617"/>
      <c r="P28" s="617"/>
      <c r="Q28" s="617"/>
      <c r="R28" s="617"/>
      <c r="S28" s="666"/>
      <c r="T28" s="666"/>
      <c r="U28" s="666"/>
      <c r="V28" s="617"/>
      <c r="W28" s="617"/>
      <c r="X28" s="617"/>
      <c r="Y28" s="617"/>
    </row>
    <row r="29" spans="1:60" s="1332" customFormat="1" ht="20.399999999999999" x14ac:dyDescent="0.35">
      <c r="A29" s="1332" t="s">
        <v>934</v>
      </c>
      <c r="H29" s="1329"/>
      <c r="I29" s="1329"/>
      <c r="J29" s="1329"/>
      <c r="K29" s="1329"/>
      <c r="L29" s="1329"/>
      <c r="M29" s="1329"/>
      <c r="N29" s="1329"/>
      <c r="O29" s="1329"/>
      <c r="P29" s="1329"/>
      <c r="Q29" s="1329"/>
      <c r="R29" s="1329"/>
      <c r="S29" s="1329"/>
      <c r="T29" s="1329"/>
      <c r="U29" s="1329"/>
      <c r="V29" s="1329"/>
      <c r="W29" s="1329"/>
      <c r="X29" s="1329"/>
      <c r="Y29" s="1329"/>
      <c r="Z29" s="1329"/>
      <c r="AA29" s="1329"/>
      <c r="AB29" s="1329"/>
      <c r="AC29" s="1329"/>
      <c r="AD29" s="1329"/>
      <c r="AE29" s="1329"/>
      <c r="AF29" s="1329"/>
      <c r="AG29" s="1329"/>
      <c r="AH29" s="1329"/>
      <c r="AI29" s="1329"/>
      <c r="AJ29" s="1329"/>
      <c r="AK29" s="1329"/>
      <c r="AL29" s="1329"/>
      <c r="AM29" s="1329"/>
      <c r="AN29" s="1329"/>
      <c r="AO29" s="1329"/>
      <c r="AP29" s="1329"/>
      <c r="AQ29" s="1329"/>
      <c r="AR29" s="1329"/>
      <c r="AS29" s="1329"/>
      <c r="AT29" s="1329"/>
      <c r="AU29" s="1329"/>
      <c r="AV29" s="1329"/>
      <c r="AW29" s="1329"/>
      <c r="AX29" s="1329"/>
      <c r="AY29" s="1329"/>
      <c r="AZ29" s="1329"/>
      <c r="BA29" s="1329"/>
      <c r="BB29" s="1329"/>
      <c r="BC29" s="1329"/>
      <c r="BD29" s="1329"/>
      <c r="BE29" s="1329"/>
      <c r="BF29" s="1329"/>
      <c r="BG29" s="1329"/>
      <c r="BH29" s="1329"/>
    </row>
    <row r="30" spans="1:60" s="1332" customFormat="1" ht="21" thickBot="1" x14ac:dyDescent="0.4">
      <c r="H30" s="1329"/>
      <c r="I30" s="1329"/>
      <c r="J30" s="1329"/>
      <c r="K30" s="1329"/>
      <c r="L30" s="1329"/>
      <c r="M30" s="1329"/>
      <c r="N30" s="1329"/>
      <c r="O30" s="1329"/>
      <c r="P30" s="1329"/>
      <c r="Q30" s="1329"/>
      <c r="R30" s="1329"/>
      <c r="S30" s="1329"/>
      <c r="T30" s="1329"/>
      <c r="U30" s="1329"/>
      <c r="V30" s="1329"/>
      <c r="W30" s="1329"/>
      <c r="X30" s="1329"/>
      <c r="Y30" s="1329"/>
      <c r="Z30" s="1329"/>
      <c r="AA30" s="1329"/>
      <c r="AB30" s="1329"/>
      <c r="AC30" s="1329"/>
      <c r="AD30" s="1329"/>
      <c r="AE30" s="1329"/>
      <c r="AF30" s="1329"/>
      <c r="AG30" s="1329"/>
      <c r="AH30" s="1329"/>
      <c r="AI30" s="1329"/>
      <c r="AJ30" s="1329"/>
      <c r="AK30" s="1329"/>
      <c r="AL30" s="1329"/>
      <c r="AM30" s="1329"/>
      <c r="AN30" s="1329"/>
      <c r="AO30" s="1329"/>
      <c r="AP30" s="1329"/>
      <c r="AQ30" s="1329"/>
      <c r="AR30" s="1329"/>
      <c r="AS30" s="1329"/>
      <c r="AT30" s="1329"/>
      <c r="AU30" s="1329"/>
      <c r="AV30" s="1329"/>
      <c r="AW30" s="1329"/>
      <c r="AX30" s="1329"/>
      <c r="AY30" s="1329"/>
      <c r="AZ30" s="1329"/>
      <c r="BA30" s="1329"/>
      <c r="BB30" s="1329"/>
      <c r="BC30" s="1329"/>
      <c r="BD30" s="1329"/>
      <c r="BE30" s="1329"/>
      <c r="BF30" s="1329"/>
      <c r="BG30" s="1329"/>
      <c r="BH30" s="1329"/>
    </row>
    <row r="31" spans="1:60" s="1332" customFormat="1" ht="21" thickBot="1" x14ac:dyDescent="0.4">
      <c r="A31" s="1656"/>
      <c r="B31" s="1657">
        <v>42822</v>
      </c>
      <c r="C31" s="1658"/>
      <c r="D31" s="1659" t="s">
        <v>1100</v>
      </c>
      <c r="E31" s="1660" t="s">
        <v>1101</v>
      </c>
      <c r="F31" s="1660" t="s">
        <v>1102</v>
      </c>
      <c r="G31" s="1660" t="s">
        <v>1103</v>
      </c>
      <c r="H31" s="1325" t="s">
        <v>1104</v>
      </c>
      <c r="I31" s="1325" t="s">
        <v>386</v>
      </c>
      <c r="J31" s="1325" t="s">
        <v>1105</v>
      </c>
      <c r="K31" s="1325" t="s">
        <v>1106</v>
      </c>
      <c r="L31" s="2129" t="s">
        <v>1107</v>
      </c>
      <c r="M31" s="2129"/>
      <c r="N31" s="1325"/>
      <c r="O31" s="1325"/>
      <c r="P31" s="1329"/>
      <c r="Q31" s="1329"/>
      <c r="R31" s="1329"/>
      <c r="S31" s="1329"/>
      <c r="T31" s="1329"/>
      <c r="U31" s="1329"/>
      <c r="V31" s="1329"/>
      <c r="W31" s="1329"/>
      <c r="X31" s="1329"/>
      <c r="Y31" s="1329"/>
      <c r="Z31" s="1329"/>
      <c r="AA31" s="1329"/>
      <c r="AB31" s="1329"/>
      <c r="AC31" s="1329"/>
      <c r="AD31" s="1329"/>
      <c r="AE31" s="1329"/>
      <c r="AF31" s="1329"/>
      <c r="AG31" s="1329"/>
      <c r="AH31" s="1329"/>
      <c r="AI31" s="1329"/>
      <c r="AJ31" s="1329"/>
      <c r="AK31" s="1329"/>
      <c r="AL31" s="1329"/>
      <c r="AM31" s="1329"/>
      <c r="AN31" s="1329"/>
      <c r="AO31" s="1329"/>
      <c r="AP31" s="1329"/>
      <c r="AQ31" s="1329"/>
      <c r="AR31" s="1329"/>
      <c r="AS31" s="1329"/>
      <c r="AT31" s="1329"/>
      <c r="AU31" s="1329"/>
      <c r="AV31" s="1329"/>
      <c r="AW31" s="1329"/>
      <c r="AX31" s="1329"/>
      <c r="AY31" s="1329"/>
      <c r="AZ31" s="1329"/>
      <c r="BA31" s="1329"/>
      <c r="BB31" s="1329"/>
      <c r="BC31" s="1329"/>
      <c r="BD31" s="1329"/>
      <c r="BE31" s="1329"/>
      <c r="BF31" s="1329"/>
      <c r="BG31" s="1329"/>
      <c r="BH31" s="1329"/>
    </row>
    <row r="32" spans="1:60" s="1332" customFormat="1" ht="61.8" thickBot="1" x14ac:dyDescent="0.4">
      <c r="A32" s="1661" t="s">
        <v>5</v>
      </c>
      <c r="B32" s="1662" t="s">
        <v>6</v>
      </c>
      <c r="C32" s="1663" t="s">
        <v>7</v>
      </c>
      <c r="D32" s="1663" t="s">
        <v>8</v>
      </c>
      <c r="E32" s="1664"/>
      <c r="F32" s="1664"/>
      <c r="G32" s="1665"/>
      <c r="H32" s="1666"/>
      <c r="I32" s="1666"/>
      <c r="J32" s="1666"/>
      <c r="K32" s="1666"/>
      <c r="L32" s="1666" t="s">
        <v>34</v>
      </c>
      <c r="M32" s="1666" t="s">
        <v>1108</v>
      </c>
      <c r="N32" s="1325" t="s">
        <v>1104</v>
      </c>
      <c r="O32" s="1660" t="s">
        <v>1102</v>
      </c>
      <c r="P32" s="1666" t="s">
        <v>1109</v>
      </c>
      <c r="Q32" s="1666"/>
      <c r="R32" s="1666"/>
      <c r="S32" s="1666"/>
      <c r="T32" s="1666"/>
      <c r="U32" s="1666"/>
      <c r="V32" s="1329"/>
      <c r="W32" s="1329"/>
      <c r="X32" s="1329"/>
      <c r="Y32" s="1329"/>
      <c r="Z32" s="1329"/>
      <c r="AA32" s="1329"/>
      <c r="AB32" s="1329"/>
      <c r="AC32" s="1329"/>
      <c r="AD32" s="1329"/>
      <c r="AE32" s="1329"/>
      <c r="AF32" s="1329"/>
      <c r="AG32" s="1329"/>
      <c r="AH32" s="1329"/>
      <c r="AI32" s="1329"/>
      <c r="AJ32" s="1329"/>
      <c r="AK32" s="1329"/>
      <c r="AL32" s="1329"/>
      <c r="AM32" s="1329"/>
      <c r="AN32" s="1329"/>
      <c r="AO32" s="1329"/>
      <c r="AP32" s="1329"/>
      <c r="AQ32" s="1329"/>
      <c r="AR32" s="1329"/>
      <c r="AS32" s="1329"/>
      <c r="AT32" s="1329"/>
      <c r="AU32" s="1329"/>
      <c r="AV32" s="1329"/>
      <c r="AW32" s="1329"/>
      <c r="AX32" s="1329"/>
      <c r="AY32" s="1329"/>
      <c r="AZ32" s="1329"/>
      <c r="BA32" s="1329"/>
      <c r="BB32" s="1329"/>
      <c r="BC32" s="1329"/>
      <c r="BD32" s="1329"/>
      <c r="BE32" s="1329"/>
      <c r="BF32" s="1329"/>
      <c r="BG32" s="1329"/>
      <c r="BH32" s="1329"/>
    </row>
    <row r="33" spans="1:60" s="1332" customFormat="1" ht="44.4" customHeight="1" x14ac:dyDescent="0.35">
      <c r="A33" s="1667">
        <v>1</v>
      </c>
      <c r="B33" s="1668" t="s">
        <v>1110</v>
      </c>
      <c r="C33" s="1669" t="s">
        <v>20</v>
      </c>
      <c r="D33" s="1669">
        <v>1</v>
      </c>
      <c r="E33" s="1670">
        <f>J33</f>
        <v>440000</v>
      </c>
      <c r="F33" s="1670">
        <f>E33*D33</f>
        <v>440000</v>
      </c>
      <c r="G33" s="1670">
        <f>(D33-(E33+F33))</f>
        <v>-879999</v>
      </c>
      <c r="H33" s="1666">
        <v>375000</v>
      </c>
      <c r="I33" s="1666">
        <v>542463.32999999996</v>
      </c>
      <c r="J33" s="1666">
        <v>440000</v>
      </c>
      <c r="K33" s="1666">
        <v>0</v>
      </c>
      <c r="L33" s="1666">
        <v>0</v>
      </c>
      <c r="M33" s="1666">
        <f>G33*L33</f>
        <v>0</v>
      </c>
      <c r="N33" s="1666">
        <f>M33</f>
        <v>0</v>
      </c>
      <c r="O33" s="1666">
        <f>M33</f>
        <v>0</v>
      </c>
      <c r="P33" s="1666">
        <f>M33</f>
        <v>0</v>
      </c>
      <c r="Q33" s="1666"/>
      <c r="R33" s="1666"/>
      <c r="S33" s="1666"/>
      <c r="T33" s="1666"/>
      <c r="U33" s="1666"/>
      <c r="V33" s="1329"/>
      <c r="W33" s="1329"/>
      <c r="X33" s="1329"/>
      <c r="Y33" s="1329"/>
      <c r="Z33" s="1329"/>
      <c r="AA33" s="1329"/>
      <c r="AB33" s="1329"/>
      <c r="AC33" s="1329"/>
      <c r="AD33" s="1329"/>
      <c r="AE33" s="1329"/>
      <c r="AF33" s="1329"/>
      <c r="AG33" s="1329"/>
      <c r="AH33" s="1329"/>
      <c r="AI33" s="1329"/>
      <c r="AJ33" s="1329"/>
      <c r="AK33" s="1329"/>
      <c r="AL33" s="1329"/>
      <c r="AM33" s="1329"/>
      <c r="AN33" s="1329"/>
      <c r="AO33" s="1329"/>
      <c r="AP33" s="1329"/>
      <c r="AQ33" s="1329"/>
      <c r="AR33" s="1329"/>
      <c r="AS33" s="1329"/>
      <c r="AT33" s="1329"/>
      <c r="AU33" s="1329"/>
      <c r="AV33" s="1329"/>
      <c r="AW33" s="1329"/>
      <c r="AX33" s="1329"/>
      <c r="AY33" s="1329"/>
      <c r="AZ33" s="1329"/>
      <c r="BA33" s="1329"/>
      <c r="BB33" s="1329"/>
      <c r="BC33" s="1329"/>
      <c r="BD33" s="1329"/>
      <c r="BE33" s="1329"/>
      <c r="BF33" s="1329"/>
      <c r="BG33" s="1329"/>
      <c r="BH33" s="1329"/>
    </row>
    <row r="34" spans="1:60" s="1332" customFormat="1" ht="44.4" customHeight="1" x14ac:dyDescent="0.35">
      <c r="A34" s="1667">
        <v>2</v>
      </c>
      <c r="B34" s="1668" t="s">
        <v>288</v>
      </c>
      <c r="C34" s="1669" t="s">
        <v>20</v>
      </c>
      <c r="D34" s="1669">
        <v>2</v>
      </c>
      <c r="E34" s="1670">
        <f>I34</f>
        <v>138554.22</v>
      </c>
      <c r="F34" s="1670"/>
      <c r="G34" s="1670">
        <f t="shared" ref="G34:G71" si="1">(D34-(E34+F34))</f>
        <v>-138552.22</v>
      </c>
      <c r="H34" s="1666">
        <v>0</v>
      </c>
      <c r="I34" s="1666">
        <v>138554.22</v>
      </c>
      <c r="J34" s="1666">
        <v>0</v>
      </c>
      <c r="K34" s="1666">
        <v>0</v>
      </c>
      <c r="L34" s="1666">
        <f>I34</f>
        <v>138554.22</v>
      </c>
      <c r="M34" s="1666">
        <f t="shared" ref="M34:M68" si="2">G34*L34</f>
        <v>-19196994771.368401</v>
      </c>
      <c r="N34" s="1666">
        <v>0</v>
      </c>
      <c r="O34" s="1666">
        <v>0</v>
      </c>
      <c r="P34" s="1666">
        <f t="shared" ref="P34:P71" si="3">M34</f>
        <v>-19196994771.368401</v>
      </c>
      <c r="Q34" s="1666"/>
      <c r="R34" s="1666"/>
      <c r="S34" s="1666"/>
      <c r="T34" s="1666"/>
      <c r="U34" s="1666"/>
      <c r="V34" s="1329"/>
      <c r="W34" s="1329"/>
      <c r="X34" s="1329"/>
      <c r="Y34" s="1329"/>
      <c r="Z34" s="1329"/>
      <c r="AA34" s="1329"/>
      <c r="AB34" s="1329"/>
      <c r="AC34" s="1329"/>
      <c r="AD34" s="1329"/>
      <c r="AE34" s="1329"/>
      <c r="AF34" s="1329"/>
      <c r="AG34" s="1329"/>
      <c r="AH34" s="1329"/>
      <c r="AI34" s="1329"/>
      <c r="AJ34" s="1329"/>
      <c r="AK34" s="1329"/>
      <c r="AL34" s="1329"/>
      <c r="AM34" s="1329"/>
      <c r="AN34" s="1329"/>
      <c r="AO34" s="1329"/>
      <c r="AP34" s="1329"/>
      <c r="AQ34" s="1329"/>
      <c r="AR34" s="1329"/>
      <c r="AS34" s="1329"/>
      <c r="AT34" s="1329"/>
      <c r="AU34" s="1329"/>
      <c r="AV34" s="1329"/>
      <c r="AW34" s="1329"/>
      <c r="AX34" s="1329"/>
      <c r="AY34" s="1329"/>
      <c r="AZ34" s="1329"/>
      <c r="BA34" s="1329"/>
      <c r="BB34" s="1329"/>
      <c r="BC34" s="1329"/>
      <c r="BD34" s="1329"/>
      <c r="BE34" s="1329"/>
      <c r="BF34" s="1329"/>
      <c r="BG34" s="1329"/>
      <c r="BH34" s="1329"/>
    </row>
    <row r="35" spans="1:60" s="1332" customFormat="1" ht="44.4" customHeight="1" x14ac:dyDescent="0.35">
      <c r="A35" s="1667">
        <v>3</v>
      </c>
      <c r="B35" s="1668" t="s">
        <v>289</v>
      </c>
      <c r="C35" s="1669" t="s">
        <v>20</v>
      </c>
      <c r="D35" s="1669">
        <v>3</v>
      </c>
      <c r="E35" s="1670">
        <f>H35</f>
        <v>230000</v>
      </c>
      <c r="F35" s="1670"/>
      <c r="G35" s="1670">
        <f t="shared" si="1"/>
        <v>-229997</v>
      </c>
      <c r="H35" s="1671">
        <v>230000</v>
      </c>
      <c r="I35" s="1666">
        <v>259036.14</v>
      </c>
      <c r="J35" s="1666">
        <v>257333.33</v>
      </c>
      <c r="K35" s="1666">
        <v>440000</v>
      </c>
      <c r="L35" s="1666">
        <f t="shared" ref="L35:L43" si="4">H35</f>
        <v>230000</v>
      </c>
      <c r="M35" s="1666">
        <f t="shared" si="2"/>
        <v>-52899310000</v>
      </c>
      <c r="N35" s="1666">
        <f t="shared" ref="N35:N71" si="5">M35</f>
        <v>-52899310000</v>
      </c>
      <c r="O35" s="1666">
        <v>0</v>
      </c>
      <c r="P35" s="1666">
        <v>0</v>
      </c>
      <c r="Q35" s="1666"/>
      <c r="R35" s="1666"/>
      <c r="S35" s="1666"/>
      <c r="T35" s="1666"/>
      <c r="U35" s="1666"/>
      <c r="V35" s="1329"/>
      <c r="W35" s="1329"/>
      <c r="X35" s="1329"/>
      <c r="Y35" s="1329"/>
      <c r="Z35" s="1329"/>
      <c r="AA35" s="1329"/>
      <c r="AB35" s="1329"/>
      <c r="AC35" s="1329"/>
      <c r="AD35" s="1329"/>
      <c r="AE35" s="1329"/>
      <c r="AF35" s="1329"/>
      <c r="AG35" s="1329"/>
      <c r="AH35" s="1329"/>
      <c r="AI35" s="1329"/>
      <c r="AJ35" s="1329"/>
      <c r="AK35" s="1329"/>
      <c r="AL35" s="1329"/>
      <c r="AM35" s="1329"/>
      <c r="AN35" s="1329"/>
      <c r="AO35" s="1329"/>
      <c r="AP35" s="1329"/>
      <c r="AQ35" s="1329"/>
      <c r="AR35" s="1329"/>
      <c r="AS35" s="1329"/>
      <c r="AT35" s="1329"/>
      <c r="AU35" s="1329"/>
      <c r="AV35" s="1329"/>
      <c r="AW35" s="1329"/>
      <c r="AX35" s="1329"/>
      <c r="AY35" s="1329"/>
      <c r="AZ35" s="1329"/>
      <c r="BA35" s="1329"/>
      <c r="BB35" s="1329"/>
      <c r="BC35" s="1329"/>
      <c r="BD35" s="1329"/>
      <c r="BE35" s="1329"/>
      <c r="BF35" s="1329"/>
      <c r="BG35" s="1329"/>
      <c r="BH35" s="1329"/>
    </row>
    <row r="36" spans="1:60" s="1332" customFormat="1" ht="44.4" customHeight="1" x14ac:dyDescent="0.35">
      <c r="A36" s="1667">
        <v>4</v>
      </c>
      <c r="B36" s="1668" t="s">
        <v>290</v>
      </c>
      <c r="C36" s="1672" t="s">
        <v>20</v>
      </c>
      <c r="D36" s="1672">
        <v>3</v>
      </c>
      <c r="E36" s="1670">
        <f t="shared" ref="E36:E55" si="6">H36</f>
        <v>10000</v>
      </c>
      <c r="F36" s="1670"/>
      <c r="G36" s="1670">
        <f t="shared" si="1"/>
        <v>-9997</v>
      </c>
      <c r="H36" s="1673">
        <v>10000</v>
      </c>
      <c r="I36" s="1666">
        <v>10602.41</v>
      </c>
      <c r="J36" s="1666">
        <v>0</v>
      </c>
      <c r="K36" s="1666">
        <v>4480</v>
      </c>
      <c r="L36" s="1666">
        <f t="shared" si="4"/>
        <v>10000</v>
      </c>
      <c r="M36" s="1666">
        <f t="shared" si="2"/>
        <v>-99970000</v>
      </c>
      <c r="N36" s="1666">
        <f t="shared" si="5"/>
        <v>-99970000</v>
      </c>
      <c r="O36" s="1666">
        <v>0</v>
      </c>
      <c r="P36" s="1666">
        <v>0</v>
      </c>
      <c r="Q36" s="1666"/>
      <c r="R36" s="1666"/>
      <c r="S36" s="1666"/>
      <c r="T36" s="1666"/>
      <c r="U36" s="1666"/>
      <c r="V36" s="1329"/>
      <c r="W36" s="1329"/>
      <c r="X36" s="1329"/>
      <c r="Y36" s="1329"/>
      <c r="Z36" s="1329"/>
      <c r="AA36" s="1329"/>
      <c r="AB36" s="1329"/>
      <c r="AC36" s="1329"/>
      <c r="AD36" s="1329"/>
      <c r="AE36" s="1329"/>
      <c r="AF36" s="1329"/>
      <c r="AG36" s="1329"/>
      <c r="AH36" s="1329"/>
      <c r="AI36" s="1329"/>
      <c r="AJ36" s="1329"/>
      <c r="AK36" s="1329"/>
      <c r="AL36" s="1329"/>
      <c r="AM36" s="1329"/>
      <c r="AN36" s="1329"/>
      <c r="AO36" s="1329"/>
      <c r="AP36" s="1329"/>
      <c r="AQ36" s="1329"/>
      <c r="AR36" s="1329"/>
      <c r="AS36" s="1329"/>
      <c r="AT36" s="1329"/>
      <c r="AU36" s="1329"/>
      <c r="AV36" s="1329"/>
      <c r="AW36" s="1329"/>
      <c r="AX36" s="1329"/>
      <c r="AY36" s="1329"/>
      <c r="AZ36" s="1329"/>
      <c r="BA36" s="1329"/>
      <c r="BB36" s="1329"/>
      <c r="BC36" s="1329"/>
      <c r="BD36" s="1329"/>
      <c r="BE36" s="1329"/>
      <c r="BF36" s="1329"/>
      <c r="BG36" s="1329"/>
      <c r="BH36" s="1329"/>
    </row>
    <row r="37" spans="1:60" s="1332" customFormat="1" ht="31.2" customHeight="1" x14ac:dyDescent="0.35">
      <c r="A37" s="1667">
        <v>5</v>
      </c>
      <c r="B37" s="1668" t="s">
        <v>1111</v>
      </c>
      <c r="C37" s="1669" t="s">
        <v>20</v>
      </c>
      <c r="D37" s="1669">
        <v>3</v>
      </c>
      <c r="E37" s="1670">
        <f t="shared" si="6"/>
        <v>205000</v>
      </c>
      <c r="F37" s="1670"/>
      <c r="G37" s="1670">
        <f t="shared" si="1"/>
        <v>-204997</v>
      </c>
      <c r="H37" s="1673">
        <v>205000</v>
      </c>
      <c r="I37" s="1666">
        <v>219277.11</v>
      </c>
      <c r="J37" s="1666">
        <v>160000</v>
      </c>
      <c r="K37" s="1666">
        <v>307200</v>
      </c>
      <c r="L37" s="1666">
        <f t="shared" si="4"/>
        <v>205000</v>
      </c>
      <c r="M37" s="1666">
        <f t="shared" si="2"/>
        <v>-42024385000</v>
      </c>
      <c r="N37" s="1666">
        <f t="shared" si="5"/>
        <v>-42024385000</v>
      </c>
      <c r="O37" s="1666">
        <v>0</v>
      </c>
      <c r="P37" s="1666">
        <v>0</v>
      </c>
      <c r="Q37" s="1666"/>
      <c r="R37" s="1666"/>
      <c r="S37" s="1666"/>
      <c r="T37" s="1666"/>
      <c r="U37" s="1666"/>
      <c r="V37" s="1329"/>
      <c r="W37" s="1329"/>
      <c r="X37" s="1329"/>
      <c r="Y37" s="1329"/>
      <c r="Z37" s="1329"/>
      <c r="AA37" s="1329"/>
      <c r="AB37" s="1329"/>
      <c r="AC37" s="1329"/>
      <c r="AD37" s="1329"/>
      <c r="AE37" s="1329"/>
      <c r="AF37" s="1329"/>
      <c r="AG37" s="1329"/>
      <c r="AH37" s="1329"/>
      <c r="AI37" s="1329"/>
      <c r="AJ37" s="1329"/>
      <c r="AK37" s="1329"/>
      <c r="AL37" s="1329"/>
      <c r="AM37" s="1329"/>
      <c r="AN37" s="1329"/>
      <c r="AO37" s="1329"/>
      <c r="AP37" s="1329"/>
      <c r="AQ37" s="1329"/>
      <c r="AR37" s="1329"/>
      <c r="AS37" s="1329"/>
      <c r="AT37" s="1329"/>
      <c r="AU37" s="1329"/>
      <c r="AV37" s="1329"/>
      <c r="AW37" s="1329"/>
      <c r="AX37" s="1329"/>
      <c r="AY37" s="1329"/>
      <c r="AZ37" s="1329"/>
      <c r="BA37" s="1329"/>
      <c r="BB37" s="1329"/>
      <c r="BC37" s="1329"/>
      <c r="BD37" s="1329"/>
      <c r="BE37" s="1329"/>
      <c r="BF37" s="1329"/>
      <c r="BG37" s="1329"/>
      <c r="BH37" s="1329"/>
    </row>
    <row r="38" spans="1:60" s="1332" customFormat="1" ht="31.2" customHeight="1" x14ac:dyDescent="0.35">
      <c r="A38" s="1667">
        <v>7</v>
      </c>
      <c r="B38" s="1668" t="s">
        <v>388</v>
      </c>
      <c r="C38" s="1672" t="s">
        <v>20</v>
      </c>
      <c r="D38" s="1672">
        <v>6</v>
      </c>
      <c r="E38" s="1670">
        <f t="shared" si="6"/>
        <v>95000</v>
      </c>
      <c r="F38" s="1670">
        <f>D38</f>
        <v>6</v>
      </c>
      <c r="G38" s="1670">
        <f t="shared" si="1"/>
        <v>-95000</v>
      </c>
      <c r="H38" s="1673">
        <v>95000</v>
      </c>
      <c r="I38" s="1666">
        <v>115421.69</v>
      </c>
      <c r="J38" s="1666">
        <v>133333.32999999999</v>
      </c>
      <c r="K38" s="1666">
        <v>216000</v>
      </c>
      <c r="L38" s="1666">
        <f t="shared" si="4"/>
        <v>95000</v>
      </c>
      <c r="M38" s="1666">
        <f>F38*L38</f>
        <v>570000</v>
      </c>
      <c r="N38" s="1666">
        <v>0</v>
      </c>
      <c r="O38" s="1666">
        <f t="shared" ref="O38:O71" si="7">M38</f>
        <v>570000</v>
      </c>
      <c r="P38" s="1666">
        <v>0</v>
      </c>
      <c r="Q38" s="1666"/>
      <c r="R38" s="1666"/>
      <c r="S38" s="1666"/>
      <c r="T38" s="1666"/>
      <c r="U38" s="1666"/>
      <c r="V38" s="1329"/>
      <c r="W38" s="1329"/>
      <c r="X38" s="1329"/>
      <c r="Y38" s="1329"/>
      <c r="Z38" s="1329"/>
      <c r="AA38" s="1329"/>
      <c r="AB38" s="1329"/>
      <c r="AC38" s="1329"/>
      <c r="AD38" s="1329"/>
      <c r="AE38" s="1329"/>
      <c r="AF38" s="1329"/>
      <c r="AG38" s="1329"/>
      <c r="AH38" s="1329"/>
      <c r="AI38" s="1329"/>
      <c r="AJ38" s="1329"/>
      <c r="AK38" s="1329"/>
      <c r="AL38" s="1329"/>
      <c r="AM38" s="1329"/>
      <c r="AN38" s="1329"/>
      <c r="AO38" s="1329"/>
      <c r="AP38" s="1329"/>
      <c r="AQ38" s="1329"/>
      <c r="AR38" s="1329"/>
      <c r="AS38" s="1329"/>
      <c r="AT38" s="1329"/>
      <c r="AU38" s="1329"/>
      <c r="AV38" s="1329"/>
      <c r="AW38" s="1329"/>
      <c r="AX38" s="1329"/>
      <c r="AY38" s="1329"/>
      <c r="AZ38" s="1329"/>
      <c r="BA38" s="1329"/>
      <c r="BB38" s="1329"/>
      <c r="BC38" s="1329"/>
      <c r="BD38" s="1329"/>
      <c r="BE38" s="1329"/>
      <c r="BF38" s="1329"/>
      <c r="BG38" s="1329"/>
      <c r="BH38" s="1329"/>
    </row>
    <row r="39" spans="1:60" s="1332" customFormat="1" ht="39" customHeight="1" x14ac:dyDescent="0.35">
      <c r="A39" s="1667">
        <v>8</v>
      </c>
      <c r="B39" s="1668" t="s">
        <v>109</v>
      </c>
      <c r="C39" s="1672" t="s">
        <v>20</v>
      </c>
      <c r="D39" s="1672">
        <v>6</v>
      </c>
      <c r="E39" s="1670">
        <f t="shared" si="6"/>
        <v>5000</v>
      </c>
      <c r="F39" s="1670"/>
      <c r="G39" s="1670">
        <f t="shared" si="1"/>
        <v>-4994</v>
      </c>
      <c r="H39" s="1673">
        <v>5000</v>
      </c>
      <c r="I39" s="1666">
        <v>5493.98</v>
      </c>
      <c r="J39" s="1666">
        <v>0</v>
      </c>
      <c r="K39" s="1666">
        <v>0</v>
      </c>
      <c r="L39" s="1666">
        <f t="shared" si="4"/>
        <v>5000</v>
      </c>
      <c r="M39" s="1666">
        <f t="shared" si="2"/>
        <v>-24970000</v>
      </c>
      <c r="N39" s="1666">
        <f t="shared" si="5"/>
        <v>-24970000</v>
      </c>
      <c r="O39" s="1666">
        <v>0</v>
      </c>
      <c r="P39" s="1666">
        <v>0</v>
      </c>
      <c r="Q39" s="1666"/>
      <c r="R39" s="1666"/>
      <c r="S39" s="1666"/>
      <c r="T39" s="1666"/>
      <c r="U39" s="1666"/>
      <c r="V39" s="1329"/>
      <c r="W39" s="1329"/>
      <c r="X39" s="1329"/>
      <c r="Y39" s="1329"/>
      <c r="Z39" s="1329"/>
      <c r="AA39" s="1329"/>
      <c r="AB39" s="1329"/>
      <c r="AC39" s="1329"/>
      <c r="AD39" s="1329"/>
      <c r="AE39" s="1329"/>
      <c r="AF39" s="1329"/>
      <c r="AG39" s="1329"/>
      <c r="AH39" s="1329"/>
      <c r="AI39" s="1329"/>
      <c r="AJ39" s="1329"/>
      <c r="AK39" s="1329"/>
      <c r="AL39" s="1329"/>
      <c r="AM39" s="1329"/>
      <c r="AN39" s="1329"/>
      <c r="AO39" s="1329"/>
      <c r="AP39" s="1329"/>
      <c r="AQ39" s="1329"/>
      <c r="AR39" s="1329"/>
      <c r="AS39" s="1329"/>
      <c r="AT39" s="1329"/>
      <c r="AU39" s="1329"/>
      <c r="AV39" s="1329"/>
      <c r="AW39" s="1329"/>
      <c r="AX39" s="1329"/>
      <c r="AY39" s="1329"/>
      <c r="AZ39" s="1329"/>
      <c r="BA39" s="1329"/>
      <c r="BB39" s="1329"/>
      <c r="BC39" s="1329"/>
      <c r="BD39" s="1329"/>
      <c r="BE39" s="1329"/>
      <c r="BF39" s="1329"/>
      <c r="BG39" s="1329"/>
      <c r="BH39" s="1329"/>
    </row>
    <row r="40" spans="1:60" s="1332" customFormat="1" ht="31.2" customHeight="1" x14ac:dyDescent="0.35">
      <c r="A40" s="1667">
        <v>9</v>
      </c>
      <c r="B40" s="1668" t="s">
        <v>1112</v>
      </c>
      <c r="C40" s="1672" t="s">
        <v>20</v>
      </c>
      <c r="D40" s="1672">
        <v>12</v>
      </c>
      <c r="E40" s="1670">
        <f t="shared" si="6"/>
        <v>9500</v>
      </c>
      <c r="F40" s="1670">
        <f>D40</f>
        <v>12</v>
      </c>
      <c r="G40" s="1670">
        <f t="shared" si="1"/>
        <v>-9500</v>
      </c>
      <c r="H40" s="1673">
        <v>9500</v>
      </c>
      <c r="I40" s="1666">
        <v>9397.59</v>
      </c>
      <c r="J40" s="1666">
        <v>9600</v>
      </c>
      <c r="K40" s="1666">
        <v>0</v>
      </c>
      <c r="L40" s="1666">
        <f t="shared" si="4"/>
        <v>9500</v>
      </c>
      <c r="M40" s="1666">
        <f>F40*L40</f>
        <v>114000</v>
      </c>
      <c r="N40" s="1666">
        <v>0</v>
      </c>
      <c r="O40" s="1666">
        <f t="shared" si="7"/>
        <v>114000</v>
      </c>
      <c r="P40" s="1666">
        <v>0</v>
      </c>
      <c r="Q40" s="1666"/>
      <c r="R40" s="1666"/>
      <c r="S40" s="1666"/>
      <c r="T40" s="1666"/>
      <c r="U40" s="1666"/>
      <c r="V40" s="1329"/>
      <c r="W40" s="1329"/>
      <c r="X40" s="1329"/>
      <c r="Y40" s="1329"/>
      <c r="Z40" s="1329"/>
      <c r="AA40" s="1329"/>
      <c r="AB40" s="1329"/>
      <c r="AC40" s="1329"/>
      <c r="AD40" s="1329"/>
      <c r="AE40" s="1329"/>
      <c r="AF40" s="1329"/>
      <c r="AG40" s="1329"/>
      <c r="AH40" s="1329"/>
      <c r="AI40" s="1329"/>
      <c r="AJ40" s="1329"/>
      <c r="AK40" s="1329"/>
      <c r="AL40" s="1329"/>
      <c r="AM40" s="1329"/>
      <c r="AN40" s="1329"/>
      <c r="AO40" s="1329"/>
      <c r="AP40" s="1329"/>
      <c r="AQ40" s="1329"/>
      <c r="AR40" s="1329"/>
      <c r="AS40" s="1329"/>
      <c r="AT40" s="1329"/>
      <c r="AU40" s="1329"/>
      <c r="AV40" s="1329"/>
      <c r="AW40" s="1329"/>
      <c r="AX40" s="1329"/>
      <c r="AY40" s="1329"/>
      <c r="AZ40" s="1329"/>
      <c r="BA40" s="1329"/>
      <c r="BB40" s="1329"/>
      <c r="BC40" s="1329"/>
      <c r="BD40" s="1329"/>
      <c r="BE40" s="1329"/>
      <c r="BF40" s="1329"/>
      <c r="BG40" s="1329"/>
      <c r="BH40" s="1329"/>
    </row>
    <row r="41" spans="1:60" s="1332" customFormat="1" ht="31.2" customHeight="1" x14ac:dyDescent="0.35">
      <c r="A41" s="1667">
        <v>10</v>
      </c>
      <c r="B41" s="1668" t="s">
        <v>283</v>
      </c>
      <c r="C41" s="1672" t="s">
        <v>20</v>
      </c>
      <c r="D41" s="1672">
        <v>14</v>
      </c>
      <c r="E41" s="1670">
        <f t="shared" si="6"/>
        <v>1000</v>
      </c>
      <c r="F41" s="1670"/>
      <c r="G41" s="1670">
        <f t="shared" si="1"/>
        <v>-986</v>
      </c>
      <c r="H41" s="1673">
        <v>1000</v>
      </c>
      <c r="I41" s="1666">
        <v>650.6</v>
      </c>
      <c r="J41" s="1666">
        <v>1066.67</v>
      </c>
      <c r="K41" s="1666">
        <v>0</v>
      </c>
      <c r="L41" s="1666">
        <f t="shared" si="4"/>
        <v>1000</v>
      </c>
      <c r="M41" s="1666">
        <f t="shared" si="2"/>
        <v>-986000</v>
      </c>
      <c r="N41" s="1666">
        <f t="shared" si="5"/>
        <v>-986000</v>
      </c>
      <c r="O41" s="1666">
        <v>0</v>
      </c>
      <c r="P41" s="1666">
        <v>0</v>
      </c>
      <c r="Q41" s="1666"/>
      <c r="R41" s="1666"/>
      <c r="S41" s="1666"/>
      <c r="T41" s="1666"/>
      <c r="U41" s="1666"/>
      <c r="V41" s="1329"/>
      <c r="W41" s="1329"/>
      <c r="X41" s="1329"/>
      <c r="Y41" s="1329"/>
      <c r="Z41" s="1329"/>
      <c r="AA41" s="1329"/>
      <c r="AB41" s="1329"/>
      <c r="AC41" s="1329"/>
      <c r="AD41" s="1329"/>
      <c r="AE41" s="1329"/>
      <c r="AF41" s="1329"/>
      <c r="AG41" s="1329"/>
      <c r="AH41" s="1329"/>
      <c r="AI41" s="1329"/>
      <c r="AJ41" s="1329"/>
      <c r="AK41" s="1329"/>
      <c r="AL41" s="1329"/>
      <c r="AM41" s="1329"/>
      <c r="AN41" s="1329"/>
      <c r="AO41" s="1329"/>
      <c r="AP41" s="1329"/>
      <c r="AQ41" s="1329"/>
      <c r="AR41" s="1329"/>
      <c r="AS41" s="1329"/>
      <c r="AT41" s="1329"/>
      <c r="AU41" s="1329"/>
      <c r="AV41" s="1329"/>
      <c r="AW41" s="1329"/>
      <c r="AX41" s="1329"/>
      <c r="AY41" s="1329"/>
      <c r="AZ41" s="1329"/>
      <c r="BA41" s="1329"/>
      <c r="BB41" s="1329"/>
      <c r="BC41" s="1329"/>
      <c r="BD41" s="1329"/>
      <c r="BE41" s="1329"/>
      <c r="BF41" s="1329"/>
      <c r="BG41" s="1329"/>
      <c r="BH41" s="1329"/>
    </row>
    <row r="42" spans="1:60" s="1332" customFormat="1" ht="36" customHeight="1" x14ac:dyDescent="0.35">
      <c r="A42" s="1667">
        <v>11</v>
      </c>
      <c r="B42" s="1668" t="s">
        <v>284</v>
      </c>
      <c r="C42" s="1669" t="s">
        <v>20</v>
      </c>
      <c r="D42" s="1669">
        <v>6</v>
      </c>
      <c r="E42" s="1670">
        <f t="shared" si="6"/>
        <v>75000</v>
      </c>
      <c r="F42" s="1670">
        <f>D42</f>
        <v>6</v>
      </c>
      <c r="G42" s="1670">
        <f t="shared" si="1"/>
        <v>-75000</v>
      </c>
      <c r="H42" s="1673">
        <v>75000</v>
      </c>
      <c r="I42" s="1666">
        <v>52048.19</v>
      </c>
      <c r="J42" s="1666">
        <v>80000</v>
      </c>
      <c r="K42" s="1666">
        <v>85165</v>
      </c>
      <c r="L42" s="1666">
        <f t="shared" si="4"/>
        <v>75000</v>
      </c>
      <c r="M42" s="1666">
        <f>F42*L42</f>
        <v>450000</v>
      </c>
      <c r="N42" s="1666">
        <v>0</v>
      </c>
      <c r="O42" s="1666">
        <f t="shared" si="7"/>
        <v>450000</v>
      </c>
      <c r="P42" s="1666">
        <v>0</v>
      </c>
      <c r="Q42" s="1666"/>
      <c r="R42" s="1666"/>
      <c r="S42" s="1666"/>
      <c r="T42" s="1666"/>
      <c r="U42" s="1666"/>
      <c r="V42" s="1329"/>
      <c r="W42" s="1329"/>
      <c r="X42" s="1329"/>
      <c r="Y42" s="1329"/>
      <c r="Z42" s="1329"/>
      <c r="AA42" s="1329"/>
      <c r="AB42" s="1329"/>
      <c r="AC42" s="1329"/>
      <c r="AD42" s="1329"/>
      <c r="AE42" s="1329"/>
      <c r="AF42" s="1329"/>
      <c r="AG42" s="1329"/>
      <c r="AH42" s="1329"/>
      <c r="AI42" s="1329"/>
      <c r="AJ42" s="1329"/>
      <c r="AK42" s="1329"/>
      <c r="AL42" s="1329"/>
      <c r="AM42" s="1329"/>
      <c r="AN42" s="1329"/>
      <c r="AO42" s="1329"/>
      <c r="AP42" s="1329"/>
      <c r="AQ42" s="1329"/>
      <c r="AR42" s="1329"/>
      <c r="AS42" s="1329"/>
      <c r="AT42" s="1329"/>
      <c r="AU42" s="1329"/>
      <c r="AV42" s="1329"/>
      <c r="AW42" s="1329"/>
      <c r="AX42" s="1329"/>
      <c r="AY42" s="1329"/>
      <c r="AZ42" s="1329"/>
      <c r="BA42" s="1329"/>
      <c r="BB42" s="1329"/>
      <c r="BC42" s="1329"/>
      <c r="BD42" s="1329"/>
      <c r="BE42" s="1329"/>
      <c r="BF42" s="1329"/>
      <c r="BG42" s="1329"/>
      <c r="BH42" s="1329"/>
    </row>
    <row r="43" spans="1:60" s="1332" customFormat="1" ht="31.2" customHeight="1" x14ac:dyDescent="0.35">
      <c r="A43" s="1667">
        <v>12</v>
      </c>
      <c r="B43" s="1668" t="s">
        <v>269</v>
      </c>
      <c r="C43" s="1672" t="s">
        <v>20</v>
      </c>
      <c r="D43" s="1672">
        <v>3</v>
      </c>
      <c r="E43" s="1670">
        <f t="shared" si="6"/>
        <v>10500</v>
      </c>
      <c r="F43" s="1670">
        <f t="shared" ref="F43:F71" si="8">D43</f>
        <v>3</v>
      </c>
      <c r="G43" s="1670">
        <f t="shared" si="1"/>
        <v>-10500</v>
      </c>
      <c r="H43" s="1673">
        <v>10500</v>
      </c>
      <c r="I43" s="1666">
        <v>8132.53</v>
      </c>
      <c r="J43" s="1666">
        <v>0</v>
      </c>
      <c r="K43" s="1666">
        <v>15157.53</v>
      </c>
      <c r="L43" s="1666">
        <f t="shared" si="4"/>
        <v>10500</v>
      </c>
      <c r="M43" s="1666">
        <f>F43*L43</f>
        <v>31500</v>
      </c>
      <c r="N43" s="1666">
        <v>0</v>
      </c>
      <c r="O43" s="1666">
        <f t="shared" si="7"/>
        <v>31500</v>
      </c>
      <c r="P43" s="1666">
        <v>0</v>
      </c>
      <c r="Q43" s="1666"/>
      <c r="R43" s="1666"/>
      <c r="S43" s="1666"/>
      <c r="T43" s="1666"/>
      <c r="U43" s="1666"/>
      <c r="V43" s="1329"/>
      <c r="W43" s="1329"/>
      <c r="X43" s="1329"/>
      <c r="Y43" s="1329"/>
      <c r="Z43" s="1329"/>
      <c r="AA43" s="1329"/>
      <c r="AB43" s="1329"/>
      <c r="AC43" s="1329"/>
      <c r="AD43" s="1329"/>
      <c r="AE43" s="1329"/>
      <c r="AF43" s="1329"/>
      <c r="AG43" s="1329"/>
      <c r="AH43" s="1329"/>
      <c r="AI43" s="1329"/>
      <c r="AJ43" s="1329"/>
      <c r="AK43" s="1329"/>
      <c r="AL43" s="1329"/>
      <c r="AM43" s="1329"/>
      <c r="AN43" s="1329"/>
      <c r="AO43" s="1329"/>
      <c r="AP43" s="1329"/>
      <c r="AQ43" s="1329"/>
      <c r="AR43" s="1329"/>
      <c r="AS43" s="1329"/>
      <c r="AT43" s="1329"/>
      <c r="AU43" s="1329"/>
      <c r="AV43" s="1329"/>
      <c r="AW43" s="1329"/>
      <c r="AX43" s="1329"/>
      <c r="AY43" s="1329"/>
      <c r="AZ43" s="1329"/>
      <c r="BA43" s="1329"/>
      <c r="BB43" s="1329"/>
      <c r="BC43" s="1329"/>
      <c r="BD43" s="1329"/>
      <c r="BE43" s="1329"/>
      <c r="BF43" s="1329"/>
      <c r="BG43" s="1329"/>
      <c r="BH43" s="1329"/>
    </row>
    <row r="44" spans="1:60" s="1332" customFormat="1" ht="48.6" customHeight="1" x14ac:dyDescent="0.35">
      <c r="A44" s="1667">
        <v>13</v>
      </c>
      <c r="B44" s="1668" t="s">
        <v>285</v>
      </c>
      <c r="C44" s="1669" t="s">
        <v>286</v>
      </c>
      <c r="D44" s="1669">
        <v>3</v>
      </c>
      <c r="E44" s="1670">
        <f t="shared" si="6"/>
        <v>1980000</v>
      </c>
      <c r="F44" s="1670">
        <f t="shared" si="8"/>
        <v>3</v>
      </c>
      <c r="G44" s="1670">
        <f>((D44-(E44+F44)))*0</f>
        <v>0</v>
      </c>
      <c r="H44" s="1666">
        <v>1980000</v>
      </c>
      <c r="I44" s="1666">
        <v>915662.65</v>
      </c>
      <c r="J44" s="1666">
        <v>0</v>
      </c>
      <c r="K44" s="1673">
        <v>896000</v>
      </c>
      <c r="L44" s="1666">
        <f>K44</f>
        <v>896000</v>
      </c>
      <c r="M44" s="1666">
        <f>1*L44</f>
        <v>896000</v>
      </c>
      <c r="N44" s="1666">
        <v>0</v>
      </c>
      <c r="O44" s="1666">
        <f t="shared" si="7"/>
        <v>896000</v>
      </c>
      <c r="P44" s="1666">
        <v>0</v>
      </c>
      <c r="Q44" s="1666"/>
      <c r="R44" s="1666"/>
      <c r="S44" s="1666"/>
      <c r="T44" s="1666"/>
      <c r="U44" s="1666"/>
      <c r="V44" s="1329"/>
      <c r="W44" s="1329"/>
      <c r="X44" s="1329"/>
      <c r="Y44" s="1329"/>
      <c r="Z44" s="1329"/>
      <c r="AA44" s="1329"/>
      <c r="AB44" s="1329"/>
      <c r="AC44" s="1329"/>
      <c r="AD44" s="1329"/>
      <c r="AE44" s="1329"/>
      <c r="AF44" s="1329"/>
      <c r="AG44" s="1329"/>
      <c r="AH44" s="1329"/>
      <c r="AI44" s="1329"/>
      <c r="AJ44" s="1329"/>
      <c r="AK44" s="1329"/>
      <c r="AL44" s="1329"/>
      <c r="AM44" s="1329"/>
      <c r="AN44" s="1329"/>
      <c r="AO44" s="1329"/>
      <c r="AP44" s="1329"/>
      <c r="AQ44" s="1329"/>
      <c r="AR44" s="1329"/>
      <c r="AS44" s="1329"/>
      <c r="AT44" s="1329"/>
      <c r="AU44" s="1329"/>
      <c r="AV44" s="1329"/>
      <c r="AW44" s="1329"/>
      <c r="AX44" s="1329"/>
      <c r="AY44" s="1329"/>
      <c r="AZ44" s="1329"/>
      <c r="BA44" s="1329"/>
      <c r="BB44" s="1329"/>
      <c r="BC44" s="1329"/>
      <c r="BD44" s="1329"/>
      <c r="BE44" s="1329"/>
      <c r="BF44" s="1329"/>
      <c r="BG44" s="1329"/>
      <c r="BH44" s="1329"/>
    </row>
    <row r="45" spans="1:60" s="1332" customFormat="1" ht="31.2" customHeight="1" x14ac:dyDescent="0.35">
      <c r="A45" s="1667">
        <v>14</v>
      </c>
      <c r="B45" s="1668" t="s">
        <v>287</v>
      </c>
      <c r="C45" s="1669" t="s">
        <v>20</v>
      </c>
      <c r="D45" s="1669">
        <v>3</v>
      </c>
      <c r="E45" s="1670">
        <f t="shared" si="6"/>
        <v>170000</v>
      </c>
      <c r="F45" s="1670"/>
      <c r="G45" s="1670">
        <f t="shared" si="1"/>
        <v>-169997</v>
      </c>
      <c r="H45" s="1673">
        <v>170000</v>
      </c>
      <c r="I45" s="1666">
        <v>301204.92</v>
      </c>
      <c r="J45" s="1666">
        <v>0</v>
      </c>
      <c r="K45" s="1666">
        <v>0</v>
      </c>
      <c r="L45" s="1666">
        <f t="shared" ref="L45:L56" si="9">H45</f>
        <v>170000</v>
      </c>
      <c r="M45" s="1666">
        <f t="shared" si="2"/>
        <v>-28899490000</v>
      </c>
      <c r="N45" s="1666">
        <f t="shared" si="5"/>
        <v>-28899490000</v>
      </c>
      <c r="O45" s="1666">
        <v>0</v>
      </c>
      <c r="P45" s="1666">
        <v>0</v>
      </c>
      <c r="Q45" s="1666"/>
      <c r="R45" s="1666"/>
      <c r="S45" s="1666"/>
      <c r="T45" s="1666"/>
      <c r="U45" s="1666"/>
      <c r="V45" s="1329"/>
      <c r="W45" s="1329"/>
      <c r="X45" s="1329"/>
      <c r="Y45" s="1329"/>
      <c r="Z45" s="1329"/>
      <c r="AA45" s="1329"/>
      <c r="AB45" s="1329"/>
      <c r="AC45" s="1329"/>
      <c r="AD45" s="1329"/>
      <c r="AE45" s="1329"/>
      <c r="AF45" s="1329"/>
      <c r="AG45" s="1329"/>
      <c r="AH45" s="1329"/>
      <c r="AI45" s="1329"/>
      <c r="AJ45" s="1329"/>
      <c r="AK45" s="1329"/>
      <c r="AL45" s="1329"/>
      <c r="AM45" s="1329"/>
      <c r="AN45" s="1329"/>
      <c r="AO45" s="1329"/>
      <c r="AP45" s="1329"/>
      <c r="AQ45" s="1329"/>
      <c r="AR45" s="1329"/>
      <c r="AS45" s="1329"/>
      <c r="AT45" s="1329"/>
      <c r="AU45" s="1329"/>
      <c r="AV45" s="1329"/>
      <c r="AW45" s="1329"/>
      <c r="AX45" s="1329"/>
      <c r="AY45" s="1329"/>
      <c r="AZ45" s="1329"/>
      <c r="BA45" s="1329"/>
      <c r="BB45" s="1329"/>
      <c r="BC45" s="1329"/>
      <c r="BD45" s="1329"/>
      <c r="BE45" s="1329"/>
      <c r="BF45" s="1329"/>
      <c r="BG45" s="1329"/>
      <c r="BH45" s="1329"/>
    </row>
    <row r="46" spans="1:60" s="1332" customFormat="1" ht="31.2" customHeight="1" x14ac:dyDescent="0.35">
      <c r="A46" s="1667">
        <v>15</v>
      </c>
      <c r="B46" s="1668" t="s">
        <v>281</v>
      </c>
      <c r="C46" s="1669" t="s">
        <v>20</v>
      </c>
      <c r="D46" s="1669">
        <v>3</v>
      </c>
      <c r="E46" s="1670">
        <f t="shared" si="6"/>
        <v>165000</v>
      </c>
      <c r="F46" s="1670"/>
      <c r="G46" s="1670">
        <f t="shared" si="1"/>
        <v>-164997</v>
      </c>
      <c r="H46" s="1673">
        <v>165000</v>
      </c>
      <c r="I46" s="1666">
        <v>463855.42</v>
      </c>
      <c r="J46" s="1666">
        <v>0</v>
      </c>
      <c r="K46" s="1666">
        <v>0</v>
      </c>
      <c r="L46" s="1666">
        <f t="shared" si="9"/>
        <v>165000</v>
      </c>
      <c r="M46" s="1666">
        <f t="shared" si="2"/>
        <v>-27224505000</v>
      </c>
      <c r="N46" s="1666">
        <f t="shared" si="5"/>
        <v>-27224505000</v>
      </c>
      <c r="O46" s="1666">
        <v>0</v>
      </c>
      <c r="P46" s="1666">
        <v>0</v>
      </c>
      <c r="Q46" s="1666"/>
      <c r="R46" s="1666"/>
      <c r="S46" s="1666"/>
      <c r="T46" s="1666"/>
      <c r="U46" s="1666"/>
      <c r="V46" s="1329"/>
      <c r="W46" s="1329"/>
      <c r="X46" s="1329"/>
      <c r="Y46" s="1329"/>
      <c r="Z46" s="1329"/>
      <c r="AA46" s="1329"/>
      <c r="AB46" s="1329"/>
      <c r="AC46" s="1329"/>
      <c r="AD46" s="1329"/>
      <c r="AE46" s="1329"/>
      <c r="AF46" s="1329"/>
      <c r="AG46" s="1329"/>
      <c r="AH46" s="1329"/>
      <c r="AI46" s="1329"/>
      <c r="AJ46" s="1329"/>
      <c r="AK46" s="1329"/>
      <c r="AL46" s="1329"/>
      <c r="AM46" s="1329"/>
      <c r="AN46" s="1329"/>
      <c r="AO46" s="1329"/>
      <c r="AP46" s="1329"/>
      <c r="AQ46" s="1329"/>
      <c r="AR46" s="1329"/>
      <c r="AS46" s="1329"/>
      <c r="AT46" s="1329"/>
      <c r="AU46" s="1329"/>
      <c r="AV46" s="1329"/>
      <c r="AW46" s="1329"/>
      <c r="AX46" s="1329"/>
      <c r="AY46" s="1329"/>
      <c r="AZ46" s="1329"/>
      <c r="BA46" s="1329"/>
      <c r="BB46" s="1329"/>
      <c r="BC46" s="1329"/>
      <c r="BD46" s="1329"/>
      <c r="BE46" s="1329"/>
      <c r="BF46" s="1329"/>
      <c r="BG46" s="1329"/>
      <c r="BH46" s="1329"/>
    </row>
    <row r="47" spans="1:60" s="1332" customFormat="1" ht="31.2" customHeight="1" x14ac:dyDescent="0.35">
      <c r="A47" s="1667">
        <v>16</v>
      </c>
      <c r="B47" s="1668" t="s">
        <v>293</v>
      </c>
      <c r="C47" s="1669" t="s">
        <v>20</v>
      </c>
      <c r="D47" s="1669">
        <v>6</v>
      </c>
      <c r="E47" s="1670">
        <f t="shared" si="6"/>
        <v>6500</v>
      </c>
      <c r="F47" s="1670"/>
      <c r="G47" s="1670">
        <f t="shared" si="1"/>
        <v>-6494</v>
      </c>
      <c r="H47" s="1673">
        <v>6500</v>
      </c>
      <c r="I47" s="1666">
        <v>7108.43</v>
      </c>
      <c r="J47" s="1666">
        <v>0</v>
      </c>
      <c r="K47" s="1666">
        <v>0</v>
      </c>
      <c r="L47" s="1666">
        <f t="shared" si="9"/>
        <v>6500</v>
      </c>
      <c r="M47" s="1666">
        <f t="shared" si="2"/>
        <v>-42211000</v>
      </c>
      <c r="N47" s="1666">
        <f t="shared" si="5"/>
        <v>-42211000</v>
      </c>
      <c r="O47" s="1666">
        <v>0</v>
      </c>
      <c r="P47" s="1666">
        <v>0</v>
      </c>
      <c r="Q47" s="1666"/>
      <c r="R47" s="1666"/>
      <c r="S47" s="1666"/>
      <c r="T47" s="1666"/>
      <c r="U47" s="1666"/>
      <c r="V47" s="1329"/>
      <c r="W47" s="1329"/>
      <c r="X47" s="1329"/>
      <c r="Y47" s="1329"/>
      <c r="Z47" s="1329"/>
      <c r="AA47" s="1329"/>
      <c r="AB47" s="1329"/>
      <c r="AC47" s="1329"/>
      <c r="AD47" s="1329"/>
      <c r="AE47" s="1329"/>
      <c r="AF47" s="1329"/>
      <c r="AG47" s="1329"/>
      <c r="AH47" s="1329"/>
      <c r="AI47" s="1329"/>
      <c r="AJ47" s="1329"/>
      <c r="AK47" s="1329"/>
      <c r="AL47" s="1329"/>
      <c r="AM47" s="1329"/>
      <c r="AN47" s="1329"/>
      <c r="AO47" s="1329"/>
      <c r="AP47" s="1329"/>
      <c r="AQ47" s="1329"/>
      <c r="AR47" s="1329"/>
      <c r="AS47" s="1329"/>
      <c r="AT47" s="1329"/>
      <c r="AU47" s="1329"/>
      <c r="AV47" s="1329"/>
      <c r="AW47" s="1329"/>
      <c r="AX47" s="1329"/>
      <c r="AY47" s="1329"/>
      <c r="AZ47" s="1329"/>
      <c r="BA47" s="1329"/>
      <c r="BB47" s="1329"/>
      <c r="BC47" s="1329"/>
      <c r="BD47" s="1329"/>
      <c r="BE47" s="1329"/>
      <c r="BF47" s="1329"/>
      <c r="BG47" s="1329"/>
      <c r="BH47" s="1329"/>
    </row>
    <row r="48" spans="1:60" s="1332" customFormat="1" ht="31.2" customHeight="1" x14ac:dyDescent="0.35">
      <c r="A48" s="1667">
        <v>17</v>
      </c>
      <c r="B48" s="1668" t="s">
        <v>294</v>
      </c>
      <c r="C48" s="1669" t="s">
        <v>20</v>
      </c>
      <c r="D48" s="1669">
        <v>6</v>
      </c>
      <c r="E48" s="1670">
        <f t="shared" si="6"/>
        <v>8500</v>
      </c>
      <c r="F48" s="1670">
        <f t="shared" si="8"/>
        <v>6</v>
      </c>
      <c r="G48" s="1670">
        <f t="shared" si="1"/>
        <v>-8500</v>
      </c>
      <c r="H48" s="1673">
        <v>8500</v>
      </c>
      <c r="I48" s="1666">
        <v>10180.719999999999</v>
      </c>
      <c r="J48" s="1666">
        <v>0</v>
      </c>
      <c r="K48" s="1666">
        <v>0</v>
      </c>
      <c r="L48" s="1666">
        <f t="shared" si="9"/>
        <v>8500</v>
      </c>
      <c r="M48" s="1666">
        <f>F48*L48</f>
        <v>51000</v>
      </c>
      <c r="N48" s="1666">
        <v>0</v>
      </c>
      <c r="O48" s="1666">
        <f t="shared" si="7"/>
        <v>51000</v>
      </c>
      <c r="P48" s="1666">
        <v>0</v>
      </c>
      <c r="Q48" s="1666"/>
      <c r="R48" s="1666"/>
      <c r="S48" s="1666"/>
      <c r="T48" s="1666"/>
      <c r="U48" s="1666"/>
      <c r="V48" s="1329"/>
      <c r="W48" s="1329"/>
      <c r="X48" s="1329"/>
      <c r="Y48" s="1329"/>
      <c r="Z48" s="1329"/>
      <c r="AA48" s="1329"/>
      <c r="AB48" s="1329"/>
      <c r="AC48" s="1329"/>
      <c r="AD48" s="1329"/>
      <c r="AE48" s="1329"/>
      <c r="AF48" s="1329"/>
      <c r="AG48" s="1329"/>
      <c r="AH48" s="1329"/>
      <c r="AI48" s="1329"/>
      <c r="AJ48" s="1329"/>
      <c r="AK48" s="1329"/>
      <c r="AL48" s="1329"/>
      <c r="AM48" s="1329"/>
      <c r="AN48" s="1329"/>
      <c r="AO48" s="1329"/>
      <c r="AP48" s="1329"/>
      <c r="AQ48" s="1329"/>
      <c r="AR48" s="1329"/>
      <c r="AS48" s="1329"/>
      <c r="AT48" s="1329"/>
      <c r="AU48" s="1329"/>
      <c r="AV48" s="1329"/>
      <c r="AW48" s="1329"/>
      <c r="AX48" s="1329"/>
      <c r="AY48" s="1329"/>
      <c r="AZ48" s="1329"/>
      <c r="BA48" s="1329"/>
      <c r="BB48" s="1329"/>
      <c r="BC48" s="1329"/>
      <c r="BD48" s="1329"/>
      <c r="BE48" s="1329"/>
      <c r="BF48" s="1329"/>
      <c r="BG48" s="1329"/>
      <c r="BH48" s="1329"/>
    </row>
    <row r="49" spans="1:60" s="1332" customFormat="1" ht="31.2" customHeight="1" x14ac:dyDescent="0.35">
      <c r="A49" s="1667">
        <v>18</v>
      </c>
      <c r="B49" s="1668" t="s">
        <v>110</v>
      </c>
      <c r="C49" s="1669" t="s">
        <v>20</v>
      </c>
      <c r="D49" s="1669">
        <v>6</v>
      </c>
      <c r="E49" s="1670">
        <f t="shared" si="6"/>
        <v>0</v>
      </c>
      <c r="F49" s="1670"/>
      <c r="G49" s="1670">
        <f t="shared" si="1"/>
        <v>6</v>
      </c>
      <c r="H49" s="1666">
        <v>0</v>
      </c>
      <c r="I49" s="1666">
        <v>0</v>
      </c>
      <c r="J49" s="1666">
        <v>0</v>
      </c>
      <c r="K49" s="1666">
        <v>0</v>
      </c>
      <c r="L49" s="1666">
        <f t="shared" si="9"/>
        <v>0</v>
      </c>
      <c r="M49" s="1666">
        <f t="shared" si="2"/>
        <v>0</v>
      </c>
      <c r="N49" s="1666">
        <f t="shared" si="5"/>
        <v>0</v>
      </c>
      <c r="O49" s="1666">
        <f t="shared" si="7"/>
        <v>0</v>
      </c>
      <c r="P49" s="1666">
        <f t="shared" si="3"/>
        <v>0</v>
      </c>
      <c r="Q49" s="1666"/>
      <c r="R49" s="1666"/>
      <c r="S49" s="1666"/>
      <c r="T49" s="1666"/>
      <c r="U49" s="1666"/>
      <c r="V49" s="1329"/>
      <c r="W49" s="1329"/>
      <c r="X49" s="1329"/>
      <c r="Y49" s="1329"/>
      <c r="Z49" s="1329"/>
      <c r="AA49" s="1329"/>
      <c r="AB49" s="1329"/>
      <c r="AC49" s="1329"/>
      <c r="AD49" s="1329"/>
      <c r="AE49" s="1329"/>
      <c r="AF49" s="1329"/>
      <c r="AG49" s="1329"/>
      <c r="AH49" s="1329"/>
      <c r="AI49" s="1329"/>
      <c r="AJ49" s="1329"/>
      <c r="AK49" s="1329"/>
      <c r="AL49" s="1329"/>
      <c r="AM49" s="1329"/>
      <c r="AN49" s="1329"/>
      <c r="AO49" s="1329"/>
      <c r="AP49" s="1329"/>
      <c r="AQ49" s="1329"/>
      <c r="AR49" s="1329"/>
      <c r="AS49" s="1329"/>
      <c r="AT49" s="1329"/>
      <c r="AU49" s="1329"/>
      <c r="AV49" s="1329"/>
      <c r="AW49" s="1329"/>
      <c r="AX49" s="1329"/>
      <c r="AY49" s="1329"/>
      <c r="AZ49" s="1329"/>
      <c r="BA49" s="1329"/>
      <c r="BB49" s="1329"/>
      <c r="BC49" s="1329"/>
      <c r="BD49" s="1329"/>
      <c r="BE49" s="1329"/>
      <c r="BF49" s="1329"/>
      <c r="BG49" s="1329"/>
      <c r="BH49" s="1329"/>
    </row>
    <row r="50" spans="1:60" s="1332" customFormat="1" ht="31.2" customHeight="1" x14ac:dyDescent="0.35">
      <c r="A50" s="1667">
        <v>19</v>
      </c>
      <c r="B50" s="1668" t="s">
        <v>295</v>
      </c>
      <c r="C50" s="1672" t="s">
        <v>20</v>
      </c>
      <c r="D50" s="1672">
        <v>8</v>
      </c>
      <c r="E50" s="1670">
        <f t="shared" si="6"/>
        <v>10000</v>
      </c>
      <c r="F50" s="1670">
        <f t="shared" si="8"/>
        <v>8</v>
      </c>
      <c r="G50" s="1670">
        <f t="shared" si="1"/>
        <v>-10000</v>
      </c>
      <c r="H50" s="1673">
        <v>10000</v>
      </c>
      <c r="I50" s="1666">
        <v>9518.07</v>
      </c>
      <c r="J50" s="1666">
        <v>0</v>
      </c>
      <c r="K50" s="1666">
        <v>0</v>
      </c>
      <c r="L50" s="1666">
        <f t="shared" si="9"/>
        <v>10000</v>
      </c>
      <c r="M50" s="1666">
        <f>F50*L50</f>
        <v>80000</v>
      </c>
      <c r="N50" s="1666">
        <v>0</v>
      </c>
      <c r="O50" s="1666">
        <f t="shared" si="7"/>
        <v>80000</v>
      </c>
      <c r="P50" s="1666">
        <v>0</v>
      </c>
      <c r="Q50" s="1666"/>
      <c r="R50" s="1666"/>
      <c r="S50" s="1666"/>
      <c r="T50" s="1666"/>
      <c r="U50" s="1666"/>
      <c r="V50" s="1329"/>
      <c r="W50" s="1329"/>
      <c r="X50" s="1329"/>
      <c r="Y50" s="1329"/>
      <c r="Z50" s="1329"/>
      <c r="AA50" s="1329"/>
      <c r="AB50" s="1329"/>
      <c r="AC50" s="1329"/>
      <c r="AD50" s="1329"/>
      <c r="AE50" s="1329"/>
      <c r="AF50" s="1329"/>
      <c r="AG50" s="1329"/>
      <c r="AH50" s="1329"/>
      <c r="AI50" s="1329"/>
      <c r="AJ50" s="1329"/>
      <c r="AK50" s="1329"/>
      <c r="AL50" s="1329"/>
      <c r="AM50" s="1329"/>
      <c r="AN50" s="1329"/>
      <c r="AO50" s="1329"/>
      <c r="AP50" s="1329"/>
      <c r="AQ50" s="1329"/>
      <c r="AR50" s="1329"/>
      <c r="AS50" s="1329"/>
      <c r="AT50" s="1329"/>
      <c r="AU50" s="1329"/>
      <c r="AV50" s="1329"/>
      <c r="AW50" s="1329"/>
      <c r="AX50" s="1329"/>
      <c r="AY50" s="1329"/>
      <c r="AZ50" s="1329"/>
      <c r="BA50" s="1329"/>
      <c r="BB50" s="1329"/>
      <c r="BC50" s="1329"/>
      <c r="BD50" s="1329"/>
      <c r="BE50" s="1329"/>
      <c r="BF50" s="1329"/>
      <c r="BG50" s="1329"/>
      <c r="BH50" s="1329"/>
    </row>
    <row r="51" spans="1:60" s="1332" customFormat="1" ht="31.2" customHeight="1" x14ac:dyDescent="0.35">
      <c r="A51" s="1667">
        <v>20</v>
      </c>
      <c r="B51" s="1668" t="s">
        <v>111</v>
      </c>
      <c r="C51" s="1672" t="s">
        <v>20</v>
      </c>
      <c r="D51" s="1672">
        <v>4</v>
      </c>
      <c r="E51" s="1670">
        <f t="shared" si="6"/>
        <v>10500</v>
      </c>
      <c r="F51" s="1670">
        <f t="shared" si="8"/>
        <v>4</v>
      </c>
      <c r="G51" s="1670">
        <f t="shared" si="1"/>
        <v>-10500</v>
      </c>
      <c r="H51" s="1673">
        <v>10500</v>
      </c>
      <c r="I51" s="1666">
        <v>9397.59</v>
      </c>
      <c r="J51" s="1666">
        <v>13733.33</v>
      </c>
      <c r="K51" s="1666">
        <v>0</v>
      </c>
      <c r="L51" s="1666">
        <f t="shared" si="9"/>
        <v>10500</v>
      </c>
      <c r="M51" s="1666">
        <f>F51*L51</f>
        <v>42000</v>
      </c>
      <c r="N51" s="1666">
        <v>0</v>
      </c>
      <c r="O51" s="1666">
        <f t="shared" si="7"/>
        <v>42000</v>
      </c>
      <c r="P51" s="1666">
        <v>0</v>
      </c>
      <c r="Q51" s="1666"/>
      <c r="R51" s="1666"/>
      <c r="S51" s="1666"/>
      <c r="T51" s="1666"/>
      <c r="U51" s="1666"/>
      <c r="V51" s="1329"/>
      <c r="W51" s="1329"/>
      <c r="X51" s="1329"/>
      <c r="Y51" s="1329"/>
      <c r="Z51" s="1329"/>
      <c r="AA51" s="1329"/>
      <c r="AB51" s="1329"/>
      <c r="AC51" s="1329"/>
      <c r="AD51" s="1329"/>
      <c r="AE51" s="1329"/>
      <c r="AF51" s="1329"/>
      <c r="AG51" s="1329"/>
      <c r="AH51" s="1329"/>
      <c r="AI51" s="1329"/>
      <c r="AJ51" s="1329"/>
      <c r="AK51" s="1329"/>
      <c r="AL51" s="1329"/>
      <c r="AM51" s="1329"/>
      <c r="AN51" s="1329"/>
      <c r="AO51" s="1329"/>
      <c r="AP51" s="1329"/>
      <c r="AQ51" s="1329"/>
      <c r="AR51" s="1329"/>
      <c r="AS51" s="1329"/>
      <c r="AT51" s="1329"/>
      <c r="AU51" s="1329"/>
      <c r="AV51" s="1329"/>
      <c r="AW51" s="1329"/>
      <c r="AX51" s="1329"/>
      <c r="AY51" s="1329"/>
      <c r="AZ51" s="1329"/>
      <c r="BA51" s="1329"/>
      <c r="BB51" s="1329"/>
      <c r="BC51" s="1329"/>
      <c r="BD51" s="1329"/>
      <c r="BE51" s="1329"/>
      <c r="BF51" s="1329"/>
      <c r="BG51" s="1329"/>
      <c r="BH51" s="1329"/>
    </row>
    <row r="52" spans="1:60" s="1332" customFormat="1" ht="31.2" customHeight="1" x14ac:dyDescent="0.35">
      <c r="A52" s="1667">
        <v>21</v>
      </c>
      <c r="B52" s="1668" t="s">
        <v>112</v>
      </c>
      <c r="C52" s="1672" t="s">
        <v>20</v>
      </c>
      <c r="D52" s="1672">
        <v>6</v>
      </c>
      <c r="E52" s="1670">
        <f t="shared" si="6"/>
        <v>0</v>
      </c>
      <c r="F52" s="1670">
        <f t="shared" si="8"/>
        <v>6</v>
      </c>
      <c r="G52" s="1670">
        <f t="shared" si="1"/>
        <v>0</v>
      </c>
      <c r="H52" s="1666">
        <v>0</v>
      </c>
      <c r="I52" s="1666">
        <v>0</v>
      </c>
      <c r="J52" s="1666">
        <v>0</v>
      </c>
      <c r="K52" s="1666">
        <v>0</v>
      </c>
      <c r="L52" s="1666">
        <f t="shared" si="9"/>
        <v>0</v>
      </c>
      <c r="M52" s="1666">
        <f>F52*L52</f>
        <v>0</v>
      </c>
      <c r="N52" s="1666">
        <f t="shared" si="5"/>
        <v>0</v>
      </c>
      <c r="O52" s="1666">
        <f t="shared" si="7"/>
        <v>0</v>
      </c>
      <c r="P52" s="1666">
        <f t="shared" si="3"/>
        <v>0</v>
      </c>
      <c r="Q52" s="1666"/>
      <c r="R52" s="1666"/>
      <c r="S52" s="1666"/>
      <c r="T52" s="1666"/>
      <c r="U52" s="1666"/>
      <c r="V52" s="1329"/>
      <c r="W52" s="1329"/>
      <c r="X52" s="1329"/>
      <c r="Y52" s="1329"/>
      <c r="Z52" s="1329"/>
      <c r="AA52" s="1329"/>
      <c r="AB52" s="1329"/>
      <c r="AC52" s="1329"/>
      <c r="AD52" s="1329"/>
      <c r="AE52" s="1329"/>
      <c r="AF52" s="1329"/>
      <c r="AG52" s="1329"/>
      <c r="AH52" s="1329"/>
      <c r="AI52" s="1329"/>
      <c r="AJ52" s="1329"/>
      <c r="AK52" s="1329"/>
      <c r="AL52" s="1329"/>
      <c r="AM52" s="1329"/>
      <c r="AN52" s="1329"/>
      <c r="AO52" s="1329"/>
      <c r="AP52" s="1329"/>
      <c r="AQ52" s="1329"/>
      <c r="AR52" s="1329"/>
      <c r="AS52" s="1329"/>
      <c r="AT52" s="1329"/>
      <c r="AU52" s="1329"/>
      <c r="AV52" s="1329"/>
      <c r="AW52" s="1329"/>
      <c r="AX52" s="1329"/>
      <c r="AY52" s="1329"/>
      <c r="AZ52" s="1329"/>
      <c r="BA52" s="1329"/>
      <c r="BB52" s="1329"/>
      <c r="BC52" s="1329"/>
      <c r="BD52" s="1329"/>
      <c r="BE52" s="1329"/>
      <c r="BF52" s="1329"/>
      <c r="BG52" s="1329"/>
      <c r="BH52" s="1329"/>
    </row>
    <row r="53" spans="1:60" s="1332" customFormat="1" ht="31.2" customHeight="1" x14ac:dyDescent="0.35">
      <c r="A53" s="1667">
        <v>22</v>
      </c>
      <c r="B53" s="1668" t="s">
        <v>113</v>
      </c>
      <c r="C53" s="1672" t="s">
        <v>20</v>
      </c>
      <c r="D53" s="1672">
        <v>3</v>
      </c>
      <c r="E53" s="1670">
        <f t="shared" si="6"/>
        <v>0</v>
      </c>
      <c r="F53" s="1670">
        <f t="shared" si="8"/>
        <v>3</v>
      </c>
      <c r="G53" s="1670">
        <f t="shared" si="1"/>
        <v>0</v>
      </c>
      <c r="H53" s="1666">
        <v>0</v>
      </c>
      <c r="I53" s="1666">
        <v>0</v>
      </c>
      <c r="J53" s="1666">
        <v>0</v>
      </c>
      <c r="K53" s="1666">
        <v>0</v>
      </c>
      <c r="L53" s="1666">
        <f t="shared" si="9"/>
        <v>0</v>
      </c>
      <c r="M53" s="1666">
        <f>F53*L53</f>
        <v>0</v>
      </c>
      <c r="N53" s="1666">
        <f t="shared" si="5"/>
        <v>0</v>
      </c>
      <c r="O53" s="1666">
        <f t="shared" si="7"/>
        <v>0</v>
      </c>
      <c r="P53" s="1666">
        <f t="shared" si="3"/>
        <v>0</v>
      </c>
      <c r="Q53" s="1666"/>
      <c r="R53" s="1666"/>
      <c r="S53" s="1666"/>
      <c r="T53" s="1666"/>
      <c r="U53" s="1666"/>
      <c r="V53" s="1329"/>
      <c r="W53" s="1329"/>
      <c r="X53" s="1329"/>
      <c r="Y53" s="1329"/>
      <c r="Z53" s="1329"/>
      <c r="AA53" s="1329"/>
      <c r="AB53" s="1329"/>
      <c r="AC53" s="1329"/>
      <c r="AD53" s="1329"/>
      <c r="AE53" s="1329"/>
      <c r="AF53" s="1329"/>
      <c r="AG53" s="1329"/>
      <c r="AH53" s="1329"/>
      <c r="AI53" s="1329"/>
      <c r="AJ53" s="1329"/>
      <c r="AK53" s="1329"/>
      <c r="AL53" s="1329"/>
      <c r="AM53" s="1329"/>
      <c r="AN53" s="1329"/>
      <c r="AO53" s="1329"/>
      <c r="AP53" s="1329"/>
      <c r="AQ53" s="1329"/>
      <c r="AR53" s="1329"/>
      <c r="AS53" s="1329"/>
      <c r="AT53" s="1329"/>
      <c r="AU53" s="1329"/>
      <c r="AV53" s="1329"/>
      <c r="AW53" s="1329"/>
      <c r="AX53" s="1329"/>
      <c r="AY53" s="1329"/>
      <c r="AZ53" s="1329"/>
      <c r="BA53" s="1329"/>
      <c r="BB53" s="1329"/>
      <c r="BC53" s="1329"/>
      <c r="BD53" s="1329"/>
      <c r="BE53" s="1329"/>
      <c r="BF53" s="1329"/>
      <c r="BG53" s="1329"/>
      <c r="BH53" s="1329"/>
    </row>
    <row r="54" spans="1:60" s="1332" customFormat="1" ht="54.6" customHeight="1" x14ac:dyDescent="0.35">
      <c r="A54" s="1667">
        <v>23</v>
      </c>
      <c r="B54" s="1668" t="s">
        <v>114</v>
      </c>
      <c r="C54" s="1672" t="s">
        <v>20</v>
      </c>
      <c r="D54" s="1672">
        <v>2</v>
      </c>
      <c r="E54" s="1670">
        <f t="shared" si="6"/>
        <v>9500</v>
      </c>
      <c r="F54" s="1670">
        <f t="shared" si="8"/>
        <v>2</v>
      </c>
      <c r="G54" s="1670">
        <f t="shared" si="1"/>
        <v>-9500</v>
      </c>
      <c r="H54" s="1673">
        <v>9500</v>
      </c>
      <c r="I54" s="1666">
        <v>7710.84</v>
      </c>
      <c r="J54" s="1666">
        <v>0</v>
      </c>
      <c r="K54" s="1666">
        <v>0</v>
      </c>
      <c r="L54" s="1666">
        <f t="shared" si="9"/>
        <v>9500</v>
      </c>
      <c r="M54" s="1666">
        <f>F54*L54</f>
        <v>19000</v>
      </c>
      <c r="N54" s="1666">
        <v>0</v>
      </c>
      <c r="O54" s="1666">
        <f t="shared" si="7"/>
        <v>19000</v>
      </c>
      <c r="P54" s="1666">
        <v>0</v>
      </c>
      <c r="Q54" s="1666"/>
      <c r="R54" s="1666"/>
      <c r="S54" s="1666"/>
      <c r="T54" s="1666"/>
      <c r="U54" s="1666"/>
      <c r="V54" s="1329"/>
      <c r="W54" s="1329"/>
      <c r="X54" s="1329"/>
      <c r="Y54" s="1329"/>
      <c r="Z54" s="1329"/>
      <c r="AA54" s="1329"/>
      <c r="AB54" s="1329"/>
      <c r="AC54" s="1329"/>
      <c r="AD54" s="1329"/>
      <c r="AE54" s="1329"/>
      <c r="AF54" s="1329"/>
      <c r="AG54" s="1329"/>
      <c r="AH54" s="1329"/>
      <c r="AI54" s="1329"/>
      <c r="AJ54" s="1329"/>
      <c r="AK54" s="1329"/>
      <c r="AL54" s="1329"/>
      <c r="AM54" s="1329"/>
      <c r="AN54" s="1329"/>
      <c r="AO54" s="1329"/>
      <c r="AP54" s="1329"/>
      <c r="AQ54" s="1329"/>
      <c r="AR54" s="1329"/>
      <c r="AS54" s="1329"/>
      <c r="AT54" s="1329"/>
      <c r="AU54" s="1329"/>
      <c r="AV54" s="1329"/>
      <c r="AW54" s="1329"/>
      <c r="AX54" s="1329"/>
      <c r="AY54" s="1329"/>
      <c r="AZ54" s="1329"/>
      <c r="BA54" s="1329"/>
      <c r="BB54" s="1329"/>
      <c r="BC54" s="1329"/>
      <c r="BD54" s="1329"/>
      <c r="BE54" s="1329"/>
      <c r="BF54" s="1329"/>
      <c r="BG54" s="1329"/>
      <c r="BH54" s="1329"/>
    </row>
    <row r="55" spans="1:60" s="1332" customFormat="1" ht="31.2" customHeight="1" x14ac:dyDescent="0.35">
      <c r="A55" s="1667">
        <v>24</v>
      </c>
      <c r="B55" s="1668" t="s">
        <v>115</v>
      </c>
      <c r="C55" s="1672" t="s">
        <v>20</v>
      </c>
      <c r="D55" s="1672">
        <v>1</v>
      </c>
      <c r="E55" s="1670">
        <f t="shared" si="6"/>
        <v>20000</v>
      </c>
      <c r="F55" s="1670"/>
      <c r="G55" s="1670">
        <f t="shared" si="1"/>
        <v>-19999</v>
      </c>
      <c r="H55" s="1673">
        <v>20000</v>
      </c>
      <c r="I55" s="1666">
        <v>22289.16</v>
      </c>
      <c r="J55" s="1666">
        <v>0</v>
      </c>
      <c r="K55" s="1666">
        <v>0</v>
      </c>
      <c r="L55" s="1666">
        <f t="shared" si="9"/>
        <v>20000</v>
      </c>
      <c r="M55" s="1666">
        <f t="shared" ref="M55" si="10">G55*L55</f>
        <v>-399980000</v>
      </c>
      <c r="N55" s="1666">
        <f t="shared" si="5"/>
        <v>-399980000</v>
      </c>
      <c r="O55" s="1666">
        <v>0</v>
      </c>
      <c r="P55" s="1666">
        <v>0</v>
      </c>
      <c r="Q55" s="1666"/>
      <c r="R55" s="1666"/>
      <c r="S55" s="1666"/>
      <c r="T55" s="1666"/>
      <c r="U55" s="1666"/>
      <c r="V55" s="1329"/>
      <c r="W55" s="1329"/>
      <c r="X55" s="1329"/>
      <c r="Y55" s="1329"/>
      <c r="Z55" s="1329"/>
      <c r="AA55" s="1329"/>
      <c r="AB55" s="1329"/>
      <c r="AC55" s="1329"/>
      <c r="AD55" s="1329"/>
      <c r="AE55" s="1329"/>
      <c r="AF55" s="1329"/>
      <c r="AG55" s="1329"/>
      <c r="AH55" s="1329"/>
      <c r="AI55" s="1329"/>
      <c r="AJ55" s="1329"/>
      <c r="AK55" s="1329"/>
      <c r="AL55" s="1329"/>
      <c r="AM55" s="1329"/>
      <c r="AN55" s="1329"/>
      <c r="AO55" s="1329"/>
      <c r="AP55" s="1329"/>
      <c r="AQ55" s="1329"/>
      <c r="AR55" s="1329"/>
      <c r="AS55" s="1329"/>
      <c r="AT55" s="1329"/>
      <c r="AU55" s="1329"/>
      <c r="AV55" s="1329"/>
      <c r="AW55" s="1329"/>
      <c r="AX55" s="1329"/>
      <c r="AY55" s="1329"/>
      <c r="AZ55" s="1329"/>
      <c r="BA55" s="1329"/>
      <c r="BB55" s="1329"/>
      <c r="BC55" s="1329"/>
      <c r="BD55" s="1329"/>
      <c r="BE55" s="1329"/>
      <c r="BF55" s="1329"/>
      <c r="BG55" s="1329"/>
      <c r="BH55" s="1329"/>
    </row>
    <row r="56" spans="1:60" s="1332" customFormat="1" ht="31.2" customHeight="1" x14ac:dyDescent="0.35">
      <c r="A56" s="1667">
        <v>25</v>
      </c>
      <c r="B56" s="1668" t="s">
        <v>116</v>
      </c>
      <c r="C56" s="1672" t="s">
        <v>20</v>
      </c>
      <c r="D56" s="1672">
        <v>3</v>
      </c>
      <c r="E56" s="1670"/>
      <c r="F56" s="1670">
        <f t="shared" si="8"/>
        <v>3</v>
      </c>
      <c r="G56" s="1670">
        <f t="shared" si="1"/>
        <v>0</v>
      </c>
      <c r="H56" s="1666">
        <v>0</v>
      </c>
      <c r="I56" s="1666">
        <v>0</v>
      </c>
      <c r="J56" s="1666">
        <v>0</v>
      </c>
      <c r="K56" s="1666">
        <v>0</v>
      </c>
      <c r="L56" s="1666">
        <f t="shared" si="9"/>
        <v>0</v>
      </c>
      <c r="M56" s="1666">
        <f>F56*L56</f>
        <v>0</v>
      </c>
      <c r="N56" s="1666">
        <f t="shared" si="5"/>
        <v>0</v>
      </c>
      <c r="O56" s="1666">
        <f t="shared" si="7"/>
        <v>0</v>
      </c>
      <c r="P56" s="1666">
        <f t="shared" si="3"/>
        <v>0</v>
      </c>
      <c r="Q56" s="1666"/>
      <c r="R56" s="1666"/>
      <c r="S56" s="1666"/>
      <c r="T56" s="1666"/>
      <c r="U56" s="1666"/>
      <c r="V56" s="1329"/>
      <c r="W56" s="1329"/>
      <c r="X56" s="1329"/>
      <c r="Y56" s="1329"/>
      <c r="Z56" s="1329"/>
      <c r="AA56" s="1329"/>
      <c r="AB56" s="1329"/>
      <c r="AC56" s="1329"/>
      <c r="AD56" s="1329"/>
      <c r="AE56" s="1329"/>
      <c r="AF56" s="1329"/>
      <c r="AG56" s="1329"/>
      <c r="AH56" s="1329"/>
      <c r="AI56" s="1329"/>
      <c r="AJ56" s="1329"/>
      <c r="AK56" s="1329"/>
      <c r="AL56" s="1329"/>
      <c r="AM56" s="1329"/>
      <c r="AN56" s="1329"/>
      <c r="AO56" s="1329"/>
      <c r="AP56" s="1329"/>
      <c r="AQ56" s="1329"/>
      <c r="AR56" s="1329"/>
      <c r="AS56" s="1329"/>
      <c r="AT56" s="1329"/>
      <c r="AU56" s="1329"/>
      <c r="AV56" s="1329"/>
      <c r="AW56" s="1329"/>
      <c r="AX56" s="1329"/>
      <c r="AY56" s="1329"/>
      <c r="AZ56" s="1329"/>
      <c r="BA56" s="1329"/>
      <c r="BB56" s="1329"/>
      <c r="BC56" s="1329"/>
      <c r="BD56" s="1329"/>
      <c r="BE56" s="1329"/>
      <c r="BF56" s="1329"/>
      <c r="BG56" s="1329"/>
      <c r="BH56" s="1329"/>
    </row>
    <row r="57" spans="1:60" s="1332" customFormat="1" ht="31.2" customHeight="1" x14ac:dyDescent="0.35">
      <c r="A57" s="1667">
        <v>26</v>
      </c>
      <c r="B57" s="1668" t="s">
        <v>296</v>
      </c>
      <c r="C57" s="1672" t="s">
        <v>20</v>
      </c>
      <c r="D57" s="1672">
        <v>7</v>
      </c>
      <c r="E57" s="1670"/>
      <c r="F57" s="1670"/>
      <c r="G57" s="1670">
        <f t="shared" si="1"/>
        <v>7</v>
      </c>
      <c r="H57" s="1666">
        <v>0</v>
      </c>
      <c r="I57" s="1673">
        <v>771.08</v>
      </c>
      <c r="J57" s="1666">
        <v>0</v>
      </c>
      <c r="K57" s="1666">
        <v>0</v>
      </c>
      <c r="L57" s="1666">
        <f>I57</f>
        <v>771.08</v>
      </c>
      <c r="M57" s="1666">
        <f t="shared" ref="M57" si="11">G57*L57</f>
        <v>5397.56</v>
      </c>
      <c r="N57" s="1666">
        <v>0</v>
      </c>
      <c r="O57" s="1666">
        <v>0</v>
      </c>
      <c r="P57" s="1666">
        <f t="shared" si="3"/>
        <v>5397.56</v>
      </c>
      <c r="Q57" s="1666"/>
      <c r="R57" s="1666"/>
      <c r="S57" s="1666"/>
      <c r="T57" s="1666"/>
      <c r="U57" s="1666"/>
      <c r="V57" s="1329"/>
      <c r="W57" s="1329"/>
      <c r="X57" s="1329"/>
      <c r="Y57" s="1329"/>
      <c r="Z57" s="1329"/>
      <c r="AA57" s="1329"/>
      <c r="AB57" s="1329"/>
      <c r="AC57" s="1329"/>
      <c r="AD57" s="1329"/>
      <c r="AE57" s="1329"/>
      <c r="AF57" s="1329"/>
      <c r="AG57" s="1329"/>
      <c r="AH57" s="1329"/>
      <c r="AI57" s="1329"/>
      <c r="AJ57" s="1329"/>
      <c r="AK57" s="1329"/>
      <c r="AL57" s="1329"/>
      <c r="AM57" s="1329"/>
      <c r="AN57" s="1329"/>
      <c r="AO57" s="1329"/>
      <c r="AP57" s="1329"/>
      <c r="AQ57" s="1329"/>
      <c r="AR57" s="1329"/>
      <c r="AS57" s="1329"/>
      <c r="AT57" s="1329"/>
      <c r="AU57" s="1329"/>
      <c r="AV57" s="1329"/>
      <c r="AW57" s="1329"/>
      <c r="AX57" s="1329"/>
      <c r="AY57" s="1329"/>
      <c r="AZ57" s="1329"/>
      <c r="BA57" s="1329"/>
      <c r="BB57" s="1329"/>
      <c r="BC57" s="1329"/>
      <c r="BD57" s="1329"/>
      <c r="BE57" s="1329"/>
      <c r="BF57" s="1329"/>
      <c r="BG57" s="1329"/>
      <c r="BH57" s="1329"/>
    </row>
    <row r="58" spans="1:60" s="1332" customFormat="1" ht="31.2" customHeight="1" x14ac:dyDescent="0.35">
      <c r="A58" s="1667">
        <v>27</v>
      </c>
      <c r="B58" s="1668" t="s">
        <v>117</v>
      </c>
      <c r="C58" s="1672" t="s">
        <v>20</v>
      </c>
      <c r="D58" s="1672">
        <v>3</v>
      </c>
      <c r="E58" s="1670"/>
      <c r="F58" s="1670">
        <v>3</v>
      </c>
      <c r="G58" s="1670">
        <f t="shared" si="1"/>
        <v>0</v>
      </c>
      <c r="H58" s="1666">
        <v>0</v>
      </c>
      <c r="I58" s="1666">
        <v>0</v>
      </c>
      <c r="J58" s="1666">
        <v>0</v>
      </c>
      <c r="K58" s="1666">
        <v>0</v>
      </c>
      <c r="L58" s="1666">
        <f>H58</f>
        <v>0</v>
      </c>
      <c r="M58" s="1666">
        <f>F58*L58</f>
        <v>0</v>
      </c>
      <c r="N58" s="1666">
        <f t="shared" si="5"/>
        <v>0</v>
      </c>
      <c r="O58" s="1666">
        <f t="shared" si="7"/>
        <v>0</v>
      </c>
      <c r="P58" s="1666">
        <f t="shared" si="3"/>
        <v>0</v>
      </c>
      <c r="Q58" s="1666"/>
      <c r="R58" s="1666"/>
      <c r="S58" s="1666"/>
      <c r="T58" s="1666"/>
      <c r="U58" s="1666"/>
      <c r="V58" s="1329"/>
      <c r="W58" s="1329"/>
      <c r="X58" s="1329"/>
      <c r="Y58" s="1329"/>
      <c r="Z58" s="1329"/>
      <c r="AA58" s="1329"/>
      <c r="AB58" s="1329"/>
      <c r="AC58" s="1329"/>
      <c r="AD58" s="1329"/>
      <c r="AE58" s="1329"/>
      <c r="AF58" s="1329"/>
      <c r="AG58" s="1329"/>
      <c r="AH58" s="1329"/>
      <c r="AI58" s="1329"/>
      <c r="AJ58" s="1329"/>
      <c r="AK58" s="1329"/>
      <c r="AL58" s="1329"/>
      <c r="AM58" s="1329"/>
      <c r="AN58" s="1329"/>
      <c r="AO58" s="1329"/>
      <c r="AP58" s="1329"/>
      <c r="AQ58" s="1329"/>
      <c r="AR58" s="1329"/>
      <c r="AS58" s="1329"/>
      <c r="AT58" s="1329"/>
      <c r="AU58" s="1329"/>
      <c r="AV58" s="1329"/>
      <c r="AW58" s="1329"/>
      <c r="AX58" s="1329"/>
      <c r="AY58" s="1329"/>
      <c r="AZ58" s="1329"/>
      <c r="BA58" s="1329"/>
      <c r="BB58" s="1329"/>
      <c r="BC58" s="1329"/>
      <c r="BD58" s="1329"/>
      <c r="BE58" s="1329"/>
      <c r="BF58" s="1329"/>
      <c r="BG58" s="1329"/>
      <c r="BH58" s="1329"/>
    </row>
    <row r="59" spans="1:60" s="1332" customFormat="1" ht="31.2" customHeight="1" x14ac:dyDescent="0.35">
      <c r="A59" s="1667">
        <v>28</v>
      </c>
      <c r="B59" s="1668" t="s">
        <v>291</v>
      </c>
      <c r="C59" s="1672" t="s">
        <v>20</v>
      </c>
      <c r="D59" s="1672">
        <v>6</v>
      </c>
      <c r="E59" s="1670">
        <f>I59</f>
        <v>143373.49</v>
      </c>
      <c r="F59" s="1670">
        <f t="shared" si="8"/>
        <v>6</v>
      </c>
      <c r="G59" s="1670">
        <f t="shared" si="1"/>
        <v>-143373.49</v>
      </c>
      <c r="H59" s="1673">
        <v>130000</v>
      </c>
      <c r="I59" s="1666">
        <v>143373.49</v>
      </c>
      <c r="J59" s="1666">
        <v>0</v>
      </c>
      <c r="K59" s="1666">
        <v>0</v>
      </c>
      <c r="L59" s="1666">
        <f>H59</f>
        <v>130000</v>
      </c>
      <c r="M59" s="1666">
        <f>F59*L59</f>
        <v>780000</v>
      </c>
      <c r="N59" s="1666">
        <v>0</v>
      </c>
      <c r="O59" s="1666">
        <f t="shared" si="7"/>
        <v>780000</v>
      </c>
      <c r="P59" s="1666">
        <v>0</v>
      </c>
      <c r="Q59" s="1666"/>
      <c r="R59" s="1666"/>
      <c r="S59" s="1666"/>
      <c r="T59" s="1666"/>
      <c r="U59" s="1666"/>
      <c r="V59" s="1329"/>
      <c r="W59" s="1329"/>
      <c r="X59" s="1329"/>
      <c r="Y59" s="1329"/>
      <c r="Z59" s="1329"/>
      <c r="AA59" s="1329"/>
      <c r="AB59" s="1329"/>
      <c r="AC59" s="1329"/>
      <c r="AD59" s="1329"/>
      <c r="AE59" s="1329"/>
      <c r="AF59" s="1329"/>
      <c r="AG59" s="1329"/>
      <c r="AH59" s="1329"/>
      <c r="AI59" s="1329"/>
      <c r="AJ59" s="1329"/>
      <c r="AK59" s="1329"/>
      <c r="AL59" s="1329"/>
      <c r="AM59" s="1329"/>
      <c r="AN59" s="1329"/>
      <c r="AO59" s="1329"/>
      <c r="AP59" s="1329"/>
      <c r="AQ59" s="1329"/>
      <c r="AR59" s="1329"/>
      <c r="AS59" s="1329"/>
      <c r="AT59" s="1329"/>
      <c r="AU59" s="1329"/>
      <c r="AV59" s="1329"/>
      <c r="AW59" s="1329"/>
      <c r="AX59" s="1329"/>
      <c r="AY59" s="1329"/>
      <c r="AZ59" s="1329"/>
      <c r="BA59" s="1329"/>
      <c r="BB59" s="1329"/>
      <c r="BC59" s="1329"/>
      <c r="BD59" s="1329"/>
      <c r="BE59" s="1329"/>
      <c r="BF59" s="1329"/>
      <c r="BG59" s="1329"/>
      <c r="BH59" s="1329"/>
    </row>
    <row r="60" spans="1:60" s="1332" customFormat="1" ht="31.2" customHeight="1" x14ac:dyDescent="0.35">
      <c r="A60" s="1667">
        <v>29</v>
      </c>
      <c r="B60" s="1668" t="s">
        <v>118</v>
      </c>
      <c r="C60" s="1672" t="s">
        <v>20</v>
      </c>
      <c r="D60" s="1672">
        <v>9</v>
      </c>
      <c r="E60" s="1670">
        <f>J60</f>
        <v>26666.67</v>
      </c>
      <c r="F60" s="1670">
        <f t="shared" si="8"/>
        <v>9</v>
      </c>
      <c r="G60" s="1670">
        <f t="shared" si="1"/>
        <v>-26666.67</v>
      </c>
      <c r="H60" s="1666">
        <v>0</v>
      </c>
      <c r="I60" s="1666">
        <v>0</v>
      </c>
      <c r="J60" s="1673">
        <v>26666.67</v>
      </c>
      <c r="K60" s="1666">
        <v>34400</v>
      </c>
      <c r="L60" s="1666">
        <f>J60</f>
        <v>26666.67</v>
      </c>
      <c r="M60" s="1666">
        <f>F60*L60</f>
        <v>240000.02999999997</v>
      </c>
      <c r="N60" s="1666">
        <v>0</v>
      </c>
      <c r="O60" s="1666">
        <f t="shared" si="7"/>
        <v>240000.02999999997</v>
      </c>
      <c r="P60" s="1666">
        <v>0</v>
      </c>
      <c r="Q60" s="1666"/>
      <c r="R60" s="1666"/>
      <c r="S60" s="1666"/>
      <c r="T60" s="1666"/>
      <c r="U60" s="1666"/>
      <c r="V60" s="1329"/>
      <c r="W60" s="1329"/>
      <c r="X60" s="1329"/>
      <c r="Y60" s="1329"/>
      <c r="Z60" s="1329"/>
      <c r="AA60" s="1329"/>
      <c r="AB60" s="1329"/>
      <c r="AC60" s="1329"/>
      <c r="AD60" s="1329"/>
      <c r="AE60" s="1329"/>
      <c r="AF60" s="1329"/>
      <c r="AG60" s="1329"/>
      <c r="AH60" s="1329"/>
      <c r="AI60" s="1329"/>
      <c r="AJ60" s="1329"/>
      <c r="AK60" s="1329"/>
      <c r="AL60" s="1329"/>
      <c r="AM60" s="1329"/>
      <c r="AN60" s="1329"/>
      <c r="AO60" s="1329"/>
      <c r="AP60" s="1329"/>
      <c r="AQ60" s="1329"/>
      <c r="AR60" s="1329"/>
      <c r="AS60" s="1329"/>
      <c r="AT60" s="1329"/>
      <c r="AU60" s="1329"/>
      <c r="AV60" s="1329"/>
      <c r="AW60" s="1329"/>
      <c r="AX60" s="1329"/>
      <c r="AY60" s="1329"/>
      <c r="AZ60" s="1329"/>
      <c r="BA60" s="1329"/>
      <c r="BB60" s="1329"/>
      <c r="BC60" s="1329"/>
      <c r="BD60" s="1329"/>
      <c r="BE60" s="1329"/>
      <c r="BF60" s="1329"/>
      <c r="BG60" s="1329"/>
      <c r="BH60" s="1329"/>
    </row>
    <row r="61" spans="1:60" s="1332" customFormat="1" ht="31.2" customHeight="1" x14ac:dyDescent="0.35">
      <c r="A61" s="1667">
        <v>30</v>
      </c>
      <c r="B61" s="1668" t="s">
        <v>119</v>
      </c>
      <c r="C61" s="1672" t="s">
        <v>20</v>
      </c>
      <c r="D61" s="1672">
        <v>9</v>
      </c>
      <c r="E61" s="1670">
        <f>H61</f>
        <v>3500</v>
      </c>
      <c r="F61" s="1670"/>
      <c r="G61" s="1670">
        <f t="shared" si="1"/>
        <v>-3491</v>
      </c>
      <c r="H61" s="1673">
        <v>3500</v>
      </c>
      <c r="I61" s="1666">
        <v>3315.66</v>
      </c>
      <c r="J61" s="1666">
        <v>0</v>
      </c>
      <c r="K61" s="1666">
        <v>0</v>
      </c>
      <c r="L61" s="1666">
        <f>H61</f>
        <v>3500</v>
      </c>
      <c r="M61" s="1666">
        <f t="shared" si="2"/>
        <v>-12218500</v>
      </c>
      <c r="N61" s="1666">
        <f t="shared" si="5"/>
        <v>-12218500</v>
      </c>
      <c r="O61" s="1666">
        <v>0</v>
      </c>
      <c r="P61" s="1666">
        <v>0</v>
      </c>
      <c r="Q61" s="1666"/>
      <c r="R61" s="1666"/>
      <c r="S61" s="1666"/>
      <c r="T61" s="1666"/>
      <c r="U61" s="1666"/>
      <c r="V61" s="1329"/>
      <c r="W61" s="1329"/>
      <c r="X61" s="1329"/>
      <c r="Y61" s="1329"/>
      <c r="Z61" s="1329"/>
      <c r="AA61" s="1329"/>
      <c r="AB61" s="1329"/>
      <c r="AC61" s="1329"/>
      <c r="AD61" s="1329"/>
      <c r="AE61" s="1329"/>
      <c r="AF61" s="1329"/>
      <c r="AG61" s="1329"/>
      <c r="AH61" s="1329"/>
      <c r="AI61" s="1329"/>
      <c r="AJ61" s="1329"/>
      <c r="AK61" s="1329"/>
      <c r="AL61" s="1329"/>
      <c r="AM61" s="1329"/>
      <c r="AN61" s="1329"/>
      <c r="AO61" s="1329"/>
      <c r="AP61" s="1329"/>
      <c r="AQ61" s="1329"/>
      <c r="AR61" s="1329"/>
      <c r="AS61" s="1329"/>
      <c r="AT61" s="1329"/>
      <c r="AU61" s="1329"/>
      <c r="AV61" s="1329"/>
      <c r="AW61" s="1329"/>
      <c r="AX61" s="1329"/>
      <c r="AY61" s="1329"/>
      <c r="AZ61" s="1329"/>
      <c r="BA61" s="1329"/>
      <c r="BB61" s="1329"/>
      <c r="BC61" s="1329"/>
      <c r="BD61" s="1329"/>
      <c r="BE61" s="1329"/>
      <c r="BF61" s="1329"/>
      <c r="BG61" s="1329"/>
      <c r="BH61" s="1329"/>
    </row>
    <row r="62" spans="1:60" s="1332" customFormat="1" ht="31.2" customHeight="1" x14ac:dyDescent="0.35">
      <c r="A62" s="1667">
        <v>31</v>
      </c>
      <c r="B62" s="1668" t="s">
        <v>297</v>
      </c>
      <c r="C62" s="1672" t="s">
        <v>20</v>
      </c>
      <c r="D62" s="1672">
        <v>1</v>
      </c>
      <c r="E62" s="1670">
        <f>H62</f>
        <v>125000</v>
      </c>
      <c r="F62" s="1670"/>
      <c r="G62" s="1670">
        <f t="shared" si="1"/>
        <v>-124999</v>
      </c>
      <c r="H62" s="1673">
        <v>125000</v>
      </c>
      <c r="I62" s="1666">
        <v>0</v>
      </c>
      <c r="J62" s="1666">
        <v>0</v>
      </c>
      <c r="K62" s="1666">
        <v>0</v>
      </c>
      <c r="L62" s="1666">
        <f t="shared" ref="L62" si="12">H62</f>
        <v>125000</v>
      </c>
      <c r="M62" s="1666">
        <f t="shared" si="2"/>
        <v>-15624875000</v>
      </c>
      <c r="N62" s="1666">
        <f t="shared" si="5"/>
        <v>-15624875000</v>
      </c>
      <c r="O62" s="1666">
        <v>0</v>
      </c>
      <c r="P62" s="1666">
        <v>0</v>
      </c>
      <c r="Q62" s="1666"/>
      <c r="R62" s="1666"/>
      <c r="S62" s="1666"/>
      <c r="T62" s="1666"/>
      <c r="U62" s="1666"/>
      <c r="V62" s="1329"/>
      <c r="W62" s="1329"/>
      <c r="X62" s="1329"/>
      <c r="Y62" s="1329"/>
      <c r="Z62" s="1329"/>
      <c r="AA62" s="1329"/>
      <c r="AB62" s="1329"/>
      <c r="AC62" s="1329"/>
      <c r="AD62" s="1329"/>
      <c r="AE62" s="1329"/>
      <c r="AF62" s="1329"/>
      <c r="AG62" s="1329"/>
      <c r="AH62" s="1329"/>
      <c r="AI62" s="1329"/>
      <c r="AJ62" s="1329"/>
      <c r="AK62" s="1329"/>
      <c r="AL62" s="1329"/>
      <c r="AM62" s="1329"/>
      <c r="AN62" s="1329"/>
      <c r="AO62" s="1329"/>
      <c r="AP62" s="1329"/>
      <c r="AQ62" s="1329"/>
      <c r="AR62" s="1329"/>
      <c r="AS62" s="1329"/>
      <c r="AT62" s="1329"/>
      <c r="AU62" s="1329"/>
      <c r="AV62" s="1329"/>
      <c r="AW62" s="1329"/>
      <c r="AX62" s="1329"/>
      <c r="AY62" s="1329"/>
      <c r="AZ62" s="1329"/>
      <c r="BA62" s="1329"/>
      <c r="BB62" s="1329"/>
      <c r="BC62" s="1329"/>
      <c r="BD62" s="1329"/>
      <c r="BE62" s="1329"/>
      <c r="BF62" s="1329"/>
      <c r="BG62" s="1329"/>
      <c r="BH62" s="1329"/>
    </row>
    <row r="63" spans="1:60" s="1332" customFormat="1" ht="31.2" customHeight="1" x14ac:dyDescent="0.35">
      <c r="A63" s="1667">
        <v>35</v>
      </c>
      <c r="B63" s="1668" t="s">
        <v>299</v>
      </c>
      <c r="C63" s="1672" t="s">
        <v>104</v>
      </c>
      <c r="D63" s="1672">
        <v>4</v>
      </c>
      <c r="E63" s="1670">
        <f>J63</f>
        <v>9333.33</v>
      </c>
      <c r="F63" s="1670"/>
      <c r="G63" s="1670">
        <f t="shared" si="1"/>
        <v>-9329.33</v>
      </c>
      <c r="H63" s="1666">
        <v>0</v>
      </c>
      <c r="I63" s="1666">
        <v>0</v>
      </c>
      <c r="J63" s="1673">
        <v>9333.33</v>
      </c>
      <c r="K63" s="1666">
        <v>11040</v>
      </c>
      <c r="L63" s="1666">
        <f>J63</f>
        <v>9333.33</v>
      </c>
      <c r="M63" s="1666">
        <f t="shared" si="2"/>
        <v>-87073715.568900004</v>
      </c>
      <c r="N63" s="1666">
        <v>0</v>
      </c>
      <c r="O63" s="1666">
        <v>0</v>
      </c>
      <c r="P63" s="1666">
        <f t="shared" si="3"/>
        <v>-87073715.568900004</v>
      </c>
      <c r="Q63" s="1666"/>
      <c r="R63" s="1666"/>
      <c r="S63" s="1666"/>
      <c r="T63" s="1666"/>
      <c r="U63" s="1666"/>
      <c r="V63" s="1329"/>
      <c r="W63" s="1329"/>
      <c r="X63" s="1329"/>
      <c r="Y63" s="1329"/>
      <c r="Z63" s="1329"/>
      <c r="AA63" s="1329"/>
      <c r="AB63" s="1329"/>
      <c r="AC63" s="1329"/>
      <c r="AD63" s="1329"/>
      <c r="AE63" s="1329"/>
      <c r="AF63" s="1329"/>
      <c r="AG63" s="1329"/>
      <c r="AH63" s="1329"/>
      <c r="AI63" s="1329"/>
      <c r="AJ63" s="1329"/>
      <c r="AK63" s="1329"/>
      <c r="AL63" s="1329"/>
      <c r="AM63" s="1329"/>
      <c r="AN63" s="1329"/>
      <c r="AO63" s="1329"/>
      <c r="AP63" s="1329"/>
      <c r="AQ63" s="1329"/>
      <c r="AR63" s="1329"/>
      <c r="AS63" s="1329"/>
      <c r="AT63" s="1329"/>
      <c r="AU63" s="1329"/>
      <c r="AV63" s="1329"/>
      <c r="AW63" s="1329"/>
      <c r="AX63" s="1329"/>
      <c r="AY63" s="1329"/>
      <c r="AZ63" s="1329"/>
      <c r="BA63" s="1329"/>
      <c r="BB63" s="1329"/>
      <c r="BC63" s="1329"/>
      <c r="BD63" s="1329"/>
      <c r="BE63" s="1329"/>
      <c r="BF63" s="1329"/>
      <c r="BG63" s="1329"/>
      <c r="BH63" s="1329"/>
    </row>
    <row r="64" spans="1:60" s="1332" customFormat="1" ht="49.2" customHeight="1" x14ac:dyDescent="0.35">
      <c r="A64" s="1667">
        <v>36</v>
      </c>
      <c r="B64" s="1668" t="s">
        <v>1113</v>
      </c>
      <c r="C64" s="1672" t="s">
        <v>104</v>
      </c>
      <c r="D64" s="1672">
        <v>20</v>
      </c>
      <c r="E64" s="1670">
        <f t="shared" ref="E64:E65" si="13">J64</f>
        <v>21746.67</v>
      </c>
      <c r="F64" s="1670"/>
      <c r="G64" s="1670">
        <f t="shared" si="1"/>
        <v>-21726.67</v>
      </c>
      <c r="H64" s="1666">
        <v>0</v>
      </c>
      <c r="I64" s="1666">
        <v>0</v>
      </c>
      <c r="J64" s="1673">
        <v>21746.67</v>
      </c>
      <c r="K64" s="1666">
        <v>28664.27</v>
      </c>
      <c r="L64" s="1666">
        <f>J64</f>
        <v>21746.67</v>
      </c>
      <c r="M64" s="1666">
        <f>G64*L64</f>
        <v>-472482722.68889993</v>
      </c>
      <c r="N64" s="1666">
        <f>M64</f>
        <v>-472482722.68889993</v>
      </c>
      <c r="O64" s="1666">
        <v>0</v>
      </c>
      <c r="P64" s="1666">
        <v>0</v>
      </c>
      <c r="Q64" s="1666"/>
      <c r="R64" s="1666"/>
      <c r="S64" s="1666"/>
      <c r="T64" s="1666"/>
      <c r="U64" s="1666"/>
      <c r="V64" s="1329"/>
      <c r="W64" s="1329"/>
      <c r="X64" s="1329"/>
      <c r="Y64" s="1329"/>
      <c r="Z64" s="1329"/>
      <c r="AA64" s="1329"/>
      <c r="AB64" s="1329"/>
      <c r="AC64" s="1329"/>
      <c r="AD64" s="1329"/>
      <c r="AE64" s="1329"/>
      <c r="AF64" s="1329"/>
      <c r="AG64" s="1329"/>
      <c r="AH64" s="1329"/>
      <c r="AI64" s="1329"/>
      <c r="AJ64" s="1329"/>
      <c r="AK64" s="1329"/>
      <c r="AL64" s="1329"/>
      <c r="AM64" s="1329"/>
      <c r="AN64" s="1329"/>
      <c r="AO64" s="1329"/>
      <c r="AP64" s="1329"/>
      <c r="AQ64" s="1329"/>
      <c r="AR64" s="1329"/>
      <c r="AS64" s="1329"/>
      <c r="AT64" s="1329"/>
      <c r="AU64" s="1329"/>
      <c r="AV64" s="1329"/>
      <c r="AW64" s="1329"/>
      <c r="AX64" s="1329"/>
      <c r="AY64" s="1329"/>
      <c r="AZ64" s="1329"/>
      <c r="BA64" s="1329"/>
      <c r="BB64" s="1329"/>
      <c r="BC64" s="1329"/>
      <c r="BD64" s="1329"/>
      <c r="BE64" s="1329"/>
      <c r="BF64" s="1329"/>
      <c r="BG64" s="1329"/>
      <c r="BH64" s="1329"/>
    </row>
    <row r="65" spans="1:60" s="1332" customFormat="1" ht="46.95" customHeight="1" x14ac:dyDescent="0.35">
      <c r="A65" s="1667">
        <v>37</v>
      </c>
      <c r="B65" s="1668" t="s">
        <v>1114</v>
      </c>
      <c r="C65" s="1672" t="s">
        <v>104</v>
      </c>
      <c r="D65" s="1652">
        <v>5</v>
      </c>
      <c r="E65" s="1670">
        <f t="shared" si="13"/>
        <v>8484</v>
      </c>
      <c r="F65" s="1670"/>
      <c r="G65" s="1670">
        <f t="shared" si="1"/>
        <v>-8479</v>
      </c>
      <c r="H65" s="1666">
        <v>0</v>
      </c>
      <c r="I65" s="1666">
        <v>0</v>
      </c>
      <c r="J65" s="1673">
        <v>8484</v>
      </c>
      <c r="K65" s="1666">
        <v>8000</v>
      </c>
      <c r="L65" s="1666">
        <f>J65</f>
        <v>8484</v>
      </c>
      <c r="M65" s="1666">
        <f t="shared" si="2"/>
        <v>-71935836</v>
      </c>
      <c r="N65" s="1666">
        <f>M65</f>
        <v>-71935836</v>
      </c>
      <c r="O65" s="1666">
        <v>0</v>
      </c>
      <c r="P65" s="1666">
        <v>0</v>
      </c>
      <c r="Q65" s="1666"/>
      <c r="R65" s="1666"/>
      <c r="S65" s="1666"/>
      <c r="T65" s="1666"/>
      <c r="U65" s="1666"/>
      <c r="V65" s="1329"/>
      <c r="W65" s="1329"/>
      <c r="X65" s="1329"/>
      <c r="Y65" s="1329"/>
      <c r="Z65" s="1329"/>
      <c r="AA65" s="1329"/>
      <c r="AB65" s="1329"/>
      <c r="AC65" s="1329"/>
      <c r="AD65" s="1329"/>
      <c r="AE65" s="1329"/>
      <c r="AF65" s="1329"/>
      <c r="AG65" s="1329"/>
      <c r="AH65" s="1329"/>
      <c r="AI65" s="1329"/>
      <c r="AJ65" s="1329"/>
      <c r="AK65" s="1329"/>
      <c r="AL65" s="1329"/>
      <c r="AM65" s="1329"/>
      <c r="AN65" s="1329"/>
      <c r="AO65" s="1329"/>
      <c r="AP65" s="1329"/>
      <c r="AQ65" s="1329"/>
      <c r="AR65" s="1329"/>
      <c r="AS65" s="1329"/>
      <c r="AT65" s="1329"/>
      <c r="AU65" s="1329"/>
      <c r="AV65" s="1329"/>
      <c r="AW65" s="1329"/>
      <c r="AX65" s="1329"/>
      <c r="AY65" s="1329"/>
      <c r="AZ65" s="1329"/>
      <c r="BA65" s="1329"/>
      <c r="BB65" s="1329"/>
      <c r="BC65" s="1329"/>
      <c r="BD65" s="1329"/>
      <c r="BE65" s="1329"/>
      <c r="BF65" s="1329"/>
      <c r="BG65" s="1329"/>
      <c r="BH65" s="1329"/>
    </row>
    <row r="66" spans="1:60" s="1332" customFormat="1" ht="27" customHeight="1" x14ac:dyDescent="0.35">
      <c r="A66" s="1667">
        <v>39</v>
      </c>
      <c r="B66" s="1668" t="s">
        <v>1115</v>
      </c>
      <c r="C66" s="1672" t="s">
        <v>104</v>
      </c>
      <c r="D66" s="1652">
        <v>3</v>
      </c>
      <c r="E66" s="1670"/>
      <c r="F66" s="1670"/>
      <c r="G66" s="1670">
        <f t="shared" si="1"/>
        <v>3</v>
      </c>
      <c r="H66" s="1666">
        <v>0</v>
      </c>
      <c r="I66" s="1666">
        <v>0</v>
      </c>
      <c r="J66" s="1666">
        <v>0</v>
      </c>
      <c r="K66" s="1666">
        <v>0</v>
      </c>
      <c r="L66" s="1666">
        <f t="shared" ref="L66:L68" si="14">J66</f>
        <v>0</v>
      </c>
      <c r="M66" s="1666">
        <f t="shared" si="2"/>
        <v>0</v>
      </c>
      <c r="N66" s="1666">
        <f t="shared" si="5"/>
        <v>0</v>
      </c>
      <c r="O66" s="1666">
        <f t="shared" si="7"/>
        <v>0</v>
      </c>
      <c r="P66" s="1666">
        <f t="shared" si="3"/>
        <v>0</v>
      </c>
      <c r="Q66" s="1666"/>
      <c r="R66" s="1666"/>
      <c r="S66" s="1666"/>
      <c r="T66" s="1666"/>
      <c r="U66" s="1666"/>
      <c r="V66" s="1329"/>
      <c r="W66" s="1329"/>
      <c r="X66" s="1329"/>
      <c r="Y66" s="1329"/>
      <c r="Z66" s="1329"/>
      <c r="AA66" s="1329"/>
      <c r="AB66" s="1329"/>
      <c r="AC66" s="1329"/>
      <c r="AD66" s="1329"/>
      <c r="AE66" s="1329"/>
      <c r="AF66" s="1329"/>
      <c r="AG66" s="1329"/>
      <c r="AH66" s="1329"/>
      <c r="AI66" s="1329"/>
      <c r="AJ66" s="1329"/>
      <c r="AK66" s="1329"/>
      <c r="AL66" s="1329"/>
      <c r="AM66" s="1329"/>
      <c r="AN66" s="1329"/>
      <c r="AO66" s="1329"/>
      <c r="AP66" s="1329"/>
      <c r="AQ66" s="1329"/>
      <c r="AR66" s="1329"/>
      <c r="AS66" s="1329"/>
      <c r="AT66" s="1329"/>
      <c r="AU66" s="1329"/>
      <c r="AV66" s="1329"/>
      <c r="AW66" s="1329"/>
      <c r="AX66" s="1329"/>
      <c r="AY66" s="1329"/>
      <c r="AZ66" s="1329"/>
      <c r="BA66" s="1329"/>
      <c r="BB66" s="1329"/>
      <c r="BC66" s="1329"/>
      <c r="BD66" s="1329"/>
      <c r="BE66" s="1329"/>
      <c r="BF66" s="1329"/>
      <c r="BG66" s="1329"/>
      <c r="BH66" s="1329"/>
    </row>
    <row r="67" spans="1:60" s="1332" customFormat="1" ht="31.2" customHeight="1" x14ac:dyDescent="0.35">
      <c r="A67" s="1667">
        <v>40</v>
      </c>
      <c r="B67" s="1668" t="s">
        <v>1116</v>
      </c>
      <c r="C67" s="1672" t="s">
        <v>12</v>
      </c>
      <c r="D67" s="1652">
        <v>7</v>
      </c>
      <c r="E67" s="1670"/>
      <c r="F67" s="1670"/>
      <c r="G67" s="1670">
        <f t="shared" si="1"/>
        <v>7</v>
      </c>
      <c r="H67" s="1666">
        <v>0</v>
      </c>
      <c r="I67" s="1666">
        <v>0</v>
      </c>
      <c r="J67" s="1666">
        <v>0</v>
      </c>
      <c r="K67" s="1666">
        <v>0</v>
      </c>
      <c r="L67" s="1666">
        <f t="shared" si="14"/>
        <v>0</v>
      </c>
      <c r="M67" s="1666">
        <f t="shared" si="2"/>
        <v>0</v>
      </c>
      <c r="N67" s="1666">
        <f t="shared" si="5"/>
        <v>0</v>
      </c>
      <c r="O67" s="1666">
        <f t="shared" si="7"/>
        <v>0</v>
      </c>
      <c r="P67" s="1666">
        <f t="shared" si="3"/>
        <v>0</v>
      </c>
      <c r="Q67" s="1666"/>
      <c r="R67" s="1666"/>
      <c r="S67" s="1666"/>
      <c r="T67" s="1666"/>
      <c r="U67" s="1666"/>
      <c r="V67" s="1329"/>
      <c r="W67" s="1329"/>
      <c r="X67" s="1329"/>
      <c r="Y67" s="1329"/>
      <c r="Z67" s="1329"/>
      <c r="AA67" s="1329"/>
      <c r="AB67" s="1329"/>
      <c r="AC67" s="1329"/>
      <c r="AD67" s="1329"/>
      <c r="AE67" s="1329"/>
      <c r="AF67" s="1329"/>
      <c r="AG67" s="1329"/>
      <c r="AH67" s="1329"/>
      <c r="AI67" s="1329"/>
      <c r="AJ67" s="1329"/>
      <c r="AK67" s="1329"/>
      <c r="AL67" s="1329"/>
      <c r="AM67" s="1329"/>
      <c r="AN67" s="1329"/>
      <c r="AO67" s="1329"/>
      <c r="AP67" s="1329"/>
      <c r="AQ67" s="1329"/>
      <c r="AR67" s="1329"/>
      <c r="AS67" s="1329"/>
      <c r="AT67" s="1329"/>
      <c r="AU67" s="1329"/>
      <c r="AV67" s="1329"/>
      <c r="AW67" s="1329"/>
      <c r="AX67" s="1329"/>
      <c r="AY67" s="1329"/>
      <c r="AZ67" s="1329"/>
      <c r="BA67" s="1329"/>
      <c r="BB67" s="1329"/>
      <c r="BC67" s="1329"/>
      <c r="BD67" s="1329"/>
      <c r="BE67" s="1329"/>
      <c r="BF67" s="1329"/>
      <c r="BG67" s="1329"/>
      <c r="BH67" s="1329"/>
    </row>
    <row r="68" spans="1:60" s="1332" customFormat="1" ht="31.2" customHeight="1" x14ac:dyDescent="0.35">
      <c r="A68" s="1667">
        <v>41</v>
      </c>
      <c r="B68" s="1668" t="s">
        <v>1117</v>
      </c>
      <c r="C68" s="1672" t="s">
        <v>20</v>
      </c>
      <c r="D68" s="1652">
        <v>7</v>
      </c>
      <c r="E68" s="1670"/>
      <c r="F68" s="1670"/>
      <c r="G68" s="1670">
        <f t="shared" si="1"/>
        <v>7</v>
      </c>
      <c r="H68" s="1666">
        <v>0</v>
      </c>
      <c r="I68" s="1666">
        <v>0</v>
      </c>
      <c r="J68" s="1666">
        <v>0</v>
      </c>
      <c r="K68" s="1666">
        <v>0</v>
      </c>
      <c r="L68" s="1666">
        <f t="shared" si="14"/>
        <v>0</v>
      </c>
      <c r="M68" s="1666">
        <f t="shared" si="2"/>
        <v>0</v>
      </c>
      <c r="N68" s="1666">
        <f t="shared" si="5"/>
        <v>0</v>
      </c>
      <c r="O68" s="1666">
        <f t="shared" si="7"/>
        <v>0</v>
      </c>
      <c r="P68" s="1666">
        <f t="shared" si="3"/>
        <v>0</v>
      </c>
      <c r="Q68" s="1666"/>
      <c r="R68" s="1666"/>
      <c r="S68" s="1666"/>
      <c r="T68" s="1666"/>
      <c r="U68" s="1666"/>
      <c r="V68" s="1329"/>
      <c r="W68" s="1329"/>
      <c r="X68" s="1329"/>
      <c r="Y68" s="1329"/>
      <c r="Z68" s="1329"/>
      <c r="AA68" s="1329"/>
      <c r="AB68" s="1329"/>
      <c r="AC68" s="1329"/>
      <c r="AD68" s="1329"/>
      <c r="AE68" s="1329"/>
      <c r="AF68" s="1329"/>
      <c r="AG68" s="1329"/>
      <c r="AH68" s="1329"/>
      <c r="AI68" s="1329"/>
      <c r="AJ68" s="1329"/>
      <c r="AK68" s="1329"/>
      <c r="AL68" s="1329"/>
      <c r="AM68" s="1329"/>
      <c r="AN68" s="1329"/>
      <c r="AO68" s="1329"/>
      <c r="AP68" s="1329"/>
      <c r="AQ68" s="1329"/>
      <c r="AR68" s="1329"/>
      <c r="AS68" s="1329"/>
      <c r="AT68" s="1329"/>
      <c r="AU68" s="1329"/>
      <c r="AV68" s="1329"/>
      <c r="AW68" s="1329"/>
      <c r="AX68" s="1329"/>
      <c r="AY68" s="1329"/>
      <c r="AZ68" s="1329"/>
      <c r="BA68" s="1329"/>
      <c r="BB68" s="1329"/>
      <c r="BC68" s="1329"/>
      <c r="BD68" s="1329"/>
      <c r="BE68" s="1329"/>
      <c r="BF68" s="1329"/>
      <c r="BG68" s="1329"/>
      <c r="BH68" s="1329"/>
    </row>
    <row r="69" spans="1:60" s="1332" customFormat="1" ht="49.95" customHeight="1" x14ac:dyDescent="0.35">
      <c r="A69" s="1667">
        <v>42</v>
      </c>
      <c r="B69" s="1668" t="s">
        <v>1118</v>
      </c>
      <c r="C69" s="1672" t="s">
        <v>104</v>
      </c>
      <c r="D69" s="1652">
        <v>4</v>
      </c>
      <c r="E69" s="1670"/>
      <c r="F69" s="1670">
        <f t="shared" si="8"/>
        <v>4</v>
      </c>
      <c r="G69" s="1670">
        <f t="shared" si="1"/>
        <v>0</v>
      </c>
      <c r="H69" s="1666">
        <v>0</v>
      </c>
      <c r="I69" s="1666">
        <v>0</v>
      </c>
      <c r="J69" s="1666">
        <v>0</v>
      </c>
      <c r="K69" s="1666">
        <v>0</v>
      </c>
      <c r="L69" s="1666">
        <f>H69</f>
        <v>0</v>
      </c>
      <c r="M69" s="1666">
        <f>F69*L69</f>
        <v>0</v>
      </c>
      <c r="N69" s="1666">
        <f t="shared" si="5"/>
        <v>0</v>
      </c>
      <c r="O69" s="1666">
        <f t="shared" si="7"/>
        <v>0</v>
      </c>
      <c r="P69" s="1666">
        <f t="shared" si="3"/>
        <v>0</v>
      </c>
      <c r="Q69" s="1666"/>
      <c r="R69" s="1666"/>
      <c r="S69" s="1666"/>
      <c r="T69" s="1666"/>
      <c r="U69" s="1666"/>
      <c r="V69" s="1329"/>
      <c r="W69" s="1329"/>
      <c r="X69" s="1329"/>
      <c r="Y69" s="1329"/>
      <c r="Z69" s="1329"/>
      <c r="AA69" s="1329"/>
      <c r="AB69" s="1329"/>
      <c r="AC69" s="1329"/>
      <c r="AD69" s="1329"/>
      <c r="AE69" s="1329"/>
      <c r="AF69" s="1329"/>
      <c r="AG69" s="1329"/>
      <c r="AH69" s="1329"/>
      <c r="AI69" s="1329"/>
      <c r="AJ69" s="1329"/>
      <c r="AK69" s="1329"/>
      <c r="AL69" s="1329"/>
      <c r="AM69" s="1329"/>
      <c r="AN69" s="1329"/>
      <c r="AO69" s="1329"/>
      <c r="AP69" s="1329"/>
      <c r="AQ69" s="1329"/>
      <c r="AR69" s="1329"/>
      <c r="AS69" s="1329"/>
      <c r="AT69" s="1329"/>
      <c r="AU69" s="1329"/>
      <c r="AV69" s="1329"/>
      <c r="AW69" s="1329"/>
      <c r="AX69" s="1329"/>
      <c r="AY69" s="1329"/>
      <c r="AZ69" s="1329"/>
      <c r="BA69" s="1329"/>
      <c r="BB69" s="1329"/>
      <c r="BC69" s="1329"/>
      <c r="BD69" s="1329"/>
      <c r="BE69" s="1329"/>
      <c r="BF69" s="1329"/>
      <c r="BG69" s="1329"/>
      <c r="BH69" s="1329"/>
    </row>
    <row r="70" spans="1:60" s="1332" customFormat="1" ht="31.2" customHeight="1" x14ac:dyDescent="0.35">
      <c r="A70" s="1667">
        <v>43</v>
      </c>
      <c r="B70" s="1668" t="s">
        <v>1119</v>
      </c>
      <c r="C70" s="1672" t="s">
        <v>20</v>
      </c>
      <c r="D70" s="1672">
        <v>2</v>
      </c>
      <c r="E70" s="1670"/>
      <c r="F70" s="1670">
        <f t="shared" si="8"/>
        <v>2</v>
      </c>
      <c r="G70" s="1670">
        <f t="shared" si="1"/>
        <v>0</v>
      </c>
      <c r="H70" s="1666">
        <v>0</v>
      </c>
      <c r="I70" s="1666">
        <v>0</v>
      </c>
      <c r="J70" s="1666">
        <v>0</v>
      </c>
      <c r="K70" s="1666">
        <v>0</v>
      </c>
      <c r="L70" s="1666">
        <f t="shared" ref="L70:L71" si="15">H70</f>
        <v>0</v>
      </c>
      <c r="M70" s="1666">
        <f t="shared" ref="M70:M71" si="16">F70*L70</f>
        <v>0</v>
      </c>
      <c r="N70" s="1666">
        <f t="shared" si="5"/>
        <v>0</v>
      </c>
      <c r="O70" s="1666">
        <f t="shared" si="7"/>
        <v>0</v>
      </c>
      <c r="P70" s="1666">
        <f t="shared" si="3"/>
        <v>0</v>
      </c>
      <c r="Q70" s="1666"/>
      <c r="R70" s="1666"/>
      <c r="S70" s="1666"/>
      <c r="T70" s="1666"/>
      <c r="U70" s="1666"/>
      <c r="V70" s="1329"/>
      <c r="W70" s="1329"/>
      <c r="X70" s="1329"/>
      <c r="Y70" s="1329"/>
      <c r="Z70" s="1329"/>
      <c r="AA70" s="1329"/>
      <c r="AB70" s="1329"/>
      <c r="AC70" s="1329"/>
      <c r="AD70" s="1329"/>
      <c r="AE70" s="1329"/>
      <c r="AF70" s="1329"/>
      <c r="AG70" s="1329"/>
      <c r="AH70" s="1329"/>
      <c r="AI70" s="1329"/>
      <c r="AJ70" s="1329"/>
      <c r="AK70" s="1329"/>
      <c r="AL70" s="1329"/>
      <c r="AM70" s="1329"/>
      <c r="AN70" s="1329"/>
      <c r="AO70" s="1329"/>
      <c r="AP70" s="1329"/>
      <c r="AQ70" s="1329"/>
      <c r="AR70" s="1329"/>
      <c r="AS70" s="1329"/>
      <c r="AT70" s="1329"/>
      <c r="AU70" s="1329"/>
      <c r="AV70" s="1329"/>
      <c r="AW70" s="1329"/>
      <c r="AX70" s="1329"/>
      <c r="AY70" s="1329"/>
      <c r="AZ70" s="1329"/>
      <c r="BA70" s="1329"/>
      <c r="BB70" s="1329"/>
      <c r="BC70" s="1329"/>
      <c r="BD70" s="1329"/>
      <c r="BE70" s="1329"/>
      <c r="BF70" s="1329"/>
      <c r="BG70" s="1329"/>
      <c r="BH70" s="1329"/>
    </row>
    <row r="71" spans="1:60" s="1332" customFormat="1" ht="31.2" customHeight="1" thickBot="1" x14ac:dyDescent="0.4">
      <c r="A71" s="1667">
        <v>44</v>
      </c>
      <c r="B71" s="1674" t="s">
        <v>1120</v>
      </c>
      <c r="C71" s="1675" t="s">
        <v>20</v>
      </c>
      <c r="D71" s="1675">
        <v>2</v>
      </c>
      <c r="E71" s="1676"/>
      <c r="F71" s="1676">
        <f t="shared" si="8"/>
        <v>2</v>
      </c>
      <c r="G71" s="1676">
        <f t="shared" si="1"/>
        <v>0</v>
      </c>
      <c r="H71" s="1666">
        <v>0</v>
      </c>
      <c r="I71" s="1666">
        <v>0</v>
      </c>
      <c r="J71" s="1666">
        <v>0</v>
      </c>
      <c r="K71" s="1666">
        <v>0</v>
      </c>
      <c r="L71" s="1666">
        <f t="shared" si="15"/>
        <v>0</v>
      </c>
      <c r="M71" s="1666">
        <f t="shared" si="16"/>
        <v>0</v>
      </c>
      <c r="N71" s="1666">
        <f t="shared" si="5"/>
        <v>0</v>
      </c>
      <c r="O71" s="1666">
        <f t="shared" si="7"/>
        <v>0</v>
      </c>
      <c r="P71" s="1666">
        <f t="shared" si="3"/>
        <v>0</v>
      </c>
      <c r="Q71" s="1666"/>
      <c r="R71" s="1666"/>
      <c r="S71" s="1666"/>
      <c r="T71" s="1666"/>
      <c r="U71" s="1666"/>
      <c r="V71" s="1329"/>
      <c r="W71" s="1329"/>
      <c r="X71" s="1329"/>
      <c r="Y71" s="1329"/>
      <c r="Z71" s="1329"/>
      <c r="AA71" s="1329"/>
      <c r="AB71" s="1329"/>
      <c r="AC71" s="1329"/>
      <c r="AD71" s="1329"/>
      <c r="AE71" s="1329"/>
      <c r="AF71" s="1329"/>
      <c r="AG71" s="1329"/>
      <c r="AH71" s="1329"/>
      <c r="AI71" s="1329"/>
      <c r="AJ71" s="1329"/>
      <c r="AK71" s="1329"/>
      <c r="AL71" s="1329"/>
      <c r="AM71" s="1329"/>
      <c r="AN71" s="1329"/>
      <c r="AO71" s="1329"/>
      <c r="AP71" s="1329"/>
      <c r="AQ71" s="1329"/>
      <c r="AR71" s="1329"/>
      <c r="AS71" s="1329"/>
      <c r="AT71" s="1329"/>
      <c r="AU71" s="1329"/>
      <c r="AV71" s="1329"/>
      <c r="AW71" s="1329"/>
      <c r="AX71" s="1329"/>
      <c r="AY71" s="1329"/>
      <c r="AZ71" s="1329"/>
      <c r="BA71" s="1329"/>
      <c r="BB71" s="1329"/>
      <c r="BC71" s="1329"/>
      <c r="BD71" s="1329"/>
      <c r="BE71" s="1329"/>
      <c r="BF71" s="1329"/>
      <c r="BG71" s="1329"/>
      <c r="BH71" s="1329"/>
    </row>
    <row r="72" spans="1:60" ht="28.8" x14ac:dyDescent="0.55000000000000004">
      <c r="E72" s="1677">
        <f>SUM(E32:E71)</f>
        <v>3937658.38</v>
      </c>
      <c r="I72" s="617"/>
      <c r="J72" s="617"/>
      <c r="K72" s="617"/>
      <c r="L72" s="617"/>
      <c r="M72" s="617"/>
      <c r="N72" s="617"/>
      <c r="O72" s="617"/>
      <c r="P72" s="617"/>
      <c r="Q72" s="617"/>
      <c r="R72" s="617"/>
      <c r="S72" s="666"/>
      <c r="T72" s="666"/>
      <c r="U72" s="666"/>
      <c r="V72" s="617"/>
      <c r="W72" s="617"/>
      <c r="X72" s="617"/>
      <c r="Y72" s="617"/>
    </row>
    <row r="73" spans="1:60" x14ac:dyDescent="0.3">
      <c r="I73" s="617"/>
      <c r="J73" s="617"/>
      <c r="K73" s="617"/>
      <c r="L73" s="617"/>
      <c r="M73" s="617"/>
      <c r="N73" s="617"/>
      <c r="O73" s="617"/>
      <c r="P73" s="617"/>
      <c r="Q73" s="617"/>
      <c r="R73" s="617"/>
      <c r="S73" s="666"/>
      <c r="T73" s="666"/>
      <c r="U73" s="666"/>
      <c r="V73" s="617"/>
      <c r="W73" s="617"/>
      <c r="X73" s="617"/>
      <c r="Y73" s="617"/>
    </row>
    <row r="74" spans="1:60" x14ac:dyDescent="0.3">
      <c r="I74" s="617"/>
      <c r="J74" s="617"/>
      <c r="K74" s="617"/>
      <c r="L74" s="617"/>
      <c r="M74" s="617"/>
      <c r="N74" s="617"/>
      <c r="O74" s="617"/>
      <c r="P74" s="617"/>
      <c r="Q74" s="617"/>
      <c r="R74" s="617"/>
      <c r="S74" s="666"/>
      <c r="T74" s="666"/>
      <c r="U74" s="666"/>
      <c r="V74" s="617"/>
      <c r="W74" s="617"/>
      <c r="X74" s="617"/>
      <c r="Y74" s="617"/>
    </row>
    <row r="75" spans="1:60" x14ac:dyDescent="0.3">
      <c r="I75" s="617"/>
      <c r="J75" s="617"/>
      <c r="K75" s="617"/>
      <c r="L75" s="617"/>
      <c r="M75" s="617"/>
      <c r="N75" s="617"/>
      <c r="O75" s="617"/>
      <c r="P75" s="617"/>
      <c r="Q75" s="617"/>
      <c r="R75" s="617"/>
      <c r="S75" s="666"/>
      <c r="T75" s="666"/>
      <c r="U75" s="666"/>
      <c r="V75" s="617"/>
      <c r="W75" s="617"/>
      <c r="X75" s="617"/>
      <c r="Y75" s="617"/>
    </row>
    <row r="76" spans="1:60" x14ac:dyDescent="0.3">
      <c r="I76" s="617"/>
      <c r="J76" s="617"/>
      <c r="K76" s="617"/>
      <c r="L76" s="617"/>
      <c r="M76" s="617"/>
      <c r="N76" s="617"/>
      <c r="O76" s="617"/>
      <c r="P76" s="617"/>
      <c r="Q76" s="617"/>
      <c r="R76" s="617"/>
      <c r="S76" s="666"/>
      <c r="T76" s="666"/>
      <c r="U76" s="666"/>
      <c r="V76" s="617"/>
      <c r="W76" s="617"/>
      <c r="X76" s="617"/>
      <c r="Y76" s="617"/>
    </row>
    <row r="77" spans="1:60" x14ac:dyDescent="0.3"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66"/>
      <c r="T77" s="666"/>
      <c r="U77" s="666"/>
      <c r="V77" s="617"/>
      <c r="W77" s="617"/>
      <c r="X77" s="617"/>
      <c r="Y77" s="617"/>
    </row>
    <row r="78" spans="1:60" x14ac:dyDescent="0.3">
      <c r="I78" s="617"/>
      <c r="J78" s="617"/>
      <c r="K78" s="617"/>
      <c r="L78" s="617"/>
      <c r="M78" s="617"/>
      <c r="N78" s="617"/>
      <c r="O78" s="617"/>
      <c r="P78" s="617"/>
      <c r="Q78" s="617"/>
      <c r="R78" s="617"/>
      <c r="S78" s="666"/>
      <c r="T78" s="666"/>
      <c r="U78" s="666"/>
      <c r="V78" s="617"/>
      <c r="W78" s="617"/>
      <c r="X78" s="617"/>
      <c r="Y78" s="617"/>
    </row>
    <row r="79" spans="1:60" x14ac:dyDescent="0.3">
      <c r="I79" s="617"/>
      <c r="J79" s="617"/>
      <c r="K79" s="617"/>
      <c r="L79" s="617"/>
      <c r="M79" s="617"/>
      <c r="N79" s="617"/>
      <c r="O79" s="617"/>
      <c r="P79" s="617"/>
      <c r="Q79" s="617"/>
      <c r="R79" s="617"/>
      <c r="S79" s="666"/>
      <c r="T79" s="666"/>
      <c r="U79" s="666"/>
      <c r="V79" s="617"/>
      <c r="W79" s="617"/>
      <c r="X79" s="617"/>
      <c r="Y79" s="617"/>
    </row>
    <row r="80" spans="1:60" x14ac:dyDescent="0.3"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66"/>
      <c r="T80" s="666"/>
      <c r="U80" s="666"/>
      <c r="V80" s="617"/>
      <c r="W80" s="617"/>
      <c r="X80" s="617"/>
      <c r="Y80" s="617"/>
    </row>
    <row r="81" spans="9:25" x14ac:dyDescent="0.3">
      <c r="I81" s="617"/>
      <c r="J81" s="617"/>
      <c r="K81" s="617"/>
      <c r="L81" s="617"/>
      <c r="M81" s="617"/>
      <c r="N81" s="617"/>
      <c r="O81" s="617"/>
      <c r="P81" s="617"/>
      <c r="Q81" s="617"/>
      <c r="R81" s="617"/>
      <c r="S81" s="666"/>
      <c r="T81" s="666"/>
      <c r="U81" s="666"/>
      <c r="V81" s="617"/>
      <c r="W81" s="617"/>
      <c r="X81" s="617"/>
      <c r="Y81" s="617"/>
    </row>
    <row r="82" spans="9:25" x14ac:dyDescent="0.3">
      <c r="I82" s="617"/>
      <c r="J82" s="617"/>
      <c r="K82" s="617"/>
      <c r="L82" s="617"/>
      <c r="M82" s="617"/>
      <c r="N82" s="617"/>
      <c r="O82" s="617"/>
      <c r="P82" s="617"/>
      <c r="Q82" s="617"/>
      <c r="R82" s="617"/>
      <c r="S82" s="666"/>
      <c r="T82" s="666"/>
      <c r="U82" s="666"/>
      <c r="V82" s="617"/>
      <c r="W82" s="617"/>
      <c r="X82" s="617"/>
      <c r="Y82" s="617"/>
    </row>
    <row r="83" spans="9:25" x14ac:dyDescent="0.3">
      <c r="I83" s="617"/>
      <c r="J83" s="617"/>
      <c r="K83" s="617"/>
      <c r="L83" s="617"/>
      <c r="M83" s="617"/>
      <c r="N83" s="617"/>
      <c r="O83" s="617"/>
      <c r="P83" s="617"/>
      <c r="Q83" s="617"/>
      <c r="R83" s="617"/>
      <c r="S83" s="666"/>
      <c r="T83" s="666"/>
      <c r="U83" s="666"/>
      <c r="V83" s="617"/>
      <c r="W83" s="617"/>
      <c r="X83" s="617"/>
      <c r="Y83" s="617"/>
    </row>
    <row r="84" spans="9:25" x14ac:dyDescent="0.3">
      <c r="I84" s="617"/>
      <c r="J84" s="617"/>
      <c r="K84" s="617"/>
      <c r="L84" s="617"/>
      <c r="M84" s="617"/>
      <c r="N84" s="617"/>
      <c r="O84" s="617"/>
      <c r="P84" s="617"/>
      <c r="Q84" s="617"/>
      <c r="R84" s="617"/>
      <c r="S84" s="666"/>
      <c r="T84" s="666"/>
      <c r="U84" s="666"/>
      <c r="V84" s="617"/>
      <c r="W84" s="617"/>
      <c r="X84" s="617"/>
      <c r="Y84" s="617"/>
    </row>
    <row r="85" spans="9:25" x14ac:dyDescent="0.3">
      <c r="I85" s="617"/>
      <c r="J85" s="617"/>
      <c r="K85" s="617"/>
      <c r="L85" s="617"/>
      <c r="M85" s="617"/>
      <c r="N85" s="617"/>
      <c r="O85" s="617"/>
      <c r="P85" s="617"/>
      <c r="Q85" s="617"/>
      <c r="R85" s="617"/>
      <c r="S85" s="666"/>
      <c r="T85" s="666"/>
      <c r="U85" s="666"/>
      <c r="V85" s="617"/>
      <c r="W85" s="617"/>
      <c r="X85" s="617"/>
      <c r="Y85" s="617"/>
    </row>
    <row r="86" spans="9:25" x14ac:dyDescent="0.3">
      <c r="I86" s="617"/>
      <c r="J86" s="617"/>
      <c r="K86" s="617"/>
      <c r="L86" s="617"/>
      <c r="M86" s="617"/>
      <c r="N86" s="617"/>
      <c r="O86" s="617"/>
      <c r="P86" s="617"/>
      <c r="Q86" s="617"/>
      <c r="R86" s="617"/>
      <c r="S86" s="666"/>
      <c r="T86" s="666"/>
      <c r="U86" s="666"/>
      <c r="V86" s="617"/>
      <c r="W86" s="617"/>
      <c r="X86" s="617"/>
      <c r="Y86" s="617"/>
    </row>
    <row r="87" spans="9:25" x14ac:dyDescent="0.3">
      <c r="I87" s="617"/>
      <c r="J87" s="617"/>
      <c r="K87" s="617"/>
      <c r="L87" s="617"/>
      <c r="M87" s="617"/>
      <c r="N87" s="617"/>
      <c r="O87" s="617"/>
      <c r="P87" s="617"/>
      <c r="Q87" s="617"/>
      <c r="R87" s="617"/>
      <c r="S87" s="666"/>
      <c r="T87" s="666"/>
      <c r="U87" s="666"/>
      <c r="V87" s="617"/>
      <c r="W87" s="617"/>
      <c r="X87" s="617"/>
      <c r="Y87" s="617"/>
    </row>
    <row r="88" spans="9:25" x14ac:dyDescent="0.3">
      <c r="I88" s="617"/>
      <c r="J88" s="617"/>
      <c r="K88" s="617"/>
      <c r="L88" s="617"/>
      <c r="M88" s="617"/>
      <c r="N88" s="617"/>
      <c r="O88" s="617"/>
      <c r="P88" s="617"/>
      <c r="Q88" s="617"/>
      <c r="R88" s="617"/>
      <c r="S88" s="666"/>
      <c r="T88" s="666"/>
      <c r="U88" s="666"/>
      <c r="V88" s="617"/>
      <c r="W88" s="617"/>
      <c r="X88" s="617"/>
      <c r="Y88" s="617"/>
    </row>
    <row r="89" spans="9:25" x14ac:dyDescent="0.3">
      <c r="I89" s="617"/>
      <c r="J89" s="617"/>
      <c r="K89" s="617"/>
      <c r="L89" s="617"/>
      <c r="M89" s="617"/>
      <c r="N89" s="617"/>
      <c r="O89" s="617"/>
      <c r="P89" s="617"/>
      <c r="Q89" s="617"/>
      <c r="R89" s="617"/>
      <c r="S89" s="666"/>
      <c r="T89" s="666"/>
      <c r="U89" s="666"/>
      <c r="V89" s="617"/>
      <c r="W89" s="617"/>
      <c r="X89" s="617"/>
      <c r="Y89" s="617"/>
    </row>
    <row r="90" spans="9:25" x14ac:dyDescent="0.3">
      <c r="I90" s="617"/>
      <c r="J90" s="617"/>
      <c r="K90" s="617"/>
      <c r="L90" s="617"/>
      <c r="M90" s="617"/>
      <c r="N90" s="617"/>
      <c r="O90" s="617"/>
      <c r="P90" s="617"/>
      <c r="Q90" s="617"/>
      <c r="R90" s="617"/>
      <c r="S90" s="666"/>
      <c r="T90" s="666"/>
      <c r="U90" s="666"/>
      <c r="V90" s="617"/>
      <c r="W90" s="617"/>
      <c r="X90" s="617"/>
      <c r="Y90" s="617"/>
    </row>
    <row r="91" spans="9:25" x14ac:dyDescent="0.3">
      <c r="I91" s="617"/>
      <c r="J91" s="617"/>
      <c r="K91" s="617"/>
      <c r="L91" s="617"/>
      <c r="M91" s="617"/>
      <c r="N91" s="617"/>
      <c r="O91" s="617"/>
      <c r="P91" s="617"/>
      <c r="Q91" s="617"/>
      <c r="R91" s="617"/>
      <c r="S91" s="666"/>
      <c r="T91" s="666"/>
      <c r="U91" s="666"/>
      <c r="V91" s="617"/>
      <c r="W91" s="617"/>
      <c r="X91" s="617"/>
      <c r="Y91" s="617"/>
    </row>
    <row r="92" spans="9:25" x14ac:dyDescent="0.3">
      <c r="I92" s="617"/>
      <c r="J92" s="617"/>
      <c r="K92" s="617"/>
      <c r="L92" s="617"/>
      <c r="M92" s="617"/>
      <c r="N92" s="617"/>
      <c r="O92" s="617"/>
      <c r="P92" s="617"/>
      <c r="Q92" s="617"/>
      <c r="R92" s="617"/>
      <c r="S92" s="666"/>
      <c r="T92" s="666"/>
      <c r="U92" s="666"/>
      <c r="V92" s="617"/>
      <c r="W92" s="617"/>
      <c r="X92" s="617"/>
      <c r="Y92" s="617"/>
    </row>
    <row r="93" spans="9:25" x14ac:dyDescent="0.3">
      <c r="I93" s="617"/>
      <c r="J93" s="617"/>
      <c r="K93" s="617"/>
      <c r="L93" s="617"/>
      <c r="M93" s="617"/>
      <c r="N93" s="617"/>
      <c r="O93" s="617"/>
      <c r="P93" s="617"/>
      <c r="Q93" s="617"/>
      <c r="R93" s="617"/>
      <c r="S93" s="666"/>
      <c r="T93" s="666"/>
      <c r="U93" s="666"/>
      <c r="V93" s="617"/>
      <c r="W93" s="617"/>
      <c r="X93" s="617"/>
      <c r="Y93" s="617"/>
    </row>
    <row r="94" spans="9:25" x14ac:dyDescent="0.3">
      <c r="I94" s="617"/>
      <c r="J94" s="617"/>
      <c r="K94" s="617"/>
      <c r="L94" s="617"/>
      <c r="M94" s="617"/>
      <c r="N94" s="617"/>
      <c r="O94" s="617"/>
      <c r="P94" s="617"/>
      <c r="Q94" s="617"/>
      <c r="R94" s="617"/>
      <c r="S94" s="666"/>
      <c r="T94" s="666"/>
      <c r="U94" s="666"/>
      <c r="V94" s="617"/>
      <c r="W94" s="617"/>
      <c r="X94" s="617"/>
      <c r="Y94" s="617"/>
    </row>
    <row r="95" spans="9:25" x14ac:dyDescent="0.3">
      <c r="I95" s="617"/>
      <c r="J95" s="617"/>
      <c r="K95" s="617"/>
      <c r="L95" s="617"/>
      <c r="M95" s="617"/>
      <c r="N95" s="617"/>
      <c r="O95" s="617"/>
      <c r="P95" s="617"/>
      <c r="Q95" s="617"/>
      <c r="R95" s="617"/>
      <c r="S95" s="666"/>
      <c r="T95" s="666"/>
      <c r="U95" s="666"/>
      <c r="V95" s="617"/>
      <c r="W95" s="617"/>
      <c r="X95" s="617"/>
      <c r="Y95" s="617"/>
    </row>
    <row r="96" spans="9:25" x14ac:dyDescent="0.3">
      <c r="I96" s="617"/>
      <c r="J96" s="617"/>
      <c r="K96" s="617"/>
      <c r="L96" s="617"/>
      <c r="M96" s="617"/>
      <c r="N96" s="617"/>
      <c r="O96" s="617"/>
      <c r="P96" s="617"/>
      <c r="Q96" s="617"/>
      <c r="R96" s="617"/>
      <c r="S96" s="666"/>
      <c r="T96" s="666"/>
      <c r="U96" s="666"/>
      <c r="V96" s="617"/>
      <c r="W96" s="617"/>
      <c r="X96" s="617"/>
      <c r="Y96" s="617"/>
    </row>
    <row r="97" spans="9:25" x14ac:dyDescent="0.3">
      <c r="I97" s="617"/>
      <c r="J97" s="617"/>
      <c r="K97" s="617"/>
      <c r="L97" s="617"/>
      <c r="M97" s="617"/>
      <c r="N97" s="617"/>
      <c r="O97" s="617"/>
      <c r="P97" s="617"/>
      <c r="Q97" s="617"/>
      <c r="R97" s="617"/>
      <c r="S97" s="666"/>
      <c r="T97" s="666"/>
      <c r="U97" s="666"/>
      <c r="V97" s="617"/>
      <c r="W97" s="617"/>
      <c r="X97" s="617"/>
      <c r="Y97" s="617"/>
    </row>
    <row r="98" spans="9:25" x14ac:dyDescent="0.3">
      <c r="I98" s="617"/>
      <c r="J98" s="617"/>
      <c r="K98" s="617"/>
      <c r="L98" s="617"/>
      <c r="M98" s="617"/>
      <c r="N98" s="617"/>
      <c r="O98" s="617"/>
      <c r="P98" s="617"/>
      <c r="Q98" s="617"/>
      <c r="R98" s="617"/>
      <c r="S98" s="666"/>
      <c r="T98" s="666"/>
      <c r="U98" s="666"/>
      <c r="V98" s="617"/>
      <c r="W98" s="617"/>
      <c r="X98" s="617"/>
      <c r="Y98" s="617"/>
    </row>
    <row r="99" spans="9:25" x14ac:dyDescent="0.3">
      <c r="I99" s="617"/>
      <c r="J99" s="617"/>
      <c r="K99" s="617"/>
      <c r="L99" s="617"/>
      <c r="M99" s="617"/>
      <c r="N99" s="617"/>
      <c r="O99" s="617"/>
      <c r="P99" s="617"/>
      <c r="Q99" s="617"/>
      <c r="R99" s="617"/>
      <c r="S99" s="666"/>
      <c r="T99" s="666"/>
      <c r="U99" s="666"/>
      <c r="V99" s="617"/>
      <c r="W99" s="617"/>
      <c r="X99" s="617"/>
      <c r="Y99" s="617"/>
    </row>
    <row r="100" spans="9:25" x14ac:dyDescent="0.3">
      <c r="I100" s="617"/>
      <c r="J100" s="617"/>
      <c r="K100" s="617"/>
      <c r="L100" s="617"/>
      <c r="M100" s="617"/>
      <c r="N100" s="617"/>
      <c r="O100" s="617"/>
      <c r="P100" s="617"/>
      <c r="Q100" s="617"/>
      <c r="R100" s="617"/>
      <c r="S100" s="666"/>
      <c r="T100" s="666"/>
      <c r="U100" s="666"/>
      <c r="V100" s="617"/>
      <c r="W100" s="617"/>
      <c r="X100" s="617"/>
      <c r="Y100" s="617"/>
    </row>
    <row r="101" spans="9:25" x14ac:dyDescent="0.3">
      <c r="I101" s="617"/>
      <c r="J101" s="617"/>
      <c r="K101" s="617"/>
      <c r="L101" s="617"/>
      <c r="M101" s="617"/>
      <c r="N101" s="617"/>
      <c r="O101" s="617"/>
      <c r="P101" s="617"/>
      <c r="Q101" s="617"/>
      <c r="R101" s="617"/>
      <c r="S101" s="666"/>
      <c r="T101" s="666"/>
      <c r="U101" s="666"/>
      <c r="V101" s="617"/>
      <c r="W101" s="617"/>
      <c r="X101" s="617"/>
      <c r="Y101" s="617"/>
    </row>
    <row r="102" spans="9:25" x14ac:dyDescent="0.3">
      <c r="I102" s="617"/>
      <c r="J102" s="617"/>
      <c r="K102" s="617"/>
      <c r="L102" s="617"/>
      <c r="M102" s="617"/>
      <c r="N102" s="617"/>
      <c r="O102" s="617"/>
      <c r="P102" s="617"/>
      <c r="Q102" s="617"/>
      <c r="R102" s="617"/>
      <c r="S102" s="666"/>
      <c r="T102" s="666"/>
      <c r="U102" s="666"/>
      <c r="V102" s="617"/>
      <c r="W102" s="617"/>
      <c r="X102" s="617"/>
      <c r="Y102" s="617"/>
    </row>
    <row r="103" spans="9:25" x14ac:dyDescent="0.3">
      <c r="I103" s="617"/>
      <c r="J103" s="617"/>
      <c r="K103" s="617"/>
      <c r="L103" s="617"/>
      <c r="M103" s="617"/>
      <c r="N103" s="617"/>
      <c r="O103" s="617"/>
      <c r="P103" s="617"/>
      <c r="Q103" s="617"/>
      <c r="R103" s="617"/>
      <c r="S103" s="666"/>
      <c r="T103" s="666"/>
      <c r="U103" s="666"/>
      <c r="V103" s="617"/>
      <c r="W103" s="617"/>
      <c r="X103" s="617"/>
      <c r="Y103" s="617"/>
    </row>
    <row r="104" spans="9:25" x14ac:dyDescent="0.3">
      <c r="I104" s="617"/>
      <c r="J104" s="617"/>
      <c r="K104" s="617"/>
      <c r="L104" s="617"/>
      <c r="M104" s="617"/>
      <c r="N104" s="617"/>
      <c r="O104" s="617"/>
      <c r="P104" s="617"/>
      <c r="Q104" s="617"/>
      <c r="R104" s="617"/>
      <c r="S104" s="666"/>
      <c r="T104" s="666"/>
      <c r="U104" s="666"/>
      <c r="V104" s="617"/>
      <c r="W104" s="617"/>
      <c r="X104" s="617"/>
      <c r="Y104" s="617"/>
    </row>
    <row r="105" spans="9:25" x14ac:dyDescent="0.3">
      <c r="I105" s="617"/>
      <c r="J105" s="617"/>
      <c r="K105" s="617"/>
      <c r="L105" s="617"/>
      <c r="M105" s="617"/>
      <c r="N105" s="617"/>
      <c r="O105" s="617"/>
      <c r="P105" s="617"/>
      <c r="Q105" s="617"/>
      <c r="R105" s="617"/>
      <c r="S105" s="666"/>
      <c r="T105" s="666"/>
      <c r="U105" s="666"/>
      <c r="V105" s="617"/>
      <c r="W105" s="617"/>
      <c r="X105" s="617"/>
      <c r="Y105" s="617"/>
    </row>
    <row r="106" spans="9:25" x14ac:dyDescent="0.3">
      <c r="I106" s="617"/>
      <c r="J106" s="617"/>
      <c r="K106" s="617"/>
      <c r="L106" s="617"/>
      <c r="M106" s="617"/>
      <c r="N106" s="617"/>
      <c r="O106" s="617"/>
      <c r="P106" s="617"/>
      <c r="Q106" s="617"/>
      <c r="R106" s="617"/>
      <c r="S106" s="666"/>
      <c r="T106" s="666"/>
      <c r="U106" s="666"/>
      <c r="V106" s="617"/>
      <c r="W106" s="617"/>
      <c r="X106" s="617"/>
      <c r="Y106" s="617"/>
    </row>
    <row r="107" spans="9:25" x14ac:dyDescent="0.3">
      <c r="I107" s="617"/>
      <c r="J107" s="617"/>
      <c r="K107" s="617"/>
      <c r="L107" s="617"/>
      <c r="M107" s="617"/>
      <c r="N107" s="617"/>
      <c r="O107" s="617"/>
      <c r="P107" s="617"/>
      <c r="Q107" s="617"/>
      <c r="R107" s="617"/>
      <c r="S107" s="666"/>
      <c r="T107" s="666"/>
      <c r="U107" s="666"/>
      <c r="V107" s="617"/>
      <c r="W107" s="617"/>
      <c r="X107" s="617"/>
      <c r="Y107" s="617"/>
    </row>
    <row r="108" spans="9:25" x14ac:dyDescent="0.3">
      <c r="I108" s="617"/>
      <c r="J108" s="617"/>
      <c r="K108" s="617"/>
      <c r="L108" s="617"/>
      <c r="M108" s="617"/>
      <c r="N108" s="617"/>
      <c r="O108" s="617"/>
      <c r="P108" s="617"/>
      <c r="Q108" s="617"/>
      <c r="R108" s="617"/>
      <c r="S108" s="666"/>
      <c r="T108" s="666"/>
      <c r="U108" s="666"/>
      <c r="V108" s="617"/>
      <c r="W108" s="617"/>
      <c r="X108" s="617"/>
      <c r="Y108" s="617"/>
    </row>
    <row r="109" spans="9:25" x14ac:dyDescent="0.3">
      <c r="I109" s="617"/>
      <c r="J109" s="617"/>
      <c r="K109" s="617"/>
      <c r="L109" s="617"/>
      <c r="M109" s="617"/>
      <c r="N109" s="617"/>
      <c r="O109" s="617"/>
      <c r="P109" s="617"/>
      <c r="Q109" s="617"/>
      <c r="R109" s="617"/>
      <c r="S109" s="666"/>
      <c r="T109" s="666"/>
      <c r="U109" s="666"/>
      <c r="V109" s="617"/>
      <c r="W109" s="617"/>
      <c r="X109" s="617"/>
      <c r="Y109" s="617"/>
    </row>
    <row r="110" spans="9:25" x14ac:dyDescent="0.3">
      <c r="I110" s="617"/>
      <c r="J110" s="617"/>
      <c r="K110" s="617"/>
      <c r="L110" s="617"/>
      <c r="M110" s="617"/>
      <c r="N110" s="617"/>
      <c r="O110" s="617"/>
      <c r="P110" s="617"/>
      <c r="Q110" s="617"/>
      <c r="R110" s="617"/>
      <c r="S110" s="666"/>
      <c r="T110" s="666"/>
      <c r="U110" s="666"/>
      <c r="V110" s="617"/>
      <c r="W110" s="617"/>
      <c r="X110" s="617"/>
      <c r="Y110" s="617"/>
    </row>
    <row r="111" spans="9:25" x14ac:dyDescent="0.3">
      <c r="I111" s="617"/>
      <c r="J111" s="617"/>
      <c r="K111" s="617"/>
      <c r="L111" s="617"/>
      <c r="M111" s="617"/>
      <c r="N111" s="617"/>
      <c r="O111" s="617"/>
      <c r="P111" s="617"/>
      <c r="Q111" s="617"/>
      <c r="R111" s="617"/>
      <c r="S111" s="666"/>
      <c r="T111" s="666"/>
      <c r="U111" s="666"/>
      <c r="V111" s="617"/>
      <c r="W111" s="617"/>
      <c r="X111" s="617"/>
      <c r="Y111" s="617"/>
    </row>
    <row r="112" spans="9:25" x14ac:dyDescent="0.3">
      <c r="I112" s="617"/>
      <c r="J112" s="617"/>
      <c r="K112" s="617"/>
      <c r="L112" s="617"/>
      <c r="M112" s="617"/>
      <c r="N112" s="617"/>
      <c r="O112" s="617"/>
      <c r="P112" s="617"/>
      <c r="Q112" s="617"/>
      <c r="R112" s="617"/>
      <c r="S112" s="666"/>
      <c r="T112" s="666"/>
      <c r="U112" s="666"/>
      <c r="V112" s="617"/>
      <c r="W112" s="617"/>
      <c r="X112" s="617"/>
      <c r="Y112" s="617"/>
    </row>
    <row r="113" spans="9:25" x14ac:dyDescent="0.3">
      <c r="I113" s="617"/>
      <c r="J113" s="617"/>
      <c r="K113" s="617"/>
      <c r="L113" s="617"/>
      <c r="M113" s="617"/>
      <c r="N113" s="617"/>
      <c r="O113" s="617"/>
      <c r="P113" s="617"/>
      <c r="Q113" s="617"/>
      <c r="R113" s="617"/>
      <c r="S113" s="666"/>
      <c r="T113" s="666"/>
      <c r="U113" s="666"/>
      <c r="V113" s="617"/>
      <c r="W113" s="617"/>
      <c r="X113" s="617"/>
      <c r="Y113" s="617"/>
    </row>
    <row r="114" spans="9:25" x14ac:dyDescent="0.3">
      <c r="I114" s="617"/>
      <c r="J114" s="617"/>
      <c r="K114" s="617"/>
      <c r="L114" s="617"/>
      <c r="M114" s="617"/>
      <c r="N114" s="617"/>
      <c r="O114" s="617"/>
      <c r="P114" s="617"/>
      <c r="Q114" s="617"/>
      <c r="R114" s="617"/>
      <c r="S114" s="666"/>
      <c r="T114" s="666"/>
      <c r="U114" s="666"/>
      <c r="V114" s="617"/>
      <c r="W114" s="617"/>
      <c r="X114" s="617"/>
      <c r="Y114" s="617"/>
    </row>
    <row r="115" spans="9:25" x14ac:dyDescent="0.3">
      <c r="I115" s="617"/>
      <c r="J115" s="617"/>
      <c r="K115" s="617"/>
      <c r="L115" s="617"/>
      <c r="M115" s="617"/>
      <c r="N115" s="617"/>
      <c r="O115" s="617"/>
      <c r="P115" s="617"/>
      <c r="Q115" s="617"/>
      <c r="R115" s="617"/>
      <c r="S115" s="666"/>
      <c r="T115" s="666"/>
      <c r="U115" s="666"/>
      <c r="V115" s="617"/>
      <c r="W115" s="617"/>
      <c r="X115" s="617"/>
      <c r="Y115" s="617"/>
    </row>
    <row r="116" spans="9:25" x14ac:dyDescent="0.3">
      <c r="I116" s="617"/>
      <c r="J116" s="617"/>
      <c r="K116" s="617"/>
      <c r="L116" s="617"/>
      <c r="M116" s="617"/>
      <c r="N116" s="617"/>
      <c r="O116" s="617"/>
      <c r="P116" s="617"/>
      <c r="Q116" s="617"/>
      <c r="R116" s="617"/>
      <c r="S116" s="666"/>
      <c r="T116" s="666"/>
      <c r="U116" s="666"/>
      <c r="V116" s="617"/>
      <c r="W116" s="617"/>
      <c r="X116" s="617"/>
      <c r="Y116" s="617"/>
    </row>
    <row r="117" spans="9:25" x14ac:dyDescent="0.3">
      <c r="I117" s="617"/>
      <c r="J117" s="617"/>
      <c r="K117" s="617"/>
      <c r="L117" s="617"/>
      <c r="M117" s="617"/>
      <c r="N117" s="617"/>
      <c r="O117" s="617"/>
      <c r="P117" s="617"/>
      <c r="Q117" s="617"/>
      <c r="R117" s="617"/>
      <c r="S117" s="666"/>
      <c r="T117" s="666"/>
      <c r="U117" s="666"/>
      <c r="V117" s="617"/>
      <c r="W117" s="617"/>
      <c r="X117" s="617"/>
      <c r="Y117" s="617"/>
    </row>
    <row r="118" spans="9:25" x14ac:dyDescent="0.3">
      <c r="I118" s="617"/>
      <c r="J118" s="617"/>
      <c r="K118" s="617"/>
      <c r="L118" s="617"/>
      <c r="M118" s="617"/>
      <c r="N118" s="617"/>
      <c r="O118" s="617"/>
      <c r="P118" s="617"/>
      <c r="Q118" s="617"/>
      <c r="R118" s="617"/>
      <c r="S118" s="666"/>
      <c r="T118" s="666"/>
      <c r="U118" s="666"/>
      <c r="V118" s="617"/>
      <c r="W118" s="617"/>
      <c r="X118" s="617"/>
      <c r="Y118" s="617"/>
    </row>
    <row r="119" spans="9:25" x14ac:dyDescent="0.3">
      <c r="I119" s="617"/>
      <c r="J119" s="617"/>
      <c r="K119" s="617"/>
      <c r="L119" s="617"/>
      <c r="M119" s="617"/>
      <c r="N119" s="617"/>
      <c r="O119" s="617"/>
      <c r="P119" s="617"/>
      <c r="Q119" s="617"/>
      <c r="R119" s="617"/>
      <c r="S119" s="666"/>
      <c r="T119" s="666"/>
      <c r="U119" s="666"/>
      <c r="V119" s="617"/>
      <c r="W119" s="617"/>
      <c r="X119" s="617"/>
      <c r="Y119" s="617"/>
    </row>
    <row r="120" spans="9:25" x14ac:dyDescent="0.3">
      <c r="I120" s="617"/>
      <c r="J120" s="617"/>
      <c r="K120" s="617"/>
      <c r="L120" s="617"/>
      <c r="M120" s="617"/>
      <c r="N120" s="617"/>
      <c r="O120" s="617"/>
      <c r="P120" s="617"/>
      <c r="Q120" s="617"/>
      <c r="R120" s="617"/>
      <c r="S120" s="666"/>
      <c r="T120" s="666"/>
      <c r="U120" s="666"/>
      <c r="V120" s="617"/>
      <c r="W120" s="617"/>
      <c r="X120" s="617"/>
      <c r="Y120" s="617"/>
    </row>
    <row r="121" spans="9:25" x14ac:dyDescent="0.3">
      <c r="I121" s="617"/>
      <c r="J121" s="617"/>
      <c r="K121" s="617"/>
      <c r="L121" s="617"/>
      <c r="M121" s="617"/>
      <c r="N121" s="617"/>
      <c r="O121" s="617"/>
      <c r="P121" s="617"/>
      <c r="Q121" s="617"/>
      <c r="R121" s="617"/>
      <c r="S121" s="666"/>
      <c r="T121" s="666"/>
      <c r="U121" s="666"/>
      <c r="V121" s="617"/>
      <c r="W121" s="617"/>
      <c r="X121" s="617"/>
      <c r="Y121" s="617"/>
    </row>
    <row r="122" spans="9:25" x14ac:dyDescent="0.3">
      <c r="I122" s="617"/>
      <c r="J122" s="617"/>
      <c r="K122" s="617"/>
      <c r="L122" s="617"/>
      <c r="M122" s="617"/>
      <c r="N122" s="617"/>
      <c r="O122" s="617"/>
      <c r="P122" s="617"/>
      <c r="Q122" s="617"/>
      <c r="R122" s="617"/>
      <c r="S122" s="666"/>
      <c r="T122" s="666"/>
      <c r="U122" s="666"/>
      <c r="V122" s="617"/>
      <c r="W122" s="617"/>
      <c r="X122" s="617"/>
      <c r="Y122" s="617"/>
    </row>
    <row r="123" spans="9:25" x14ac:dyDescent="0.3">
      <c r="I123" s="617"/>
      <c r="J123" s="617"/>
      <c r="K123" s="617"/>
      <c r="L123" s="617"/>
      <c r="M123" s="617"/>
      <c r="N123" s="617"/>
      <c r="O123" s="617"/>
      <c r="P123" s="617"/>
      <c r="Q123" s="617"/>
      <c r="R123" s="617"/>
      <c r="S123" s="666"/>
      <c r="T123" s="666"/>
      <c r="U123" s="666"/>
      <c r="V123" s="617"/>
      <c r="W123" s="617"/>
      <c r="X123" s="617"/>
      <c r="Y123" s="617"/>
    </row>
    <row r="124" spans="9:25" x14ac:dyDescent="0.3">
      <c r="I124" s="617"/>
      <c r="J124" s="617"/>
      <c r="K124" s="617"/>
      <c r="L124" s="617"/>
      <c r="M124" s="617"/>
      <c r="N124" s="617"/>
      <c r="O124" s="617"/>
      <c r="P124" s="617"/>
      <c r="Q124" s="617"/>
      <c r="R124" s="617"/>
      <c r="S124" s="666"/>
      <c r="T124" s="666"/>
      <c r="U124" s="666"/>
      <c r="V124" s="617"/>
      <c r="W124" s="617"/>
      <c r="X124" s="617"/>
      <c r="Y124" s="617"/>
    </row>
    <row r="125" spans="9:25" x14ac:dyDescent="0.3">
      <c r="I125" s="617"/>
      <c r="J125" s="617"/>
      <c r="K125" s="617"/>
      <c r="L125" s="617"/>
      <c r="M125" s="617"/>
      <c r="N125" s="617"/>
      <c r="O125" s="617"/>
      <c r="P125" s="617"/>
      <c r="Q125" s="617"/>
      <c r="R125" s="617"/>
      <c r="S125" s="666"/>
      <c r="T125" s="666"/>
      <c r="U125" s="666"/>
      <c r="V125" s="617"/>
      <c r="W125" s="617"/>
      <c r="X125" s="617"/>
      <c r="Y125" s="617"/>
    </row>
    <row r="126" spans="9:25" x14ac:dyDescent="0.3">
      <c r="I126" s="617"/>
      <c r="J126" s="617"/>
      <c r="K126" s="617"/>
      <c r="L126" s="617"/>
      <c r="M126" s="617"/>
      <c r="N126" s="617"/>
      <c r="O126" s="617"/>
      <c r="P126" s="617"/>
      <c r="Q126" s="617"/>
      <c r="R126" s="617"/>
      <c r="S126" s="666"/>
      <c r="T126" s="666"/>
      <c r="U126" s="666"/>
      <c r="V126" s="617"/>
      <c r="W126" s="617"/>
      <c r="X126" s="617"/>
      <c r="Y126" s="617"/>
    </row>
    <row r="127" spans="9:25" x14ac:dyDescent="0.3">
      <c r="I127" s="617"/>
      <c r="J127" s="617"/>
      <c r="K127" s="617"/>
      <c r="L127" s="617"/>
      <c r="M127" s="617"/>
      <c r="N127" s="617"/>
      <c r="O127" s="617"/>
      <c r="P127" s="617"/>
      <c r="Q127" s="617"/>
      <c r="R127" s="617"/>
      <c r="S127" s="666"/>
      <c r="T127" s="666"/>
      <c r="U127" s="666"/>
      <c r="V127" s="617"/>
      <c r="W127" s="617"/>
      <c r="X127" s="617"/>
      <c r="Y127" s="617"/>
    </row>
    <row r="128" spans="9:25" x14ac:dyDescent="0.3">
      <c r="I128" s="617"/>
      <c r="J128" s="617"/>
      <c r="K128" s="617"/>
      <c r="L128" s="617"/>
      <c r="M128" s="617"/>
      <c r="N128" s="617"/>
      <c r="O128" s="617"/>
      <c r="P128" s="617"/>
      <c r="Q128" s="617"/>
      <c r="R128" s="617"/>
      <c r="S128" s="666"/>
      <c r="T128" s="666"/>
      <c r="U128" s="666"/>
      <c r="V128" s="617"/>
      <c r="W128" s="617"/>
      <c r="X128" s="617"/>
      <c r="Y128" s="617"/>
    </row>
    <row r="129" spans="9:25" x14ac:dyDescent="0.3">
      <c r="I129" s="617"/>
      <c r="J129" s="617"/>
      <c r="K129" s="617"/>
      <c r="L129" s="617"/>
      <c r="M129" s="617"/>
      <c r="N129" s="617"/>
      <c r="O129" s="617"/>
      <c r="P129" s="617"/>
      <c r="Q129" s="617"/>
      <c r="R129" s="617"/>
      <c r="S129" s="666"/>
      <c r="T129" s="666"/>
      <c r="U129" s="666"/>
      <c r="V129" s="617"/>
      <c r="W129" s="617"/>
      <c r="X129" s="617"/>
      <c r="Y129" s="617"/>
    </row>
    <row r="130" spans="9:25" x14ac:dyDescent="0.3">
      <c r="I130" s="617"/>
      <c r="J130" s="617"/>
      <c r="K130" s="617"/>
      <c r="L130" s="617"/>
      <c r="M130" s="617"/>
      <c r="N130" s="617"/>
      <c r="O130" s="617"/>
      <c r="P130" s="617"/>
      <c r="Q130" s="617"/>
      <c r="R130" s="617"/>
      <c r="S130" s="666"/>
      <c r="T130" s="666"/>
      <c r="U130" s="666"/>
      <c r="V130" s="617"/>
      <c r="W130" s="617"/>
      <c r="X130" s="617"/>
      <c r="Y130" s="617"/>
    </row>
    <row r="131" spans="9:25" x14ac:dyDescent="0.3">
      <c r="I131" s="617"/>
      <c r="J131" s="617"/>
      <c r="K131" s="617"/>
      <c r="L131" s="617"/>
      <c r="M131" s="617"/>
      <c r="N131" s="617"/>
      <c r="O131" s="617"/>
      <c r="P131" s="617"/>
      <c r="Q131" s="617"/>
      <c r="R131" s="617"/>
      <c r="S131" s="666"/>
      <c r="T131" s="666"/>
      <c r="U131" s="666"/>
      <c r="V131" s="617"/>
      <c r="W131" s="617"/>
      <c r="X131" s="617"/>
      <c r="Y131" s="617"/>
    </row>
    <row r="132" spans="9:25" x14ac:dyDescent="0.3">
      <c r="I132" s="617"/>
      <c r="J132" s="617"/>
      <c r="K132" s="617"/>
      <c r="L132" s="617"/>
      <c r="M132" s="617"/>
      <c r="N132" s="617"/>
      <c r="O132" s="617"/>
      <c r="P132" s="617"/>
      <c r="Q132" s="617"/>
      <c r="R132" s="617"/>
      <c r="S132" s="666"/>
      <c r="T132" s="666"/>
      <c r="U132" s="666"/>
      <c r="V132" s="617"/>
      <c r="W132" s="617"/>
      <c r="X132" s="617"/>
      <c r="Y132" s="617"/>
    </row>
    <row r="133" spans="9:25" x14ac:dyDescent="0.3">
      <c r="I133" s="617"/>
      <c r="J133" s="617"/>
      <c r="K133" s="617"/>
      <c r="L133" s="617"/>
      <c r="M133" s="617"/>
      <c r="N133" s="617"/>
      <c r="O133" s="617"/>
      <c r="P133" s="617"/>
      <c r="Q133" s="617"/>
      <c r="R133" s="617"/>
      <c r="S133" s="666"/>
      <c r="T133" s="666"/>
      <c r="U133" s="666"/>
      <c r="V133" s="617"/>
      <c r="W133" s="617"/>
      <c r="X133" s="617"/>
      <c r="Y133" s="617"/>
    </row>
    <row r="134" spans="9:25" x14ac:dyDescent="0.3">
      <c r="I134" s="617"/>
      <c r="J134" s="617"/>
      <c r="K134" s="617"/>
      <c r="L134" s="617"/>
      <c r="M134" s="617"/>
      <c r="N134" s="617"/>
      <c r="O134" s="617"/>
      <c r="P134" s="617"/>
      <c r="Q134" s="617"/>
      <c r="R134" s="617"/>
      <c r="S134" s="666"/>
      <c r="T134" s="666"/>
      <c r="U134" s="666"/>
      <c r="V134" s="617"/>
      <c r="W134" s="617"/>
      <c r="X134" s="617"/>
      <c r="Y134" s="617"/>
    </row>
    <row r="135" spans="9:25" x14ac:dyDescent="0.3">
      <c r="I135" s="617"/>
      <c r="J135" s="617"/>
      <c r="K135" s="617"/>
      <c r="L135" s="617"/>
      <c r="M135" s="617"/>
      <c r="N135" s="617"/>
      <c r="O135" s="617"/>
      <c r="P135" s="617"/>
      <c r="Q135" s="617"/>
      <c r="R135" s="617"/>
      <c r="S135" s="666"/>
      <c r="T135" s="666"/>
      <c r="U135" s="666"/>
      <c r="V135" s="617"/>
      <c r="W135" s="617"/>
      <c r="X135" s="617"/>
      <c r="Y135" s="617"/>
    </row>
    <row r="136" spans="9:25" x14ac:dyDescent="0.3">
      <c r="I136" s="617"/>
      <c r="J136" s="617"/>
      <c r="K136" s="617"/>
      <c r="L136" s="617"/>
      <c r="M136" s="617"/>
      <c r="N136" s="617"/>
      <c r="O136" s="617"/>
      <c r="P136" s="617"/>
      <c r="Q136" s="617"/>
      <c r="R136" s="617"/>
      <c r="S136" s="666"/>
      <c r="T136" s="666"/>
      <c r="U136" s="666"/>
      <c r="V136" s="617"/>
      <c r="W136" s="617"/>
      <c r="X136" s="617"/>
      <c r="Y136" s="617"/>
    </row>
    <row r="137" spans="9:25" x14ac:dyDescent="0.3">
      <c r="I137" s="617"/>
      <c r="J137" s="617"/>
      <c r="K137" s="617"/>
      <c r="L137" s="617"/>
      <c r="M137" s="617"/>
      <c r="N137" s="617"/>
      <c r="O137" s="617"/>
      <c r="P137" s="617"/>
      <c r="Q137" s="617"/>
      <c r="R137" s="617"/>
      <c r="S137" s="666"/>
      <c r="T137" s="666"/>
      <c r="U137" s="666"/>
      <c r="V137" s="617"/>
      <c r="W137" s="617"/>
      <c r="X137" s="617"/>
      <c r="Y137" s="617"/>
    </row>
    <row r="138" spans="9:25" x14ac:dyDescent="0.3">
      <c r="I138" s="617"/>
      <c r="J138" s="617"/>
      <c r="K138" s="617"/>
      <c r="L138" s="617"/>
      <c r="M138" s="617"/>
      <c r="N138" s="617"/>
      <c r="O138" s="617"/>
      <c r="P138" s="617"/>
      <c r="Q138" s="617"/>
      <c r="R138" s="617"/>
      <c r="S138" s="666"/>
      <c r="T138" s="666"/>
      <c r="U138" s="666"/>
      <c r="V138" s="617"/>
      <c r="W138" s="617"/>
      <c r="X138" s="617"/>
      <c r="Y138" s="617"/>
    </row>
    <row r="139" spans="9:25" x14ac:dyDescent="0.3">
      <c r="I139" s="617"/>
      <c r="J139" s="617"/>
      <c r="K139" s="617"/>
      <c r="L139" s="617"/>
      <c r="M139" s="617"/>
      <c r="N139" s="617"/>
      <c r="O139" s="617"/>
      <c r="P139" s="617"/>
      <c r="Q139" s="617"/>
      <c r="R139" s="617"/>
      <c r="S139" s="666"/>
      <c r="T139" s="666"/>
      <c r="U139" s="666"/>
      <c r="V139" s="617"/>
      <c r="W139" s="617"/>
      <c r="X139" s="617"/>
      <c r="Y139" s="617"/>
    </row>
    <row r="140" spans="9:25" x14ac:dyDescent="0.3">
      <c r="I140" s="617"/>
      <c r="J140" s="617"/>
      <c r="K140" s="617"/>
      <c r="L140" s="617"/>
      <c r="M140" s="617"/>
      <c r="N140" s="617"/>
      <c r="O140" s="617"/>
      <c r="P140" s="617"/>
      <c r="Q140" s="617"/>
      <c r="R140" s="617"/>
      <c r="S140" s="666"/>
      <c r="T140" s="666"/>
      <c r="U140" s="666"/>
      <c r="V140" s="617"/>
      <c r="W140" s="617"/>
      <c r="X140" s="617"/>
      <c r="Y140" s="617"/>
    </row>
    <row r="141" spans="9:25" x14ac:dyDescent="0.3">
      <c r="I141" s="617"/>
      <c r="J141" s="617"/>
      <c r="K141" s="617"/>
      <c r="L141" s="617"/>
      <c r="M141" s="617"/>
      <c r="N141" s="617"/>
      <c r="O141" s="617"/>
      <c r="P141" s="617"/>
      <c r="Q141" s="617"/>
      <c r="R141" s="617"/>
      <c r="S141" s="666"/>
      <c r="T141" s="666"/>
      <c r="U141" s="666"/>
      <c r="V141" s="617"/>
      <c r="W141" s="617"/>
      <c r="X141" s="617"/>
      <c r="Y141" s="617"/>
    </row>
    <row r="142" spans="9:25" x14ac:dyDescent="0.3">
      <c r="I142" s="617"/>
      <c r="J142" s="617"/>
      <c r="K142" s="617"/>
      <c r="L142" s="617"/>
      <c r="M142" s="617"/>
      <c r="N142" s="617"/>
      <c r="O142" s="617"/>
      <c r="P142" s="617"/>
      <c r="Q142" s="617"/>
      <c r="R142" s="617"/>
      <c r="S142" s="666"/>
      <c r="T142" s="666"/>
      <c r="U142" s="666"/>
      <c r="V142" s="617"/>
      <c r="W142" s="617"/>
      <c r="X142" s="617"/>
      <c r="Y142" s="617"/>
    </row>
    <row r="143" spans="9:25" x14ac:dyDescent="0.3">
      <c r="I143" s="617"/>
      <c r="J143" s="617"/>
      <c r="K143" s="617"/>
      <c r="L143" s="617"/>
      <c r="M143" s="617"/>
      <c r="N143" s="617"/>
      <c r="O143" s="617"/>
      <c r="P143" s="617"/>
      <c r="Q143" s="617"/>
      <c r="R143" s="617"/>
      <c r="S143" s="666"/>
      <c r="T143" s="666"/>
      <c r="U143" s="666"/>
      <c r="V143" s="617"/>
      <c r="W143" s="617"/>
      <c r="X143" s="617"/>
      <c r="Y143" s="617"/>
    </row>
    <row r="144" spans="9:25" x14ac:dyDescent="0.3">
      <c r="I144" s="617"/>
      <c r="J144" s="617"/>
      <c r="K144" s="617"/>
      <c r="L144" s="617"/>
      <c r="M144" s="617"/>
      <c r="N144" s="617"/>
      <c r="O144" s="617"/>
      <c r="P144" s="617"/>
      <c r="Q144" s="617"/>
      <c r="R144" s="617"/>
      <c r="S144" s="666"/>
      <c r="T144" s="666"/>
      <c r="U144" s="666"/>
      <c r="V144" s="617"/>
      <c r="W144" s="617"/>
      <c r="X144" s="617"/>
      <c r="Y144" s="617"/>
    </row>
    <row r="145" spans="9:25" x14ac:dyDescent="0.3">
      <c r="I145" s="617"/>
      <c r="J145" s="617"/>
      <c r="K145" s="617"/>
      <c r="L145" s="617"/>
      <c r="M145" s="617"/>
      <c r="N145" s="617"/>
      <c r="O145" s="617"/>
      <c r="P145" s="617"/>
      <c r="Q145" s="617"/>
      <c r="R145" s="617"/>
      <c r="S145" s="666"/>
      <c r="T145" s="666"/>
      <c r="U145" s="666"/>
      <c r="V145" s="617"/>
      <c r="W145" s="617"/>
      <c r="X145" s="617"/>
      <c r="Y145" s="617"/>
    </row>
    <row r="146" spans="9:25" x14ac:dyDescent="0.3">
      <c r="I146" s="617"/>
      <c r="J146" s="617"/>
      <c r="K146" s="617"/>
      <c r="L146" s="617"/>
      <c r="M146" s="617"/>
      <c r="N146" s="617"/>
      <c r="O146" s="617"/>
      <c r="P146" s="617"/>
      <c r="Q146" s="617"/>
      <c r="R146" s="617"/>
      <c r="S146" s="666"/>
      <c r="T146" s="666"/>
      <c r="U146" s="666"/>
      <c r="V146" s="617"/>
      <c r="W146" s="617"/>
      <c r="X146" s="617"/>
      <c r="Y146" s="617"/>
    </row>
    <row r="147" spans="9:25" x14ac:dyDescent="0.3">
      <c r="I147" s="617"/>
      <c r="J147" s="617"/>
      <c r="K147" s="617"/>
      <c r="L147" s="617"/>
      <c r="M147" s="617"/>
      <c r="N147" s="617"/>
      <c r="O147" s="617"/>
      <c r="P147" s="617"/>
      <c r="Q147" s="617"/>
      <c r="R147" s="617"/>
      <c r="S147" s="666"/>
      <c r="T147" s="666"/>
      <c r="U147" s="666"/>
      <c r="V147" s="617"/>
      <c r="W147" s="617"/>
      <c r="X147" s="617"/>
      <c r="Y147" s="617"/>
    </row>
    <row r="148" spans="9:25" x14ac:dyDescent="0.3">
      <c r="I148" s="617"/>
      <c r="J148" s="617"/>
      <c r="K148" s="617"/>
      <c r="L148" s="617"/>
      <c r="M148" s="617"/>
      <c r="N148" s="617"/>
      <c r="O148" s="617"/>
      <c r="P148" s="617"/>
      <c r="Q148" s="617"/>
      <c r="R148" s="617"/>
      <c r="S148" s="666"/>
      <c r="T148" s="666"/>
      <c r="U148" s="666"/>
      <c r="V148" s="617"/>
      <c r="W148" s="617"/>
      <c r="X148" s="617"/>
      <c r="Y148" s="617"/>
    </row>
    <row r="149" spans="9:25" x14ac:dyDescent="0.3">
      <c r="I149" s="617"/>
      <c r="J149" s="617"/>
      <c r="K149" s="617"/>
      <c r="L149" s="617"/>
      <c r="M149" s="617"/>
      <c r="N149" s="617"/>
      <c r="O149" s="617"/>
      <c r="P149" s="617"/>
      <c r="Q149" s="617"/>
      <c r="R149" s="617"/>
      <c r="S149" s="666"/>
      <c r="T149" s="666"/>
      <c r="U149" s="666"/>
      <c r="V149" s="617"/>
      <c r="W149" s="617"/>
      <c r="X149" s="617"/>
      <c r="Y149" s="617"/>
    </row>
    <row r="150" spans="9:25" x14ac:dyDescent="0.3">
      <c r="I150" s="617"/>
      <c r="J150" s="617"/>
      <c r="K150" s="617"/>
      <c r="L150" s="617"/>
      <c r="M150" s="617"/>
      <c r="N150" s="617"/>
      <c r="O150" s="617"/>
      <c r="P150" s="617"/>
      <c r="Q150" s="617"/>
      <c r="R150" s="617"/>
      <c r="S150" s="666"/>
      <c r="T150" s="666"/>
      <c r="U150" s="666"/>
      <c r="V150" s="617"/>
      <c r="W150" s="617"/>
      <c r="X150" s="617"/>
      <c r="Y150" s="617"/>
    </row>
    <row r="151" spans="9:25" x14ac:dyDescent="0.3">
      <c r="I151" s="617"/>
      <c r="J151" s="617"/>
      <c r="K151" s="617"/>
      <c r="L151" s="617"/>
      <c r="M151" s="617"/>
      <c r="N151" s="617"/>
      <c r="O151" s="617"/>
      <c r="P151" s="617"/>
      <c r="Q151" s="617"/>
      <c r="R151" s="617"/>
      <c r="S151" s="666"/>
      <c r="T151" s="666"/>
      <c r="U151" s="666"/>
      <c r="V151" s="617"/>
      <c r="W151" s="617"/>
      <c r="X151" s="617"/>
      <c r="Y151" s="617"/>
    </row>
    <row r="152" spans="9:25" x14ac:dyDescent="0.3">
      <c r="I152" s="617"/>
      <c r="J152" s="617"/>
      <c r="K152" s="617"/>
      <c r="L152" s="617"/>
      <c r="M152" s="617"/>
      <c r="N152" s="617"/>
      <c r="O152" s="617"/>
      <c r="P152" s="617"/>
      <c r="Q152" s="617"/>
      <c r="R152" s="617"/>
      <c r="S152" s="666"/>
      <c r="T152" s="666"/>
      <c r="U152" s="666"/>
      <c r="V152" s="617"/>
      <c r="W152" s="617"/>
      <c r="X152" s="617"/>
      <c r="Y152" s="617"/>
    </row>
    <row r="153" spans="9:25" x14ac:dyDescent="0.3">
      <c r="I153" s="617"/>
      <c r="J153" s="617"/>
      <c r="K153" s="617"/>
      <c r="L153" s="617"/>
      <c r="M153" s="617"/>
      <c r="N153" s="617"/>
      <c r="O153" s="617"/>
      <c r="P153" s="617"/>
      <c r="Q153" s="617"/>
      <c r="R153" s="617"/>
      <c r="S153" s="666"/>
      <c r="T153" s="666"/>
      <c r="U153" s="666"/>
      <c r="V153" s="617"/>
      <c r="W153" s="617"/>
      <c r="X153" s="617"/>
      <c r="Y153" s="617"/>
    </row>
    <row r="154" spans="9:25" x14ac:dyDescent="0.3">
      <c r="I154" s="617"/>
      <c r="J154" s="617"/>
      <c r="K154" s="617"/>
      <c r="L154" s="617"/>
      <c r="M154" s="617"/>
      <c r="N154" s="617"/>
      <c r="O154" s="617"/>
      <c r="P154" s="617"/>
      <c r="Q154" s="617"/>
      <c r="R154" s="617"/>
      <c r="S154" s="666"/>
      <c r="T154" s="666"/>
      <c r="U154" s="666"/>
      <c r="V154" s="617"/>
      <c r="W154" s="617"/>
      <c r="X154" s="617"/>
      <c r="Y154" s="617"/>
    </row>
    <row r="155" spans="9:25" x14ac:dyDescent="0.3">
      <c r="I155" s="617"/>
      <c r="J155" s="617"/>
      <c r="K155" s="617"/>
      <c r="L155" s="617"/>
      <c r="M155" s="617"/>
      <c r="N155" s="617"/>
      <c r="O155" s="617"/>
      <c r="P155" s="617"/>
      <c r="Q155" s="617"/>
      <c r="R155" s="617"/>
      <c r="S155" s="666"/>
      <c r="T155" s="666"/>
      <c r="U155" s="666"/>
      <c r="V155" s="617"/>
      <c r="W155" s="617"/>
      <c r="X155" s="617"/>
      <c r="Y155" s="617"/>
    </row>
    <row r="156" spans="9:25" x14ac:dyDescent="0.3">
      <c r="I156" s="617"/>
      <c r="J156" s="617"/>
      <c r="K156" s="617"/>
      <c r="L156" s="617"/>
      <c r="M156" s="617"/>
      <c r="N156" s="617"/>
      <c r="O156" s="617"/>
      <c r="P156" s="617"/>
      <c r="Q156" s="617"/>
      <c r="R156" s="617"/>
      <c r="S156" s="666"/>
      <c r="T156" s="666"/>
      <c r="U156" s="666"/>
      <c r="V156" s="617"/>
      <c r="W156" s="617"/>
      <c r="X156" s="617"/>
      <c r="Y156" s="617"/>
    </row>
    <row r="157" spans="9:25" x14ac:dyDescent="0.3">
      <c r="I157" s="617"/>
      <c r="J157" s="617"/>
      <c r="K157" s="617"/>
      <c r="L157" s="617"/>
      <c r="M157" s="617"/>
      <c r="N157" s="617"/>
      <c r="O157" s="617"/>
      <c r="P157" s="617"/>
      <c r="Q157" s="617"/>
      <c r="R157" s="617"/>
      <c r="S157" s="666"/>
      <c r="T157" s="666"/>
      <c r="U157" s="666"/>
      <c r="V157" s="617"/>
      <c r="W157" s="617"/>
      <c r="X157" s="617"/>
      <c r="Y157" s="617"/>
    </row>
    <row r="158" spans="9:25" x14ac:dyDescent="0.3"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66"/>
      <c r="T158" s="666"/>
      <c r="U158" s="666"/>
      <c r="V158" s="617"/>
      <c r="W158" s="617"/>
      <c r="X158" s="617"/>
      <c r="Y158" s="617"/>
    </row>
    <row r="159" spans="9:25" x14ac:dyDescent="0.3">
      <c r="I159" s="617"/>
      <c r="J159" s="617"/>
      <c r="K159" s="617"/>
      <c r="L159" s="617"/>
      <c r="M159" s="617"/>
      <c r="N159" s="617"/>
      <c r="O159" s="617"/>
      <c r="P159" s="617"/>
      <c r="Q159" s="617"/>
      <c r="R159" s="617"/>
      <c r="S159" s="666"/>
      <c r="T159" s="666"/>
      <c r="U159" s="666"/>
      <c r="V159" s="617"/>
      <c r="W159" s="617"/>
      <c r="X159" s="617"/>
      <c r="Y159" s="617"/>
    </row>
    <row r="160" spans="9:25" x14ac:dyDescent="0.3">
      <c r="I160" s="617"/>
      <c r="J160" s="617"/>
      <c r="K160" s="617"/>
      <c r="L160" s="617"/>
      <c r="M160" s="617"/>
      <c r="N160" s="617"/>
      <c r="O160" s="617"/>
      <c r="P160" s="617"/>
      <c r="Q160" s="617"/>
      <c r="R160" s="617"/>
      <c r="S160" s="666"/>
      <c r="T160" s="666"/>
      <c r="U160" s="666"/>
      <c r="V160" s="617"/>
      <c r="W160" s="617"/>
      <c r="X160" s="617"/>
      <c r="Y160" s="617"/>
    </row>
    <row r="161" spans="9:25" x14ac:dyDescent="0.3">
      <c r="I161" s="617"/>
      <c r="J161" s="617"/>
      <c r="K161" s="617"/>
      <c r="L161" s="617"/>
      <c r="M161" s="617"/>
      <c r="N161" s="617"/>
      <c r="O161" s="617"/>
      <c r="P161" s="617"/>
      <c r="Q161" s="617"/>
      <c r="R161" s="617"/>
      <c r="S161" s="666"/>
      <c r="T161" s="666"/>
      <c r="U161" s="666"/>
      <c r="V161" s="617"/>
      <c r="W161" s="617"/>
      <c r="X161" s="617"/>
      <c r="Y161" s="617"/>
    </row>
    <row r="162" spans="9:25" x14ac:dyDescent="0.3">
      <c r="I162" s="617"/>
      <c r="J162" s="617"/>
      <c r="K162" s="617"/>
      <c r="L162" s="617"/>
      <c r="M162" s="617"/>
      <c r="N162" s="617"/>
      <c r="O162" s="617"/>
      <c r="P162" s="617"/>
      <c r="Q162" s="617"/>
      <c r="R162" s="617"/>
      <c r="S162" s="666"/>
      <c r="T162" s="666"/>
      <c r="U162" s="666"/>
      <c r="V162" s="617"/>
      <c r="W162" s="617"/>
      <c r="X162" s="617"/>
      <c r="Y162" s="617"/>
    </row>
    <row r="163" spans="9:25" x14ac:dyDescent="0.3">
      <c r="I163" s="617"/>
      <c r="J163" s="617"/>
      <c r="K163" s="617"/>
      <c r="L163" s="617"/>
      <c r="M163" s="617"/>
      <c r="N163" s="617"/>
      <c r="O163" s="617"/>
      <c r="P163" s="617"/>
      <c r="Q163" s="617"/>
      <c r="R163" s="617"/>
      <c r="S163" s="666"/>
      <c r="T163" s="666"/>
      <c r="U163" s="666"/>
      <c r="V163" s="617"/>
      <c r="W163" s="617"/>
      <c r="X163" s="617"/>
      <c r="Y163" s="617"/>
    </row>
    <row r="164" spans="9:25" x14ac:dyDescent="0.3">
      <c r="I164" s="617"/>
      <c r="J164" s="617"/>
      <c r="K164" s="617"/>
      <c r="L164" s="617"/>
      <c r="M164" s="617"/>
      <c r="N164" s="617"/>
      <c r="O164" s="617"/>
      <c r="P164" s="617"/>
      <c r="Q164" s="617"/>
      <c r="R164" s="617"/>
      <c r="S164" s="666"/>
      <c r="T164" s="666"/>
      <c r="U164" s="666"/>
      <c r="V164" s="617"/>
      <c r="W164" s="617"/>
      <c r="X164" s="617"/>
      <c r="Y164" s="617"/>
    </row>
    <row r="165" spans="9:25" x14ac:dyDescent="0.3">
      <c r="I165" s="617"/>
      <c r="J165" s="617"/>
      <c r="K165" s="617"/>
      <c r="L165" s="617"/>
      <c r="M165" s="617"/>
      <c r="N165" s="617"/>
      <c r="O165" s="617"/>
      <c r="P165" s="617"/>
      <c r="Q165" s="617"/>
      <c r="R165" s="617"/>
      <c r="S165" s="666"/>
      <c r="T165" s="666"/>
      <c r="U165" s="666"/>
      <c r="V165" s="617"/>
      <c r="W165" s="617"/>
      <c r="X165" s="617"/>
      <c r="Y165" s="617"/>
    </row>
    <row r="166" spans="9:25" x14ac:dyDescent="0.3">
      <c r="I166" s="617"/>
      <c r="J166" s="617"/>
      <c r="K166" s="617"/>
      <c r="L166" s="617"/>
      <c r="M166" s="617"/>
      <c r="N166" s="617"/>
      <c r="O166" s="617"/>
      <c r="P166" s="617"/>
      <c r="Q166" s="617"/>
      <c r="R166" s="617"/>
      <c r="S166" s="666"/>
      <c r="T166" s="666"/>
      <c r="U166" s="666"/>
      <c r="V166" s="617"/>
      <c r="W166" s="617"/>
      <c r="X166" s="617"/>
      <c r="Y166" s="617"/>
    </row>
    <row r="167" spans="9:25" x14ac:dyDescent="0.3">
      <c r="I167" s="617"/>
      <c r="J167" s="617"/>
      <c r="K167" s="617"/>
      <c r="L167" s="617"/>
      <c r="M167" s="617"/>
      <c r="N167" s="617"/>
      <c r="O167" s="617"/>
      <c r="P167" s="617"/>
      <c r="Q167" s="617"/>
      <c r="R167" s="617"/>
      <c r="S167" s="666"/>
      <c r="T167" s="666"/>
      <c r="U167" s="666"/>
      <c r="V167" s="617"/>
      <c r="W167" s="617"/>
      <c r="X167" s="617"/>
      <c r="Y167" s="617"/>
    </row>
    <row r="168" spans="9:25" x14ac:dyDescent="0.3">
      <c r="I168" s="617"/>
      <c r="J168" s="617"/>
      <c r="K168" s="617"/>
      <c r="L168" s="617"/>
      <c r="M168" s="617"/>
      <c r="N168" s="617"/>
      <c r="O168" s="617"/>
      <c r="P168" s="617"/>
      <c r="Q168" s="617"/>
      <c r="R168" s="617"/>
      <c r="S168" s="666"/>
      <c r="T168" s="666"/>
      <c r="U168" s="666"/>
      <c r="V168" s="617"/>
      <c r="W168" s="617"/>
      <c r="X168" s="617"/>
      <c r="Y168" s="617"/>
    </row>
    <row r="169" spans="9:25" x14ac:dyDescent="0.3">
      <c r="I169" s="617"/>
      <c r="J169" s="617"/>
      <c r="K169" s="617"/>
      <c r="L169" s="617"/>
      <c r="M169" s="617"/>
      <c r="N169" s="617"/>
      <c r="O169" s="617"/>
      <c r="P169" s="617"/>
      <c r="Q169" s="617"/>
      <c r="R169" s="617"/>
      <c r="S169" s="666"/>
      <c r="T169" s="666"/>
      <c r="U169" s="666"/>
      <c r="V169" s="617"/>
      <c r="W169" s="617"/>
      <c r="X169" s="617"/>
      <c r="Y169" s="617"/>
    </row>
    <row r="170" spans="9:25" x14ac:dyDescent="0.3">
      <c r="I170" s="617"/>
      <c r="J170" s="617"/>
      <c r="K170" s="617"/>
      <c r="L170" s="617"/>
      <c r="M170" s="617"/>
      <c r="N170" s="617"/>
      <c r="O170" s="617"/>
      <c r="P170" s="617"/>
      <c r="Q170" s="617"/>
      <c r="R170" s="617"/>
      <c r="S170" s="666"/>
      <c r="T170" s="666"/>
      <c r="U170" s="666"/>
      <c r="V170" s="617"/>
      <c r="W170" s="617"/>
      <c r="X170" s="617"/>
      <c r="Y170" s="617"/>
    </row>
    <row r="171" spans="9:25" x14ac:dyDescent="0.3">
      <c r="I171" s="617"/>
      <c r="J171" s="617"/>
      <c r="K171" s="617"/>
      <c r="L171" s="617"/>
      <c r="M171" s="617"/>
      <c r="N171" s="617"/>
      <c r="O171" s="617"/>
      <c r="P171" s="617"/>
      <c r="Q171" s="617"/>
      <c r="R171" s="617"/>
      <c r="S171" s="666"/>
      <c r="T171" s="666"/>
      <c r="U171" s="666"/>
      <c r="V171" s="617"/>
      <c r="W171" s="617"/>
      <c r="X171" s="617"/>
      <c r="Y171" s="617"/>
    </row>
    <row r="172" spans="9:25" x14ac:dyDescent="0.3">
      <c r="I172" s="617"/>
      <c r="J172" s="617"/>
      <c r="K172" s="617"/>
      <c r="L172" s="617"/>
      <c r="M172" s="617"/>
      <c r="N172" s="617"/>
      <c r="O172" s="617"/>
      <c r="P172" s="617"/>
      <c r="Q172" s="617"/>
      <c r="R172" s="617"/>
      <c r="S172" s="666"/>
      <c r="T172" s="666"/>
      <c r="U172" s="666"/>
      <c r="V172" s="617"/>
      <c r="W172" s="617"/>
      <c r="X172" s="617"/>
      <c r="Y172" s="617"/>
    </row>
    <row r="173" spans="9:25" x14ac:dyDescent="0.3">
      <c r="I173" s="617"/>
      <c r="J173" s="617"/>
      <c r="K173" s="617"/>
      <c r="L173" s="617"/>
      <c r="M173" s="617"/>
      <c r="N173" s="617"/>
      <c r="O173" s="617"/>
      <c r="P173" s="617"/>
      <c r="Q173" s="617"/>
      <c r="R173" s="617"/>
      <c r="S173" s="666"/>
      <c r="T173" s="666"/>
      <c r="U173" s="666"/>
      <c r="V173" s="617"/>
      <c r="W173" s="617"/>
      <c r="X173" s="617"/>
      <c r="Y173" s="617"/>
    </row>
    <row r="174" spans="9:25" x14ac:dyDescent="0.3">
      <c r="I174" s="617"/>
      <c r="J174" s="617"/>
      <c r="K174" s="617"/>
      <c r="L174" s="617"/>
      <c r="M174" s="617"/>
      <c r="N174" s="617"/>
      <c r="O174" s="617"/>
      <c r="P174" s="617"/>
      <c r="Q174" s="617"/>
      <c r="R174" s="617"/>
      <c r="S174" s="666"/>
      <c r="T174" s="666"/>
      <c r="U174" s="666"/>
      <c r="V174" s="617"/>
      <c r="W174" s="617"/>
      <c r="X174" s="617"/>
      <c r="Y174" s="617"/>
    </row>
    <row r="175" spans="9:25" x14ac:dyDescent="0.3">
      <c r="I175" s="617"/>
      <c r="J175" s="617"/>
      <c r="K175" s="617"/>
      <c r="L175" s="617"/>
      <c r="M175" s="617"/>
      <c r="N175" s="617"/>
      <c r="O175" s="617"/>
      <c r="P175" s="617"/>
      <c r="Q175" s="617"/>
      <c r="R175" s="617"/>
      <c r="S175" s="666"/>
      <c r="T175" s="666"/>
      <c r="U175" s="666"/>
      <c r="V175" s="617"/>
      <c r="W175" s="617"/>
      <c r="X175" s="617"/>
      <c r="Y175" s="617"/>
    </row>
    <row r="176" spans="9:25" x14ac:dyDescent="0.3">
      <c r="I176" s="617"/>
      <c r="J176" s="617"/>
      <c r="K176" s="617"/>
      <c r="L176" s="617"/>
      <c r="M176" s="617"/>
      <c r="N176" s="617"/>
      <c r="O176" s="617"/>
      <c r="P176" s="617"/>
      <c r="Q176" s="617"/>
      <c r="R176" s="617"/>
      <c r="S176" s="666"/>
      <c r="T176" s="666"/>
      <c r="U176" s="666"/>
      <c r="V176" s="617"/>
      <c r="W176" s="617"/>
      <c r="X176" s="617"/>
      <c r="Y176" s="617"/>
    </row>
    <row r="177" spans="9:25" x14ac:dyDescent="0.3">
      <c r="I177" s="617"/>
      <c r="J177" s="617"/>
      <c r="K177" s="617"/>
      <c r="L177" s="617"/>
      <c r="M177" s="617"/>
      <c r="N177" s="617"/>
      <c r="O177" s="617"/>
      <c r="P177" s="617"/>
      <c r="Q177" s="617"/>
      <c r="R177" s="617"/>
      <c r="S177" s="666"/>
      <c r="T177" s="666"/>
      <c r="U177" s="666"/>
      <c r="V177" s="617"/>
      <c r="W177" s="617"/>
      <c r="X177" s="617"/>
      <c r="Y177" s="617"/>
    </row>
    <row r="178" spans="9:25" x14ac:dyDescent="0.3">
      <c r="I178" s="617"/>
      <c r="J178" s="617"/>
      <c r="K178" s="617"/>
      <c r="L178" s="617"/>
      <c r="M178" s="617"/>
      <c r="N178" s="617"/>
      <c r="O178" s="617"/>
      <c r="P178" s="617"/>
      <c r="Q178" s="617"/>
      <c r="R178" s="617"/>
      <c r="S178" s="666"/>
      <c r="T178" s="666"/>
      <c r="U178" s="666"/>
      <c r="V178" s="617"/>
      <c r="W178" s="617"/>
      <c r="X178" s="617"/>
      <c r="Y178" s="617"/>
    </row>
    <row r="179" spans="9:25" x14ac:dyDescent="0.3">
      <c r="I179" s="617"/>
      <c r="J179" s="617"/>
      <c r="K179" s="617"/>
      <c r="L179" s="617"/>
      <c r="M179" s="617"/>
      <c r="N179" s="617"/>
      <c r="O179" s="617"/>
      <c r="P179" s="617"/>
      <c r="Q179" s="617"/>
      <c r="R179" s="617"/>
      <c r="S179" s="666"/>
      <c r="T179" s="666"/>
      <c r="U179" s="666"/>
      <c r="V179" s="617"/>
      <c r="W179" s="617"/>
      <c r="X179" s="617"/>
      <c r="Y179" s="617"/>
    </row>
    <row r="180" spans="9:25" x14ac:dyDescent="0.3">
      <c r="I180" s="617"/>
      <c r="J180" s="617"/>
      <c r="K180" s="617"/>
      <c r="L180" s="617"/>
      <c r="M180" s="617"/>
      <c r="N180" s="617"/>
      <c r="O180" s="617"/>
      <c r="P180" s="617"/>
      <c r="Q180" s="617"/>
      <c r="R180" s="617"/>
      <c r="S180" s="666"/>
      <c r="T180" s="666"/>
      <c r="U180" s="666"/>
      <c r="V180" s="617"/>
      <c r="W180" s="617"/>
      <c r="X180" s="617"/>
      <c r="Y180" s="617"/>
    </row>
    <row r="181" spans="9:25" x14ac:dyDescent="0.3">
      <c r="I181" s="617"/>
      <c r="J181" s="617"/>
      <c r="K181" s="617"/>
      <c r="L181" s="617"/>
      <c r="M181" s="617"/>
      <c r="N181" s="617"/>
      <c r="O181" s="617"/>
      <c r="P181" s="617"/>
      <c r="Q181" s="617"/>
      <c r="R181" s="617"/>
      <c r="S181" s="666"/>
      <c r="T181" s="666"/>
      <c r="U181" s="666"/>
      <c r="V181" s="617"/>
      <c r="W181" s="617"/>
      <c r="X181" s="617"/>
      <c r="Y181" s="617"/>
    </row>
    <row r="182" spans="9:25" x14ac:dyDescent="0.3">
      <c r="I182" s="617"/>
      <c r="J182" s="617"/>
      <c r="K182" s="617"/>
      <c r="L182" s="617"/>
      <c r="M182" s="617"/>
      <c r="N182" s="617"/>
      <c r="O182" s="617"/>
      <c r="P182" s="617"/>
      <c r="Q182" s="617"/>
      <c r="R182" s="617"/>
      <c r="S182" s="666"/>
      <c r="T182" s="666"/>
      <c r="U182" s="666"/>
      <c r="V182" s="617"/>
      <c r="W182" s="617"/>
      <c r="X182" s="617"/>
      <c r="Y182" s="617"/>
    </row>
    <row r="183" spans="9:25" x14ac:dyDescent="0.3">
      <c r="I183" s="617"/>
      <c r="J183" s="617"/>
      <c r="K183" s="617"/>
      <c r="L183" s="617"/>
      <c r="M183" s="617"/>
      <c r="N183" s="617"/>
      <c r="O183" s="617"/>
      <c r="P183" s="617"/>
      <c r="Q183" s="617"/>
      <c r="R183" s="617"/>
      <c r="S183" s="666"/>
      <c r="T183" s="666"/>
      <c r="U183" s="666"/>
      <c r="V183" s="617"/>
      <c r="W183" s="617"/>
      <c r="X183" s="617"/>
      <c r="Y183" s="617"/>
    </row>
    <row r="184" spans="9:25" x14ac:dyDescent="0.3">
      <c r="I184" s="617"/>
      <c r="J184" s="617"/>
      <c r="K184" s="617"/>
      <c r="L184" s="617"/>
      <c r="M184" s="617"/>
      <c r="N184" s="617"/>
      <c r="O184" s="617"/>
      <c r="P184" s="617"/>
      <c r="Q184" s="617"/>
      <c r="R184" s="617"/>
      <c r="S184" s="666"/>
      <c r="T184" s="666"/>
      <c r="U184" s="666"/>
      <c r="V184" s="617"/>
      <c r="W184" s="617"/>
      <c r="X184" s="617"/>
      <c r="Y184" s="617"/>
    </row>
    <row r="185" spans="9:25" x14ac:dyDescent="0.3">
      <c r="I185" s="617"/>
      <c r="J185" s="617"/>
      <c r="K185" s="617"/>
      <c r="L185" s="617"/>
      <c r="M185" s="617"/>
      <c r="N185" s="617"/>
      <c r="O185" s="617"/>
      <c r="P185" s="617"/>
      <c r="Q185" s="617"/>
      <c r="R185" s="617"/>
      <c r="S185" s="666"/>
      <c r="T185" s="666"/>
      <c r="U185" s="666"/>
      <c r="V185" s="617"/>
      <c r="W185" s="617"/>
      <c r="X185" s="617"/>
      <c r="Y185" s="617"/>
    </row>
    <row r="186" spans="9:25" x14ac:dyDescent="0.3">
      <c r="I186" s="617"/>
      <c r="J186" s="617"/>
      <c r="K186" s="617"/>
      <c r="L186" s="617"/>
      <c r="M186" s="617"/>
      <c r="N186" s="617"/>
      <c r="O186" s="617"/>
      <c r="P186" s="617"/>
      <c r="Q186" s="617"/>
      <c r="R186" s="617"/>
      <c r="S186" s="666"/>
      <c r="T186" s="666"/>
      <c r="U186" s="666"/>
      <c r="V186" s="617"/>
      <c r="W186" s="617"/>
      <c r="X186" s="617"/>
      <c r="Y186" s="617"/>
    </row>
    <row r="187" spans="9:25" x14ac:dyDescent="0.3">
      <c r="I187" s="617"/>
      <c r="J187" s="617"/>
      <c r="K187" s="617"/>
      <c r="L187" s="617"/>
      <c r="M187" s="617"/>
      <c r="N187" s="617"/>
      <c r="O187" s="617"/>
      <c r="P187" s="617"/>
      <c r="Q187" s="617"/>
      <c r="R187" s="617"/>
      <c r="S187" s="666"/>
      <c r="T187" s="666"/>
      <c r="U187" s="666"/>
      <c r="V187" s="617"/>
      <c r="W187" s="617"/>
      <c r="X187" s="617"/>
      <c r="Y187" s="617"/>
    </row>
    <row r="188" spans="9:25" x14ac:dyDescent="0.3">
      <c r="I188" s="617"/>
      <c r="J188" s="617"/>
      <c r="K188" s="617"/>
      <c r="L188" s="617"/>
      <c r="M188" s="617"/>
      <c r="N188" s="617"/>
      <c r="O188" s="617"/>
      <c r="P188" s="617"/>
      <c r="Q188" s="617"/>
      <c r="R188" s="617"/>
      <c r="S188" s="666"/>
      <c r="T188" s="666"/>
      <c r="U188" s="666"/>
      <c r="V188" s="617"/>
      <c r="W188" s="617"/>
      <c r="X188" s="617"/>
      <c r="Y188" s="617"/>
    </row>
    <row r="189" spans="9:25" x14ac:dyDescent="0.3">
      <c r="I189" s="617"/>
      <c r="J189" s="617"/>
      <c r="K189" s="617"/>
      <c r="L189" s="617"/>
      <c r="M189" s="617"/>
      <c r="N189" s="617"/>
      <c r="O189" s="617"/>
      <c r="P189" s="617"/>
      <c r="Q189" s="617"/>
      <c r="R189" s="617"/>
      <c r="S189" s="666"/>
      <c r="T189" s="666"/>
      <c r="U189" s="666"/>
      <c r="V189" s="617"/>
      <c r="W189" s="617"/>
      <c r="X189" s="617"/>
      <c r="Y189" s="617"/>
    </row>
    <row r="190" spans="9:25" x14ac:dyDescent="0.3">
      <c r="I190" s="617"/>
      <c r="J190" s="617"/>
      <c r="K190" s="617"/>
      <c r="L190" s="617"/>
      <c r="M190" s="617"/>
      <c r="N190" s="617"/>
      <c r="O190" s="617"/>
      <c r="P190" s="617"/>
      <c r="Q190" s="617"/>
      <c r="R190" s="617"/>
      <c r="S190" s="666"/>
      <c r="T190" s="666"/>
      <c r="U190" s="666"/>
      <c r="V190" s="617"/>
      <c r="W190" s="617"/>
      <c r="X190" s="617"/>
      <c r="Y190" s="617"/>
    </row>
    <row r="191" spans="9:25" x14ac:dyDescent="0.3">
      <c r="I191" s="617"/>
      <c r="J191" s="617"/>
      <c r="K191" s="617"/>
      <c r="L191" s="617"/>
      <c r="M191" s="617"/>
      <c r="N191" s="617"/>
      <c r="O191" s="617"/>
      <c r="P191" s="617"/>
      <c r="Q191" s="617"/>
      <c r="R191" s="617"/>
      <c r="S191" s="666"/>
      <c r="T191" s="666"/>
      <c r="U191" s="666"/>
      <c r="V191" s="617"/>
      <c r="W191" s="617"/>
      <c r="X191" s="617"/>
      <c r="Y191" s="617"/>
    </row>
    <row r="192" spans="9:25" x14ac:dyDescent="0.3">
      <c r="I192" s="617"/>
      <c r="J192" s="617"/>
      <c r="K192" s="617"/>
      <c r="L192" s="617"/>
      <c r="M192" s="617"/>
      <c r="N192" s="617"/>
      <c r="O192" s="617"/>
      <c r="P192" s="617"/>
      <c r="Q192" s="617"/>
      <c r="R192" s="617"/>
      <c r="S192" s="666"/>
      <c r="T192" s="666"/>
      <c r="U192" s="666"/>
      <c r="V192" s="617"/>
      <c r="W192" s="617"/>
      <c r="X192" s="617"/>
      <c r="Y192" s="617"/>
    </row>
    <row r="193" spans="9:25" x14ac:dyDescent="0.3">
      <c r="I193" s="617"/>
      <c r="J193" s="617"/>
      <c r="K193" s="617"/>
      <c r="L193" s="617"/>
      <c r="M193" s="617"/>
      <c r="N193" s="617"/>
      <c r="O193" s="617"/>
      <c r="P193" s="617"/>
      <c r="Q193" s="617"/>
      <c r="R193" s="617"/>
      <c r="S193" s="666"/>
      <c r="T193" s="666"/>
      <c r="U193" s="666"/>
      <c r="V193" s="617"/>
      <c r="W193" s="617"/>
      <c r="X193" s="617"/>
      <c r="Y193" s="617"/>
    </row>
    <row r="194" spans="9:25" x14ac:dyDescent="0.3">
      <c r="I194" s="617"/>
      <c r="J194" s="617"/>
      <c r="K194" s="617"/>
      <c r="L194" s="617"/>
      <c r="M194" s="617"/>
      <c r="N194" s="617"/>
      <c r="O194" s="617"/>
      <c r="P194" s="617"/>
      <c r="Q194" s="617"/>
      <c r="R194" s="617"/>
      <c r="S194" s="666"/>
      <c r="T194" s="666"/>
      <c r="U194" s="666"/>
      <c r="V194" s="617"/>
      <c r="W194" s="617"/>
      <c r="X194" s="617"/>
      <c r="Y194" s="617"/>
    </row>
    <row r="195" spans="9:25" x14ac:dyDescent="0.3">
      <c r="I195" s="617"/>
      <c r="J195" s="617"/>
      <c r="K195" s="617"/>
      <c r="L195" s="617"/>
      <c r="M195" s="617"/>
      <c r="N195" s="617"/>
      <c r="O195" s="617"/>
      <c r="P195" s="617"/>
      <c r="Q195" s="617"/>
      <c r="R195" s="617"/>
      <c r="S195" s="666"/>
      <c r="T195" s="666"/>
      <c r="U195" s="666"/>
      <c r="V195" s="617"/>
      <c r="W195" s="617"/>
      <c r="X195" s="617"/>
      <c r="Y195" s="617"/>
    </row>
    <row r="196" spans="9:25" x14ac:dyDescent="0.3">
      <c r="I196" s="617"/>
      <c r="J196" s="617"/>
      <c r="K196" s="617"/>
      <c r="L196" s="617"/>
      <c r="M196" s="617"/>
      <c r="N196" s="617"/>
      <c r="O196" s="617"/>
      <c r="P196" s="617"/>
      <c r="Q196" s="617"/>
      <c r="R196" s="617"/>
      <c r="S196" s="666"/>
      <c r="T196" s="666"/>
      <c r="U196" s="666"/>
      <c r="V196" s="617"/>
      <c r="W196" s="617"/>
      <c r="X196" s="617"/>
      <c r="Y196" s="617"/>
    </row>
    <row r="197" spans="9:25" x14ac:dyDescent="0.3">
      <c r="I197" s="617"/>
      <c r="J197" s="617"/>
      <c r="K197" s="617"/>
      <c r="L197" s="617"/>
      <c r="M197" s="617"/>
      <c r="N197" s="617"/>
      <c r="O197" s="617"/>
      <c r="P197" s="617"/>
      <c r="Q197" s="617"/>
      <c r="R197" s="617"/>
      <c r="S197" s="666"/>
      <c r="T197" s="666"/>
      <c r="U197" s="666"/>
      <c r="V197" s="617"/>
      <c r="W197" s="617"/>
      <c r="X197" s="617"/>
      <c r="Y197" s="617"/>
    </row>
    <row r="198" spans="9:25" x14ac:dyDescent="0.3">
      <c r="I198" s="617"/>
      <c r="J198" s="617"/>
      <c r="K198" s="617"/>
      <c r="L198" s="617"/>
      <c r="M198" s="617"/>
      <c r="N198" s="617"/>
      <c r="O198" s="617"/>
      <c r="P198" s="617"/>
      <c r="Q198" s="617"/>
      <c r="R198" s="617"/>
      <c r="S198" s="666"/>
      <c r="T198" s="666"/>
      <c r="U198" s="666"/>
      <c r="V198" s="617"/>
      <c r="W198" s="617"/>
      <c r="X198" s="617"/>
      <c r="Y198" s="617"/>
    </row>
    <row r="199" spans="9:25" x14ac:dyDescent="0.3">
      <c r="I199" s="617"/>
      <c r="J199" s="617"/>
      <c r="K199" s="617"/>
      <c r="L199" s="617"/>
      <c r="M199" s="617"/>
      <c r="N199" s="617"/>
      <c r="O199" s="617"/>
      <c r="P199" s="617"/>
      <c r="Q199" s="617"/>
      <c r="R199" s="617"/>
      <c r="S199" s="666"/>
      <c r="T199" s="666"/>
      <c r="U199" s="666"/>
      <c r="V199" s="617"/>
      <c r="W199" s="617"/>
      <c r="X199" s="617"/>
      <c r="Y199" s="617"/>
    </row>
    <row r="200" spans="9:25" x14ac:dyDescent="0.3">
      <c r="I200" s="617"/>
      <c r="J200" s="617"/>
      <c r="K200" s="617"/>
      <c r="L200" s="617"/>
      <c r="M200" s="617"/>
      <c r="N200" s="617"/>
      <c r="O200" s="617"/>
      <c r="P200" s="617"/>
      <c r="Q200" s="617"/>
      <c r="R200" s="617"/>
      <c r="S200" s="666"/>
      <c r="T200" s="666"/>
      <c r="U200" s="666"/>
      <c r="V200" s="617"/>
      <c r="W200" s="617"/>
      <c r="X200" s="617"/>
      <c r="Y200" s="617"/>
    </row>
    <row r="201" spans="9:25" x14ac:dyDescent="0.3">
      <c r="I201" s="617"/>
      <c r="J201" s="617"/>
      <c r="K201" s="617"/>
      <c r="L201" s="617"/>
      <c r="M201" s="617"/>
      <c r="N201" s="617"/>
      <c r="O201" s="617"/>
      <c r="P201" s="617"/>
      <c r="Q201" s="617"/>
      <c r="R201" s="617"/>
      <c r="S201" s="666"/>
      <c r="T201" s="666"/>
      <c r="U201" s="666"/>
      <c r="V201" s="617"/>
      <c r="W201" s="617"/>
      <c r="X201" s="617"/>
      <c r="Y201" s="617"/>
    </row>
    <row r="202" spans="9:25" x14ac:dyDescent="0.3">
      <c r="I202" s="617"/>
      <c r="J202" s="617"/>
      <c r="K202" s="617"/>
      <c r="L202" s="617"/>
      <c r="M202" s="617"/>
      <c r="N202" s="617"/>
      <c r="O202" s="617"/>
      <c r="P202" s="617"/>
      <c r="Q202" s="617"/>
      <c r="R202" s="617"/>
      <c r="S202" s="666"/>
      <c r="T202" s="666"/>
      <c r="U202" s="666"/>
      <c r="V202" s="617"/>
      <c r="W202" s="617"/>
      <c r="X202" s="617"/>
      <c r="Y202" s="617"/>
    </row>
    <row r="203" spans="9:25" x14ac:dyDescent="0.3">
      <c r="I203" s="617"/>
      <c r="J203" s="617"/>
      <c r="K203" s="617"/>
      <c r="L203" s="617"/>
      <c r="M203" s="617"/>
      <c r="N203" s="617"/>
      <c r="O203" s="617"/>
      <c r="P203" s="617"/>
      <c r="Q203" s="617"/>
      <c r="R203" s="617"/>
      <c r="S203" s="666"/>
      <c r="T203" s="666"/>
      <c r="U203" s="666"/>
      <c r="V203" s="617"/>
      <c r="W203" s="617"/>
      <c r="X203" s="617"/>
      <c r="Y203" s="617"/>
    </row>
    <row r="204" spans="9:25" x14ac:dyDescent="0.3">
      <c r="I204" s="617"/>
      <c r="J204" s="617"/>
      <c r="K204" s="617"/>
      <c r="L204" s="617"/>
      <c r="M204" s="617"/>
      <c r="N204" s="617"/>
      <c r="O204" s="617"/>
      <c r="P204" s="617"/>
      <c r="Q204" s="617"/>
      <c r="R204" s="617"/>
      <c r="S204" s="666"/>
      <c r="T204" s="666"/>
      <c r="U204" s="666"/>
      <c r="V204" s="617"/>
      <c r="W204" s="617"/>
      <c r="X204" s="617"/>
      <c r="Y204" s="617"/>
    </row>
    <row r="205" spans="9:25" x14ac:dyDescent="0.3">
      <c r="I205" s="617"/>
      <c r="J205" s="617"/>
      <c r="K205" s="617"/>
      <c r="L205" s="617"/>
      <c r="M205" s="617"/>
      <c r="N205" s="617"/>
      <c r="O205" s="617"/>
      <c r="P205" s="617"/>
      <c r="Q205" s="617"/>
      <c r="R205" s="617"/>
      <c r="S205" s="666"/>
      <c r="T205" s="666"/>
      <c r="U205" s="666"/>
      <c r="V205" s="617"/>
      <c r="W205" s="617"/>
      <c r="X205" s="617"/>
      <c r="Y205" s="617"/>
    </row>
    <row r="206" spans="9:25" x14ac:dyDescent="0.3">
      <c r="I206" s="617"/>
      <c r="J206" s="617"/>
      <c r="K206" s="617"/>
      <c r="L206" s="617"/>
      <c r="M206" s="617"/>
      <c r="N206" s="617"/>
      <c r="O206" s="617"/>
      <c r="P206" s="617"/>
      <c r="Q206" s="617"/>
      <c r="R206" s="617"/>
      <c r="S206" s="666"/>
      <c r="T206" s="666"/>
      <c r="U206" s="666"/>
      <c r="V206" s="617"/>
      <c r="W206" s="617"/>
      <c r="X206" s="617"/>
      <c r="Y206" s="617"/>
    </row>
    <row r="207" spans="9:25" x14ac:dyDescent="0.3">
      <c r="I207" s="617"/>
      <c r="J207" s="617"/>
      <c r="K207" s="617"/>
      <c r="L207" s="617"/>
      <c r="M207" s="617"/>
      <c r="N207" s="617"/>
      <c r="O207" s="617"/>
      <c r="P207" s="617"/>
      <c r="Q207" s="617"/>
      <c r="R207" s="617"/>
      <c r="S207" s="666"/>
      <c r="T207" s="666"/>
      <c r="U207" s="666"/>
      <c r="V207" s="617"/>
      <c r="W207" s="617"/>
      <c r="X207" s="617"/>
      <c r="Y207" s="617"/>
    </row>
    <row r="208" spans="9:25" x14ac:dyDescent="0.3">
      <c r="I208" s="617"/>
      <c r="J208" s="617"/>
      <c r="K208" s="617"/>
      <c r="L208" s="617"/>
      <c r="M208" s="617"/>
      <c r="N208" s="617"/>
      <c r="O208" s="617"/>
      <c r="P208" s="617"/>
      <c r="Q208" s="617"/>
      <c r="R208" s="617"/>
      <c r="S208" s="666"/>
      <c r="T208" s="666"/>
      <c r="U208" s="666"/>
      <c r="V208" s="617"/>
      <c r="W208" s="617"/>
      <c r="X208" s="617"/>
      <c r="Y208" s="617"/>
    </row>
    <row r="209" spans="9:25" x14ac:dyDescent="0.3">
      <c r="I209" s="617"/>
      <c r="J209" s="617"/>
      <c r="K209" s="617"/>
      <c r="L209" s="617"/>
      <c r="M209" s="617"/>
      <c r="N209" s="617"/>
      <c r="O209" s="617"/>
      <c r="P209" s="617"/>
      <c r="Q209" s="617"/>
      <c r="R209" s="617"/>
      <c r="S209" s="666"/>
      <c r="T209" s="666"/>
      <c r="U209" s="666"/>
      <c r="V209" s="617"/>
      <c r="W209" s="617"/>
      <c r="X209" s="617"/>
      <c r="Y209" s="617"/>
    </row>
    <row r="210" spans="9:25" x14ac:dyDescent="0.3">
      <c r="I210" s="617"/>
      <c r="J210" s="617"/>
      <c r="K210" s="617"/>
      <c r="L210" s="617"/>
      <c r="M210" s="617"/>
      <c r="N210" s="617"/>
      <c r="O210" s="617"/>
      <c r="P210" s="617"/>
      <c r="Q210" s="617"/>
      <c r="R210" s="617"/>
      <c r="S210" s="666"/>
      <c r="T210" s="666"/>
      <c r="U210" s="666"/>
      <c r="V210" s="617"/>
      <c r="W210" s="617"/>
      <c r="X210" s="617"/>
      <c r="Y210" s="617"/>
    </row>
    <row r="211" spans="9:25" x14ac:dyDescent="0.3">
      <c r="I211" s="617"/>
      <c r="J211" s="617"/>
      <c r="K211" s="617"/>
      <c r="L211" s="617"/>
      <c r="M211" s="617"/>
      <c r="N211" s="617"/>
      <c r="O211" s="617"/>
      <c r="P211" s="617"/>
      <c r="Q211" s="617"/>
      <c r="R211" s="617"/>
      <c r="S211" s="666"/>
      <c r="T211" s="666"/>
      <c r="U211" s="666"/>
      <c r="V211" s="617"/>
      <c r="W211" s="617"/>
      <c r="X211" s="617"/>
      <c r="Y211" s="617"/>
    </row>
    <row r="212" spans="9:25" x14ac:dyDescent="0.3">
      <c r="I212" s="617"/>
      <c r="J212" s="617"/>
      <c r="K212" s="617"/>
      <c r="L212" s="617"/>
      <c r="M212" s="617"/>
      <c r="N212" s="617"/>
      <c r="O212" s="617"/>
      <c r="P212" s="617"/>
      <c r="Q212" s="617"/>
      <c r="R212" s="617"/>
      <c r="S212" s="666"/>
      <c r="T212" s="666"/>
      <c r="U212" s="666"/>
      <c r="V212" s="617"/>
      <c r="W212" s="617"/>
      <c r="X212" s="617"/>
      <c r="Y212" s="617"/>
    </row>
    <row r="213" spans="9:25" x14ac:dyDescent="0.3">
      <c r="I213" s="617"/>
      <c r="J213" s="617"/>
      <c r="K213" s="617"/>
      <c r="L213" s="617"/>
      <c r="M213" s="617"/>
      <c r="N213" s="617"/>
      <c r="O213" s="617"/>
      <c r="P213" s="617"/>
      <c r="Q213" s="617"/>
      <c r="R213" s="617"/>
      <c r="S213" s="666"/>
      <c r="T213" s="666"/>
      <c r="U213" s="666"/>
      <c r="V213" s="617"/>
      <c r="W213" s="617"/>
      <c r="X213" s="617"/>
      <c r="Y213" s="617"/>
    </row>
    <row r="214" spans="9:25" x14ac:dyDescent="0.3">
      <c r="I214" s="617"/>
      <c r="J214" s="617"/>
      <c r="K214" s="617"/>
      <c r="L214" s="617"/>
      <c r="M214" s="617"/>
      <c r="N214" s="617"/>
      <c r="O214" s="617"/>
      <c r="P214" s="617"/>
      <c r="Q214" s="617"/>
      <c r="R214" s="617"/>
      <c r="S214" s="666"/>
      <c r="T214" s="666"/>
      <c r="U214" s="666"/>
      <c r="V214" s="617"/>
      <c r="W214" s="617"/>
      <c r="X214" s="617"/>
      <c r="Y214" s="617"/>
    </row>
    <row r="215" spans="9:25" x14ac:dyDescent="0.3">
      <c r="I215" s="617"/>
      <c r="J215" s="617"/>
      <c r="K215" s="617"/>
      <c r="L215" s="617"/>
      <c r="M215" s="617"/>
      <c r="N215" s="617"/>
      <c r="O215" s="617"/>
      <c r="P215" s="617"/>
      <c r="Q215" s="617"/>
      <c r="R215" s="617"/>
      <c r="S215" s="666"/>
      <c r="T215" s="666"/>
      <c r="U215" s="666"/>
      <c r="V215" s="617"/>
      <c r="W215" s="617"/>
      <c r="X215" s="617"/>
      <c r="Y215" s="617"/>
    </row>
    <row r="216" spans="9:25" x14ac:dyDescent="0.3">
      <c r="I216" s="617"/>
      <c r="J216" s="617"/>
      <c r="K216" s="617"/>
      <c r="L216" s="617"/>
      <c r="M216" s="617"/>
      <c r="N216" s="617"/>
      <c r="O216" s="617"/>
      <c r="P216" s="617"/>
      <c r="Q216" s="617"/>
      <c r="R216" s="617"/>
      <c r="S216" s="666"/>
      <c r="T216" s="666"/>
      <c r="U216" s="666"/>
      <c r="V216" s="617"/>
      <c r="W216" s="617"/>
      <c r="X216" s="617"/>
      <c r="Y216" s="617"/>
    </row>
    <row r="217" spans="9:25" x14ac:dyDescent="0.3">
      <c r="I217" s="617"/>
      <c r="J217" s="617"/>
      <c r="K217" s="617"/>
      <c r="L217" s="617"/>
      <c r="M217" s="617"/>
      <c r="N217" s="617"/>
      <c r="O217" s="617"/>
      <c r="P217" s="617"/>
      <c r="Q217" s="617"/>
      <c r="R217" s="617"/>
      <c r="S217" s="666"/>
      <c r="T217" s="666"/>
      <c r="U217" s="666"/>
      <c r="V217" s="617"/>
      <c r="W217" s="617"/>
      <c r="X217" s="617"/>
      <c r="Y217" s="617"/>
    </row>
    <row r="218" spans="9:25" x14ac:dyDescent="0.3">
      <c r="I218" s="617"/>
      <c r="J218" s="617"/>
      <c r="K218" s="617"/>
      <c r="L218" s="617"/>
      <c r="M218" s="617"/>
      <c r="N218" s="617"/>
      <c r="O218" s="617"/>
      <c r="P218" s="617"/>
      <c r="Q218" s="617"/>
      <c r="R218" s="617"/>
      <c r="S218" s="666"/>
      <c r="T218" s="666"/>
      <c r="U218" s="666"/>
      <c r="V218" s="617"/>
      <c r="W218" s="617"/>
      <c r="X218" s="617"/>
      <c r="Y218" s="617"/>
    </row>
    <row r="219" spans="9:25" x14ac:dyDescent="0.3">
      <c r="I219" s="617"/>
      <c r="J219" s="617"/>
      <c r="K219" s="617"/>
      <c r="L219" s="617"/>
      <c r="M219" s="617"/>
      <c r="N219" s="617"/>
      <c r="O219" s="617"/>
      <c r="P219" s="617"/>
      <c r="Q219" s="617"/>
      <c r="R219" s="617"/>
      <c r="S219" s="666"/>
      <c r="T219" s="666"/>
      <c r="U219" s="666"/>
      <c r="V219" s="617"/>
      <c r="W219" s="617"/>
      <c r="X219" s="617"/>
      <c r="Y219" s="617"/>
    </row>
    <row r="220" spans="9:25" x14ac:dyDescent="0.3">
      <c r="I220" s="617"/>
      <c r="J220" s="617"/>
      <c r="K220" s="617"/>
      <c r="L220" s="617"/>
      <c r="M220" s="617"/>
      <c r="N220" s="617"/>
      <c r="O220" s="617"/>
      <c r="P220" s="617"/>
      <c r="Q220" s="617"/>
      <c r="R220" s="617"/>
      <c r="S220" s="666"/>
      <c r="T220" s="666"/>
      <c r="U220" s="666"/>
      <c r="V220" s="617"/>
      <c r="W220" s="617"/>
      <c r="X220" s="617"/>
      <c r="Y220" s="617"/>
    </row>
    <row r="221" spans="9:25" x14ac:dyDescent="0.3">
      <c r="I221" s="617"/>
      <c r="J221" s="617"/>
      <c r="K221" s="617"/>
      <c r="L221" s="617"/>
      <c r="M221" s="617"/>
      <c r="N221" s="617"/>
      <c r="O221" s="617"/>
      <c r="P221" s="617"/>
      <c r="Q221" s="617"/>
      <c r="R221" s="617"/>
      <c r="S221" s="666"/>
      <c r="T221" s="666"/>
      <c r="U221" s="666"/>
      <c r="V221" s="617"/>
      <c r="W221" s="617"/>
      <c r="X221" s="617"/>
      <c r="Y221" s="617"/>
    </row>
    <row r="222" spans="9:25" x14ac:dyDescent="0.3">
      <c r="I222" s="617"/>
      <c r="J222" s="617"/>
      <c r="K222" s="617"/>
      <c r="L222" s="617"/>
      <c r="M222" s="617"/>
      <c r="N222" s="617"/>
      <c r="O222" s="617"/>
      <c r="P222" s="617"/>
      <c r="Q222" s="617"/>
      <c r="R222" s="617"/>
      <c r="S222" s="666"/>
      <c r="T222" s="666"/>
      <c r="U222" s="666"/>
      <c r="V222" s="617"/>
      <c r="W222" s="617"/>
      <c r="X222" s="617"/>
      <c r="Y222" s="617"/>
    </row>
    <row r="223" spans="9:25" x14ac:dyDescent="0.3">
      <c r="I223" s="617"/>
      <c r="J223" s="617"/>
      <c r="K223" s="617"/>
      <c r="L223" s="617"/>
      <c r="M223" s="617"/>
      <c r="N223" s="617"/>
      <c r="O223" s="617"/>
      <c r="P223" s="617"/>
      <c r="Q223" s="617"/>
      <c r="R223" s="617"/>
      <c r="S223" s="666"/>
      <c r="T223" s="666"/>
      <c r="U223" s="666"/>
      <c r="V223" s="617"/>
      <c r="W223" s="617"/>
      <c r="X223" s="617"/>
      <c r="Y223" s="617"/>
    </row>
    <row r="224" spans="9:25" x14ac:dyDescent="0.3">
      <c r="I224" s="617"/>
      <c r="J224" s="617"/>
      <c r="K224" s="617"/>
      <c r="L224" s="617"/>
      <c r="M224" s="617"/>
      <c r="N224" s="617"/>
      <c r="O224" s="617"/>
      <c r="P224" s="617"/>
      <c r="Q224" s="617"/>
      <c r="R224" s="617"/>
      <c r="S224" s="666"/>
      <c r="T224" s="666"/>
      <c r="U224" s="666"/>
      <c r="V224" s="617"/>
      <c r="W224" s="617"/>
      <c r="X224" s="617"/>
      <c r="Y224" s="617"/>
    </row>
    <row r="225" spans="9:25" x14ac:dyDescent="0.3">
      <c r="I225" s="617"/>
      <c r="J225" s="617"/>
      <c r="K225" s="617"/>
      <c r="L225" s="617"/>
      <c r="M225" s="617"/>
      <c r="N225" s="617"/>
      <c r="O225" s="617"/>
      <c r="P225" s="617"/>
      <c r="Q225" s="617"/>
      <c r="R225" s="617"/>
      <c r="S225" s="666"/>
      <c r="T225" s="666"/>
      <c r="U225" s="666"/>
      <c r="V225" s="617"/>
      <c r="W225" s="617"/>
      <c r="X225" s="617"/>
      <c r="Y225" s="617"/>
    </row>
    <row r="226" spans="9:25" x14ac:dyDescent="0.3">
      <c r="I226" s="617"/>
      <c r="J226" s="617"/>
      <c r="K226" s="617"/>
      <c r="L226" s="617"/>
      <c r="M226" s="617"/>
      <c r="N226" s="617"/>
      <c r="O226" s="617"/>
      <c r="P226" s="617"/>
      <c r="Q226" s="617"/>
      <c r="R226" s="617"/>
      <c r="S226" s="666"/>
      <c r="T226" s="666"/>
      <c r="U226" s="666"/>
      <c r="V226" s="617"/>
      <c r="W226" s="617"/>
      <c r="X226" s="617"/>
      <c r="Y226" s="617"/>
    </row>
    <row r="227" spans="9:25" x14ac:dyDescent="0.3">
      <c r="I227" s="617"/>
      <c r="J227" s="617"/>
      <c r="K227" s="617"/>
      <c r="L227" s="617"/>
      <c r="M227" s="617"/>
      <c r="N227" s="617"/>
      <c r="O227" s="617"/>
      <c r="P227" s="617"/>
      <c r="Q227" s="617"/>
      <c r="R227" s="617"/>
      <c r="S227" s="666"/>
      <c r="T227" s="666"/>
      <c r="U227" s="666"/>
      <c r="V227" s="617"/>
      <c r="W227" s="617"/>
      <c r="X227" s="617"/>
      <c r="Y227" s="617"/>
    </row>
    <row r="228" spans="9:25" x14ac:dyDescent="0.3">
      <c r="I228" s="617"/>
      <c r="J228" s="617"/>
      <c r="K228" s="617"/>
      <c r="L228" s="617"/>
      <c r="M228" s="617"/>
      <c r="N228" s="617"/>
      <c r="O228" s="617"/>
      <c r="P228" s="617"/>
      <c r="Q228" s="617"/>
      <c r="R228" s="617"/>
      <c r="S228" s="666"/>
      <c r="T228" s="666"/>
      <c r="U228" s="666"/>
      <c r="V228" s="617"/>
      <c r="W228" s="617"/>
      <c r="X228" s="617"/>
      <c r="Y228" s="617"/>
    </row>
    <row r="229" spans="9:25" x14ac:dyDescent="0.3">
      <c r="I229" s="617"/>
      <c r="J229" s="617"/>
      <c r="K229" s="617"/>
      <c r="L229" s="617"/>
      <c r="M229" s="617"/>
      <c r="N229" s="617"/>
      <c r="O229" s="617"/>
      <c r="P229" s="617"/>
      <c r="Q229" s="617"/>
      <c r="R229" s="617"/>
      <c r="S229" s="666"/>
      <c r="T229" s="666"/>
      <c r="U229" s="666"/>
      <c r="V229" s="617"/>
      <c r="W229" s="617"/>
      <c r="X229" s="617"/>
      <c r="Y229" s="617"/>
    </row>
    <row r="230" spans="9:25" x14ac:dyDescent="0.3">
      <c r="I230" s="617"/>
      <c r="J230" s="617"/>
      <c r="K230" s="617"/>
      <c r="L230" s="617"/>
      <c r="M230" s="617"/>
      <c r="N230" s="617"/>
      <c r="O230" s="617"/>
      <c r="P230" s="617"/>
      <c r="Q230" s="617"/>
      <c r="R230" s="617"/>
      <c r="S230" s="666"/>
      <c r="T230" s="666"/>
      <c r="U230" s="666"/>
      <c r="V230" s="617"/>
      <c r="W230" s="617"/>
      <c r="X230" s="617"/>
      <c r="Y230" s="617"/>
    </row>
    <row r="231" spans="9:25" x14ac:dyDescent="0.3">
      <c r="I231" s="617"/>
      <c r="J231" s="617"/>
      <c r="K231" s="617"/>
      <c r="L231" s="617"/>
      <c r="M231" s="617"/>
      <c r="N231" s="617"/>
      <c r="O231" s="617"/>
      <c r="P231" s="617"/>
      <c r="Q231" s="617"/>
      <c r="R231" s="617"/>
      <c r="S231" s="666"/>
      <c r="T231" s="666"/>
      <c r="U231" s="666"/>
      <c r="V231" s="617"/>
      <c r="W231" s="617"/>
      <c r="X231" s="617"/>
      <c r="Y231" s="617"/>
    </row>
    <row r="232" spans="9:25" x14ac:dyDescent="0.3">
      <c r="I232" s="617"/>
      <c r="J232" s="617"/>
      <c r="K232" s="617"/>
      <c r="L232" s="617"/>
      <c r="M232" s="617"/>
      <c r="N232" s="617"/>
      <c r="O232" s="617"/>
      <c r="P232" s="617"/>
      <c r="Q232" s="617"/>
      <c r="R232" s="617"/>
      <c r="S232" s="666"/>
      <c r="T232" s="666"/>
      <c r="U232" s="666"/>
      <c r="V232" s="617"/>
      <c r="W232" s="617"/>
      <c r="X232" s="617"/>
      <c r="Y232" s="617"/>
    </row>
    <row r="233" spans="9:25" x14ac:dyDescent="0.3">
      <c r="I233" s="617"/>
      <c r="J233" s="617"/>
      <c r="K233" s="617"/>
      <c r="L233" s="617"/>
      <c r="M233" s="617"/>
      <c r="N233" s="617"/>
      <c r="O233" s="617"/>
      <c r="P233" s="617"/>
      <c r="Q233" s="617"/>
      <c r="R233" s="617"/>
      <c r="S233" s="666"/>
      <c r="T233" s="666"/>
      <c r="U233" s="666"/>
      <c r="V233" s="617"/>
      <c r="W233" s="617"/>
      <c r="X233" s="617"/>
      <c r="Y233" s="617"/>
    </row>
    <row r="234" spans="9:25" x14ac:dyDescent="0.3">
      <c r="I234" s="617"/>
      <c r="J234" s="617"/>
      <c r="K234" s="617"/>
      <c r="L234" s="617"/>
      <c r="M234" s="617"/>
      <c r="N234" s="617"/>
      <c r="O234" s="617"/>
      <c r="P234" s="617"/>
      <c r="Q234" s="617"/>
      <c r="R234" s="617"/>
      <c r="S234" s="666"/>
      <c r="T234" s="666"/>
      <c r="U234" s="666"/>
      <c r="V234" s="617"/>
      <c r="W234" s="617"/>
      <c r="X234" s="617"/>
      <c r="Y234" s="617"/>
    </row>
    <row r="235" spans="9:25" x14ac:dyDescent="0.3">
      <c r="I235" s="617"/>
      <c r="J235" s="617"/>
      <c r="K235" s="617"/>
      <c r="L235" s="617"/>
      <c r="M235" s="617"/>
      <c r="N235" s="617"/>
      <c r="O235" s="617"/>
      <c r="P235" s="617"/>
      <c r="Q235" s="617"/>
      <c r="R235" s="617"/>
      <c r="S235" s="666"/>
      <c r="T235" s="666"/>
      <c r="U235" s="666"/>
      <c r="V235" s="617"/>
      <c r="W235" s="617"/>
      <c r="X235" s="617"/>
      <c r="Y235" s="617"/>
    </row>
    <row r="236" spans="9:25" x14ac:dyDescent="0.3">
      <c r="I236" s="617"/>
      <c r="J236" s="617"/>
      <c r="K236" s="617"/>
      <c r="L236" s="617"/>
      <c r="M236" s="617"/>
      <c r="N236" s="617"/>
      <c r="O236" s="617"/>
      <c r="P236" s="617"/>
      <c r="Q236" s="617"/>
      <c r="R236" s="617"/>
      <c r="S236" s="666"/>
      <c r="T236" s="666"/>
      <c r="U236" s="666"/>
      <c r="V236" s="617"/>
      <c r="W236" s="617"/>
      <c r="X236" s="617"/>
      <c r="Y236" s="617"/>
    </row>
    <row r="237" spans="9:25" x14ac:dyDescent="0.3">
      <c r="I237" s="617"/>
      <c r="J237" s="617"/>
      <c r="K237" s="617"/>
      <c r="L237" s="617"/>
      <c r="M237" s="617"/>
      <c r="N237" s="617"/>
      <c r="O237" s="617"/>
      <c r="P237" s="617"/>
      <c r="Q237" s="617"/>
      <c r="R237" s="617"/>
      <c r="S237" s="666"/>
      <c r="T237" s="666"/>
      <c r="U237" s="666"/>
      <c r="V237" s="617"/>
      <c r="W237" s="617"/>
      <c r="X237" s="617"/>
      <c r="Y237" s="617"/>
    </row>
    <row r="238" spans="9:25" x14ac:dyDescent="0.3">
      <c r="I238" s="617"/>
      <c r="J238" s="617"/>
      <c r="K238" s="617"/>
      <c r="L238" s="617"/>
      <c r="M238" s="617"/>
      <c r="N238" s="617"/>
      <c r="O238" s="617"/>
      <c r="P238" s="617"/>
      <c r="Q238" s="617"/>
      <c r="R238" s="617"/>
      <c r="S238" s="666"/>
      <c r="T238" s="666"/>
      <c r="U238" s="666"/>
      <c r="V238" s="617"/>
      <c r="W238" s="617"/>
      <c r="X238" s="617"/>
      <c r="Y238" s="617"/>
    </row>
    <row r="239" spans="9:25" x14ac:dyDescent="0.3">
      <c r="I239" s="617"/>
      <c r="J239" s="617"/>
      <c r="K239" s="617"/>
      <c r="L239" s="617"/>
      <c r="M239" s="617"/>
      <c r="N239" s="617"/>
      <c r="O239" s="617"/>
      <c r="P239" s="617"/>
      <c r="Q239" s="617"/>
      <c r="R239" s="617"/>
      <c r="S239" s="666"/>
      <c r="T239" s="666"/>
      <c r="U239" s="666"/>
      <c r="V239" s="617"/>
      <c r="W239" s="617"/>
      <c r="X239" s="617"/>
      <c r="Y239" s="617"/>
    </row>
    <row r="240" spans="9:25" x14ac:dyDescent="0.3">
      <c r="I240" s="617"/>
      <c r="J240" s="617"/>
      <c r="K240" s="617"/>
      <c r="L240" s="617"/>
      <c r="M240" s="617"/>
      <c r="N240" s="617"/>
      <c r="O240" s="617"/>
      <c r="P240" s="617"/>
      <c r="Q240" s="617"/>
      <c r="R240" s="617"/>
      <c r="S240" s="666"/>
      <c r="T240" s="666"/>
      <c r="U240" s="666"/>
      <c r="V240" s="617"/>
      <c r="W240" s="617"/>
      <c r="X240" s="617"/>
      <c r="Y240" s="617"/>
    </row>
    <row r="241" spans="9:25" x14ac:dyDescent="0.3">
      <c r="I241" s="617"/>
      <c r="J241" s="617"/>
      <c r="K241" s="617"/>
      <c r="L241" s="617"/>
      <c r="M241" s="617"/>
      <c r="N241" s="617"/>
      <c r="O241" s="617"/>
      <c r="P241" s="617"/>
      <c r="Q241" s="617"/>
      <c r="R241" s="617"/>
      <c r="S241" s="666"/>
      <c r="T241" s="666"/>
      <c r="U241" s="666"/>
      <c r="V241" s="617"/>
      <c r="W241" s="617"/>
      <c r="X241" s="617"/>
      <c r="Y241" s="617"/>
    </row>
    <row r="242" spans="9:25" x14ac:dyDescent="0.3">
      <c r="I242" s="617"/>
      <c r="J242" s="617"/>
      <c r="K242" s="617"/>
      <c r="L242" s="617"/>
      <c r="M242" s="617"/>
      <c r="N242" s="617"/>
      <c r="O242" s="617"/>
      <c r="P242" s="617"/>
      <c r="Q242" s="617"/>
      <c r="R242" s="617"/>
      <c r="S242" s="666"/>
      <c r="T242" s="666"/>
      <c r="U242" s="666"/>
      <c r="V242" s="617"/>
      <c r="W242" s="617"/>
      <c r="X242" s="617"/>
      <c r="Y242" s="617"/>
    </row>
    <row r="243" spans="9:25" x14ac:dyDescent="0.3">
      <c r="I243" s="617"/>
      <c r="J243" s="617"/>
      <c r="K243" s="617"/>
      <c r="L243" s="617"/>
      <c r="M243" s="617"/>
      <c r="N243" s="617"/>
      <c r="O243" s="617"/>
      <c r="P243" s="617"/>
      <c r="Q243" s="617"/>
      <c r="R243" s="617"/>
      <c r="S243" s="666"/>
      <c r="T243" s="666"/>
      <c r="U243" s="666"/>
      <c r="V243" s="617"/>
      <c r="W243" s="617"/>
      <c r="X243" s="617"/>
      <c r="Y243" s="617"/>
    </row>
    <row r="244" spans="9:25" x14ac:dyDescent="0.3">
      <c r="I244" s="617"/>
      <c r="J244" s="617"/>
      <c r="K244" s="617"/>
      <c r="L244" s="617"/>
      <c r="M244" s="617"/>
      <c r="N244" s="617"/>
      <c r="O244" s="617"/>
      <c r="P244" s="617"/>
      <c r="Q244" s="617"/>
      <c r="R244" s="617"/>
      <c r="S244" s="666"/>
      <c r="T244" s="666"/>
      <c r="U244" s="666"/>
      <c r="V244" s="617"/>
      <c r="W244" s="617"/>
      <c r="X244" s="617"/>
      <c r="Y244" s="617"/>
    </row>
    <row r="245" spans="9:25" x14ac:dyDescent="0.3">
      <c r="I245" s="617"/>
      <c r="J245" s="617"/>
      <c r="K245" s="617"/>
      <c r="L245" s="617"/>
      <c r="M245" s="617"/>
      <c r="N245" s="617"/>
      <c r="O245" s="617"/>
      <c r="P245" s="617"/>
      <c r="Q245" s="617"/>
      <c r="R245" s="617"/>
      <c r="S245" s="666"/>
      <c r="T245" s="666"/>
      <c r="U245" s="666"/>
      <c r="V245" s="617"/>
      <c r="W245" s="617"/>
      <c r="X245" s="617"/>
      <c r="Y245" s="617"/>
    </row>
    <row r="246" spans="9:25" x14ac:dyDescent="0.3">
      <c r="I246" s="617"/>
      <c r="J246" s="617"/>
      <c r="K246" s="617"/>
      <c r="L246" s="617"/>
      <c r="M246" s="617"/>
      <c r="N246" s="617"/>
      <c r="O246" s="617"/>
      <c r="P246" s="617"/>
      <c r="Q246" s="617"/>
      <c r="R246" s="617"/>
      <c r="S246" s="666"/>
      <c r="T246" s="666"/>
      <c r="U246" s="666"/>
      <c r="V246" s="617"/>
      <c r="W246" s="617"/>
      <c r="X246" s="617"/>
      <c r="Y246" s="617"/>
    </row>
    <row r="247" spans="9:25" x14ac:dyDescent="0.3">
      <c r="I247" s="617"/>
      <c r="J247" s="617"/>
      <c r="K247" s="617"/>
      <c r="L247" s="617"/>
      <c r="M247" s="617"/>
      <c r="N247" s="617"/>
      <c r="O247" s="617"/>
      <c r="P247" s="617"/>
      <c r="Q247" s="617"/>
      <c r="R247" s="617"/>
      <c r="S247" s="666"/>
      <c r="T247" s="666"/>
      <c r="U247" s="666"/>
      <c r="V247" s="617"/>
      <c r="W247" s="617"/>
      <c r="X247" s="617"/>
      <c r="Y247" s="617"/>
    </row>
    <row r="248" spans="9:25" x14ac:dyDescent="0.3">
      <c r="I248" s="617"/>
      <c r="J248" s="617"/>
      <c r="K248" s="617"/>
      <c r="L248" s="617"/>
      <c r="M248" s="617"/>
      <c r="N248" s="617"/>
      <c r="O248" s="617"/>
      <c r="P248" s="617"/>
      <c r="Q248" s="617"/>
      <c r="R248" s="617"/>
      <c r="S248" s="666"/>
      <c r="T248" s="666"/>
      <c r="U248" s="666"/>
      <c r="V248" s="617"/>
      <c r="W248" s="617"/>
      <c r="X248" s="617"/>
      <c r="Y248" s="617"/>
    </row>
    <row r="249" spans="9:25" x14ac:dyDescent="0.3">
      <c r="I249" s="617"/>
      <c r="J249" s="617"/>
      <c r="K249" s="617"/>
      <c r="L249" s="617"/>
      <c r="M249" s="617"/>
      <c r="N249" s="617"/>
      <c r="O249" s="617"/>
      <c r="P249" s="617"/>
      <c r="Q249" s="617"/>
      <c r="R249" s="617"/>
      <c r="S249" s="666"/>
      <c r="T249" s="666"/>
      <c r="U249" s="666"/>
      <c r="V249" s="617"/>
      <c r="W249" s="617"/>
      <c r="X249" s="617"/>
      <c r="Y249" s="617"/>
    </row>
    <row r="250" spans="9:25" x14ac:dyDescent="0.3">
      <c r="I250" s="617"/>
      <c r="J250" s="617"/>
      <c r="K250" s="617"/>
      <c r="L250" s="617"/>
      <c r="M250" s="617"/>
      <c r="N250" s="617"/>
      <c r="O250" s="617"/>
      <c r="P250" s="617"/>
      <c r="Q250" s="617"/>
      <c r="R250" s="617"/>
      <c r="S250" s="666"/>
      <c r="T250" s="666"/>
      <c r="U250" s="666"/>
      <c r="V250" s="617"/>
      <c r="W250" s="617"/>
      <c r="X250" s="617"/>
      <c r="Y250" s="617"/>
    </row>
    <row r="251" spans="9:25" x14ac:dyDescent="0.3">
      <c r="I251" s="617"/>
      <c r="J251" s="617"/>
      <c r="K251" s="617"/>
      <c r="L251" s="617"/>
      <c r="M251" s="617"/>
      <c r="N251" s="617"/>
      <c r="O251" s="617"/>
      <c r="P251" s="617"/>
      <c r="Q251" s="617"/>
      <c r="R251" s="617"/>
      <c r="S251" s="666"/>
      <c r="T251" s="666"/>
      <c r="U251" s="666"/>
      <c r="V251" s="617"/>
      <c r="W251" s="617"/>
      <c r="X251" s="617"/>
      <c r="Y251" s="617"/>
    </row>
    <row r="252" spans="9:25" x14ac:dyDescent="0.3">
      <c r="I252" s="617"/>
      <c r="J252" s="617"/>
      <c r="K252" s="617"/>
      <c r="L252" s="617"/>
      <c r="M252" s="617"/>
      <c r="N252" s="617"/>
      <c r="O252" s="617"/>
      <c r="P252" s="617"/>
      <c r="Q252" s="617"/>
      <c r="R252" s="617"/>
      <c r="S252" s="666"/>
      <c r="T252" s="666"/>
      <c r="U252" s="666"/>
      <c r="V252" s="617"/>
      <c r="W252" s="617"/>
      <c r="X252" s="617"/>
      <c r="Y252" s="617"/>
    </row>
    <row r="253" spans="9:25" x14ac:dyDescent="0.3">
      <c r="I253" s="617"/>
      <c r="J253" s="617"/>
      <c r="K253" s="617"/>
      <c r="L253" s="617"/>
      <c r="M253" s="617"/>
      <c r="N253" s="617"/>
      <c r="O253" s="617"/>
      <c r="P253" s="617"/>
      <c r="Q253" s="617"/>
      <c r="R253" s="617"/>
      <c r="S253" s="666"/>
      <c r="T253" s="666"/>
      <c r="U253" s="666"/>
      <c r="V253" s="617"/>
      <c r="W253" s="617"/>
      <c r="X253" s="617"/>
      <c r="Y253" s="617"/>
    </row>
    <row r="254" spans="9:25" x14ac:dyDescent="0.3">
      <c r="I254" s="617"/>
      <c r="J254" s="617"/>
      <c r="K254" s="617"/>
      <c r="L254" s="617"/>
      <c r="M254" s="617"/>
      <c r="N254" s="617"/>
      <c r="O254" s="617"/>
      <c r="P254" s="617"/>
      <c r="Q254" s="617"/>
      <c r="R254" s="617"/>
      <c r="S254" s="666"/>
      <c r="T254" s="666"/>
      <c r="U254" s="666"/>
      <c r="V254" s="617"/>
      <c r="W254" s="617"/>
      <c r="X254" s="617"/>
      <c r="Y254" s="617"/>
    </row>
    <row r="255" spans="9:25" x14ac:dyDescent="0.3">
      <c r="I255" s="617"/>
      <c r="J255" s="617"/>
      <c r="K255" s="617"/>
      <c r="L255" s="617"/>
      <c r="M255" s="617"/>
      <c r="N255" s="617"/>
      <c r="O255" s="617"/>
      <c r="P255" s="617"/>
      <c r="Q255" s="617"/>
      <c r="R255" s="617"/>
      <c r="S255" s="666"/>
      <c r="T255" s="666"/>
      <c r="U255" s="666"/>
      <c r="V255" s="617"/>
      <c r="W255" s="617"/>
      <c r="X255" s="617"/>
      <c r="Y255" s="617"/>
    </row>
    <row r="256" spans="9:25" x14ac:dyDescent="0.3">
      <c r="I256" s="617"/>
      <c r="J256" s="617"/>
      <c r="K256" s="617"/>
      <c r="L256" s="617"/>
      <c r="M256" s="617"/>
      <c r="N256" s="617"/>
      <c r="O256" s="617"/>
      <c r="P256" s="617"/>
      <c r="Q256" s="617"/>
      <c r="R256" s="617"/>
      <c r="S256" s="666"/>
      <c r="T256" s="666"/>
      <c r="U256" s="666"/>
      <c r="V256" s="617"/>
      <c r="W256" s="617"/>
      <c r="X256" s="617"/>
      <c r="Y256" s="617"/>
    </row>
    <row r="257" spans="9:25" x14ac:dyDescent="0.3">
      <c r="I257" s="617"/>
      <c r="J257" s="617"/>
      <c r="K257" s="617"/>
      <c r="L257" s="617"/>
      <c r="M257" s="617"/>
      <c r="N257" s="617"/>
      <c r="O257" s="617"/>
      <c r="P257" s="617"/>
      <c r="Q257" s="617"/>
      <c r="R257" s="617"/>
      <c r="S257" s="666"/>
      <c r="T257" s="666"/>
      <c r="U257" s="666"/>
      <c r="V257" s="617"/>
      <c r="W257" s="617"/>
      <c r="X257" s="617"/>
      <c r="Y257" s="617"/>
    </row>
    <row r="258" spans="9:25" x14ac:dyDescent="0.3">
      <c r="I258" s="617"/>
      <c r="J258" s="617"/>
      <c r="K258" s="617"/>
      <c r="L258" s="617"/>
      <c r="M258" s="617"/>
      <c r="N258" s="617"/>
      <c r="O258" s="617"/>
      <c r="P258" s="617"/>
      <c r="Q258" s="617"/>
      <c r="R258" s="617"/>
      <c r="S258" s="666"/>
      <c r="T258" s="666"/>
      <c r="U258" s="666"/>
      <c r="V258" s="617"/>
      <c r="W258" s="617"/>
      <c r="X258" s="617"/>
      <c r="Y258" s="617"/>
    </row>
    <row r="259" spans="9:25" x14ac:dyDescent="0.3">
      <c r="I259" s="617"/>
      <c r="J259" s="617"/>
      <c r="K259" s="617"/>
      <c r="L259" s="617"/>
      <c r="M259" s="617"/>
      <c r="N259" s="617"/>
      <c r="O259" s="617"/>
      <c r="P259" s="617"/>
      <c r="Q259" s="617"/>
      <c r="R259" s="617"/>
      <c r="S259" s="666"/>
      <c r="T259" s="666"/>
      <c r="U259" s="666"/>
      <c r="V259" s="617"/>
      <c r="W259" s="617"/>
      <c r="X259" s="617"/>
      <c r="Y259" s="617"/>
    </row>
    <row r="260" spans="9:25" x14ac:dyDescent="0.3">
      <c r="I260" s="617"/>
      <c r="J260" s="617"/>
      <c r="K260" s="617"/>
      <c r="L260" s="617"/>
      <c r="M260" s="617"/>
      <c r="N260" s="617"/>
      <c r="O260" s="617"/>
      <c r="P260" s="617"/>
      <c r="Q260" s="617"/>
      <c r="R260" s="617"/>
      <c r="S260" s="666"/>
      <c r="T260" s="666"/>
      <c r="U260" s="666"/>
      <c r="V260" s="617"/>
      <c r="W260" s="617"/>
      <c r="X260" s="617"/>
      <c r="Y260" s="617"/>
    </row>
    <row r="261" spans="9:25" x14ac:dyDescent="0.3">
      <c r="I261" s="617"/>
      <c r="J261" s="617"/>
      <c r="K261" s="617"/>
      <c r="L261" s="617"/>
      <c r="M261" s="617"/>
      <c r="N261" s="617"/>
      <c r="O261" s="617"/>
      <c r="P261" s="617"/>
      <c r="Q261" s="617"/>
      <c r="R261" s="617"/>
      <c r="S261" s="666"/>
      <c r="T261" s="666"/>
      <c r="U261" s="666"/>
      <c r="V261" s="617"/>
      <c r="W261" s="617"/>
      <c r="X261" s="617"/>
      <c r="Y261" s="617"/>
    </row>
    <row r="262" spans="9:25" x14ac:dyDescent="0.3">
      <c r="I262" s="617"/>
      <c r="J262" s="617"/>
      <c r="K262" s="617"/>
      <c r="L262" s="617"/>
      <c r="M262" s="617"/>
      <c r="N262" s="617"/>
      <c r="O262" s="617"/>
      <c r="P262" s="617"/>
      <c r="Q262" s="617"/>
      <c r="R262" s="617"/>
      <c r="S262" s="666"/>
      <c r="T262" s="666"/>
      <c r="U262" s="666"/>
      <c r="V262" s="617"/>
      <c r="W262" s="617"/>
      <c r="X262" s="617"/>
      <c r="Y262" s="617"/>
    </row>
    <row r="263" spans="9:25" x14ac:dyDescent="0.3">
      <c r="I263" s="617"/>
      <c r="J263" s="617"/>
      <c r="K263" s="617"/>
      <c r="L263" s="617"/>
      <c r="M263" s="617"/>
      <c r="N263" s="617"/>
      <c r="O263" s="617"/>
      <c r="P263" s="617"/>
      <c r="Q263" s="617"/>
      <c r="R263" s="617"/>
      <c r="S263" s="666"/>
      <c r="T263" s="666"/>
      <c r="U263" s="666"/>
      <c r="V263" s="617"/>
      <c r="W263" s="617"/>
      <c r="X263" s="617"/>
      <c r="Y263" s="617"/>
    </row>
    <row r="264" spans="9:25" x14ac:dyDescent="0.3">
      <c r="I264" s="617"/>
      <c r="J264" s="617"/>
      <c r="K264" s="617"/>
      <c r="L264" s="617"/>
      <c r="M264" s="617"/>
      <c r="N264" s="617"/>
      <c r="O264" s="617"/>
      <c r="P264" s="617"/>
      <c r="Q264" s="617"/>
      <c r="R264" s="617"/>
      <c r="S264" s="666"/>
      <c r="T264" s="666"/>
      <c r="U264" s="666"/>
      <c r="V264" s="617"/>
      <c r="W264" s="617"/>
      <c r="X264" s="617"/>
      <c r="Y264" s="617"/>
    </row>
    <row r="265" spans="9:25" x14ac:dyDescent="0.3">
      <c r="I265" s="617"/>
      <c r="J265" s="617"/>
      <c r="K265" s="617"/>
      <c r="L265" s="617"/>
      <c r="M265" s="617"/>
      <c r="N265" s="617"/>
      <c r="O265" s="617"/>
      <c r="P265" s="617"/>
      <c r="Q265" s="617"/>
      <c r="R265" s="617"/>
      <c r="S265" s="666"/>
      <c r="T265" s="666"/>
      <c r="U265" s="666"/>
      <c r="V265" s="617"/>
      <c r="W265" s="617"/>
      <c r="X265" s="617"/>
      <c r="Y265" s="617"/>
    </row>
    <row r="266" spans="9:25" x14ac:dyDescent="0.3">
      <c r="I266" s="617"/>
      <c r="J266" s="617"/>
      <c r="K266" s="617"/>
      <c r="L266" s="617"/>
      <c r="M266" s="617"/>
      <c r="N266" s="617"/>
      <c r="O266" s="617"/>
      <c r="P266" s="617"/>
      <c r="Q266" s="617"/>
      <c r="R266" s="617"/>
      <c r="S266" s="666"/>
      <c r="T266" s="666"/>
      <c r="U266" s="666"/>
      <c r="V266" s="617"/>
      <c r="W266" s="617"/>
      <c r="X266" s="617"/>
      <c r="Y266" s="617"/>
    </row>
    <row r="267" spans="9:25" x14ac:dyDescent="0.3">
      <c r="I267" s="617"/>
      <c r="J267" s="617"/>
      <c r="K267" s="617"/>
      <c r="L267" s="617"/>
      <c r="M267" s="617"/>
      <c r="N267" s="617"/>
      <c r="O267" s="617"/>
      <c r="P267" s="617"/>
      <c r="Q267" s="617"/>
      <c r="R267" s="617"/>
      <c r="S267" s="666"/>
      <c r="T267" s="666"/>
      <c r="U267" s="666"/>
      <c r="V267" s="617"/>
      <c r="W267" s="617"/>
      <c r="X267" s="617"/>
      <c r="Y267" s="617"/>
    </row>
    <row r="268" spans="9:25" x14ac:dyDescent="0.3">
      <c r="I268" s="617"/>
      <c r="J268" s="617"/>
      <c r="K268" s="617"/>
      <c r="L268" s="617"/>
      <c r="M268" s="617"/>
      <c r="N268" s="617"/>
      <c r="O268" s="617"/>
      <c r="P268" s="617"/>
      <c r="Q268" s="617"/>
      <c r="R268" s="617"/>
      <c r="S268" s="666"/>
      <c r="T268" s="666"/>
      <c r="U268" s="666"/>
      <c r="V268" s="617"/>
      <c r="W268" s="617"/>
      <c r="X268" s="617"/>
      <c r="Y268" s="617"/>
    </row>
    <row r="269" spans="9:25" x14ac:dyDescent="0.3">
      <c r="I269" s="617"/>
      <c r="J269" s="617"/>
      <c r="K269" s="617"/>
      <c r="L269" s="617"/>
      <c r="M269" s="617"/>
      <c r="N269" s="617"/>
      <c r="O269" s="617"/>
      <c r="P269" s="617"/>
      <c r="Q269" s="617"/>
      <c r="R269" s="617"/>
      <c r="S269" s="666"/>
      <c r="T269" s="666"/>
      <c r="U269" s="666"/>
      <c r="V269" s="617"/>
      <c r="W269" s="617"/>
      <c r="X269" s="617"/>
      <c r="Y269" s="617"/>
    </row>
    <row r="270" spans="9:25" x14ac:dyDescent="0.3">
      <c r="I270" s="617"/>
      <c r="J270" s="617"/>
      <c r="K270" s="617"/>
      <c r="L270" s="617"/>
      <c r="M270" s="617"/>
      <c r="N270" s="617"/>
      <c r="O270" s="617"/>
      <c r="P270" s="617"/>
      <c r="Q270" s="617"/>
      <c r="R270" s="617"/>
      <c r="S270" s="666"/>
      <c r="T270" s="666"/>
      <c r="U270" s="666"/>
      <c r="V270" s="617"/>
      <c r="W270" s="617"/>
      <c r="X270" s="617"/>
      <c r="Y270" s="617"/>
    </row>
    <row r="271" spans="9:25" x14ac:dyDescent="0.3">
      <c r="I271" s="617"/>
      <c r="J271" s="617"/>
      <c r="K271" s="617"/>
      <c r="L271" s="617"/>
      <c r="M271" s="617"/>
      <c r="N271" s="617"/>
      <c r="O271" s="617"/>
      <c r="P271" s="617"/>
      <c r="Q271" s="617"/>
      <c r="R271" s="617"/>
      <c r="S271" s="666"/>
      <c r="T271" s="666"/>
      <c r="U271" s="666"/>
      <c r="V271" s="617"/>
      <c r="W271" s="617"/>
      <c r="X271" s="617"/>
      <c r="Y271" s="617"/>
    </row>
    <row r="272" spans="9:25" x14ac:dyDescent="0.3">
      <c r="I272" s="617"/>
      <c r="J272" s="617"/>
      <c r="K272" s="617"/>
      <c r="L272" s="617"/>
      <c r="M272" s="617"/>
      <c r="N272" s="617"/>
      <c r="O272" s="617"/>
      <c r="P272" s="617"/>
      <c r="Q272" s="617"/>
      <c r="R272" s="617"/>
      <c r="S272" s="666"/>
      <c r="T272" s="666"/>
      <c r="U272" s="666"/>
      <c r="V272" s="617"/>
      <c r="W272" s="617"/>
      <c r="X272" s="617"/>
      <c r="Y272" s="617"/>
    </row>
    <row r="273" spans="9:25" x14ac:dyDescent="0.3">
      <c r="I273" s="617"/>
      <c r="J273" s="617"/>
      <c r="K273" s="617"/>
      <c r="L273" s="617"/>
      <c r="M273" s="617"/>
      <c r="N273" s="617"/>
      <c r="O273" s="617"/>
      <c r="P273" s="617"/>
      <c r="Q273" s="617"/>
      <c r="R273" s="617"/>
      <c r="S273" s="666"/>
      <c r="T273" s="666"/>
      <c r="U273" s="666"/>
      <c r="V273" s="617"/>
      <c r="W273" s="617"/>
      <c r="X273" s="617"/>
      <c r="Y273" s="617"/>
    </row>
    <row r="274" spans="9:25" x14ac:dyDescent="0.3">
      <c r="I274" s="617"/>
      <c r="J274" s="617"/>
      <c r="K274" s="617"/>
      <c r="L274" s="617"/>
      <c r="M274" s="617"/>
      <c r="N274" s="617"/>
      <c r="O274" s="617"/>
      <c r="P274" s="617"/>
      <c r="Q274" s="617"/>
      <c r="R274" s="617"/>
      <c r="S274" s="666"/>
      <c r="T274" s="666"/>
      <c r="U274" s="666"/>
      <c r="V274" s="617"/>
      <c r="W274" s="617"/>
      <c r="X274" s="617"/>
      <c r="Y274" s="617"/>
    </row>
    <row r="275" spans="9:25" x14ac:dyDescent="0.3">
      <c r="I275" s="617"/>
      <c r="J275" s="617"/>
      <c r="K275" s="617"/>
      <c r="L275" s="617"/>
      <c r="M275" s="617"/>
      <c r="N275" s="617"/>
      <c r="O275" s="617"/>
      <c r="P275" s="617"/>
      <c r="Q275" s="617"/>
      <c r="R275" s="617"/>
      <c r="S275" s="666"/>
      <c r="T275" s="666"/>
      <c r="U275" s="666"/>
      <c r="V275" s="617"/>
      <c r="W275" s="617"/>
      <c r="X275" s="617"/>
      <c r="Y275" s="617"/>
    </row>
    <row r="276" spans="9:25" x14ac:dyDescent="0.3">
      <c r="I276" s="617"/>
      <c r="J276" s="617"/>
      <c r="K276" s="617"/>
      <c r="L276" s="617"/>
      <c r="M276" s="617"/>
      <c r="N276" s="617"/>
      <c r="O276" s="617"/>
      <c r="P276" s="617"/>
      <c r="Q276" s="617"/>
      <c r="R276" s="617"/>
      <c r="S276" s="666"/>
      <c r="T276" s="666"/>
      <c r="U276" s="666"/>
      <c r="V276" s="617"/>
      <c r="W276" s="617"/>
      <c r="X276" s="617"/>
      <c r="Y276" s="617"/>
    </row>
    <row r="277" spans="9:25" x14ac:dyDescent="0.3">
      <c r="I277" s="617"/>
      <c r="J277" s="617"/>
      <c r="K277" s="617"/>
      <c r="L277" s="617"/>
      <c r="M277" s="617"/>
      <c r="N277" s="617"/>
      <c r="O277" s="617"/>
      <c r="P277" s="617"/>
      <c r="Q277" s="617"/>
      <c r="R277" s="617"/>
      <c r="S277" s="666"/>
      <c r="T277" s="666"/>
      <c r="U277" s="666"/>
      <c r="V277" s="617"/>
      <c r="W277" s="617"/>
      <c r="X277" s="617"/>
      <c r="Y277" s="617"/>
    </row>
    <row r="278" spans="9:25" x14ac:dyDescent="0.3">
      <c r="I278" s="617"/>
      <c r="J278" s="617"/>
      <c r="K278" s="617"/>
      <c r="L278" s="617"/>
      <c r="M278" s="617"/>
      <c r="N278" s="617"/>
      <c r="O278" s="617"/>
      <c r="P278" s="617"/>
      <c r="Q278" s="617"/>
      <c r="R278" s="617"/>
      <c r="S278" s="666"/>
      <c r="T278" s="666"/>
      <c r="U278" s="666"/>
      <c r="V278" s="617"/>
      <c r="W278" s="617"/>
      <c r="X278" s="617"/>
      <c r="Y278" s="617"/>
    </row>
    <row r="279" spans="9:25" x14ac:dyDescent="0.3">
      <c r="I279" s="617"/>
      <c r="J279" s="617"/>
      <c r="K279" s="617"/>
      <c r="L279" s="617"/>
      <c r="M279" s="617"/>
      <c r="N279" s="617"/>
      <c r="O279" s="617"/>
      <c r="P279" s="617"/>
      <c r="Q279" s="617"/>
      <c r="R279" s="617"/>
      <c r="S279" s="666"/>
      <c r="T279" s="666"/>
      <c r="U279" s="666"/>
      <c r="V279" s="617"/>
      <c r="W279" s="617"/>
      <c r="X279" s="617"/>
      <c r="Y279" s="617"/>
    </row>
    <row r="280" spans="9:25" x14ac:dyDescent="0.3">
      <c r="I280" s="617"/>
      <c r="J280" s="617"/>
      <c r="K280" s="617"/>
      <c r="L280" s="617"/>
      <c r="M280" s="617"/>
      <c r="N280" s="617"/>
      <c r="O280" s="617"/>
      <c r="P280" s="617"/>
      <c r="Q280" s="617"/>
      <c r="R280" s="617"/>
      <c r="S280" s="666"/>
      <c r="T280" s="666"/>
      <c r="U280" s="666"/>
      <c r="V280" s="617"/>
      <c r="W280" s="617"/>
      <c r="X280" s="617"/>
      <c r="Y280" s="617"/>
    </row>
    <row r="281" spans="9:25" x14ac:dyDescent="0.3">
      <c r="I281" s="617"/>
      <c r="J281" s="617"/>
      <c r="K281" s="617"/>
      <c r="L281" s="617"/>
      <c r="M281" s="617"/>
      <c r="N281" s="617"/>
      <c r="O281" s="617"/>
      <c r="P281" s="617"/>
      <c r="Q281" s="617"/>
      <c r="R281" s="617"/>
      <c r="S281" s="666"/>
      <c r="T281" s="666"/>
      <c r="U281" s="666"/>
      <c r="V281" s="617"/>
      <c r="W281" s="617"/>
      <c r="X281" s="617"/>
      <c r="Y281" s="617"/>
    </row>
    <row r="282" spans="9:25" x14ac:dyDescent="0.3">
      <c r="I282" s="617"/>
      <c r="J282" s="617"/>
      <c r="K282" s="617"/>
      <c r="L282" s="617"/>
      <c r="M282" s="617"/>
      <c r="N282" s="617"/>
      <c r="O282" s="617"/>
      <c r="P282" s="617"/>
      <c r="Q282" s="617"/>
      <c r="R282" s="617"/>
      <c r="S282" s="666"/>
      <c r="T282" s="666"/>
      <c r="U282" s="666"/>
      <c r="V282" s="617"/>
      <c r="W282" s="617"/>
      <c r="X282" s="617"/>
      <c r="Y282" s="617"/>
    </row>
    <row r="283" spans="9:25" x14ac:dyDescent="0.3">
      <c r="I283" s="617"/>
      <c r="J283" s="617"/>
      <c r="K283" s="617"/>
      <c r="L283" s="617"/>
      <c r="M283" s="617"/>
      <c r="N283" s="617"/>
      <c r="O283" s="617"/>
      <c r="P283" s="617"/>
      <c r="Q283" s="617"/>
      <c r="R283" s="617"/>
      <c r="S283" s="666"/>
      <c r="T283" s="666"/>
      <c r="U283" s="666"/>
      <c r="V283" s="617"/>
      <c r="W283" s="617"/>
      <c r="X283" s="617"/>
      <c r="Y283" s="617"/>
    </row>
    <row r="284" spans="9:25" x14ac:dyDescent="0.3">
      <c r="I284" s="617"/>
      <c r="J284" s="617"/>
      <c r="K284" s="617"/>
      <c r="L284" s="617"/>
      <c r="M284" s="617"/>
      <c r="N284" s="617"/>
      <c r="O284" s="617"/>
      <c r="P284" s="617"/>
      <c r="Q284" s="617"/>
      <c r="R284" s="617"/>
      <c r="S284" s="666"/>
      <c r="T284" s="666"/>
      <c r="U284" s="666"/>
      <c r="V284" s="617"/>
      <c r="W284" s="617"/>
      <c r="X284" s="617"/>
      <c r="Y284" s="617"/>
    </row>
    <row r="285" spans="9:25" x14ac:dyDescent="0.3">
      <c r="I285" s="617"/>
      <c r="J285" s="617"/>
      <c r="K285" s="617"/>
      <c r="L285" s="617"/>
      <c r="M285" s="617"/>
      <c r="N285" s="617"/>
      <c r="O285" s="617"/>
      <c r="P285" s="617"/>
      <c r="Q285" s="617"/>
      <c r="R285" s="617"/>
      <c r="S285" s="666"/>
      <c r="T285" s="666"/>
      <c r="U285" s="666"/>
      <c r="V285" s="617"/>
      <c r="W285" s="617"/>
      <c r="X285" s="617"/>
      <c r="Y285" s="617"/>
    </row>
    <row r="286" spans="9:25" x14ac:dyDescent="0.3">
      <c r="I286" s="617"/>
      <c r="J286" s="617"/>
      <c r="K286" s="617"/>
      <c r="L286" s="617"/>
      <c r="M286" s="617"/>
      <c r="N286" s="617"/>
      <c r="O286" s="617"/>
      <c r="P286" s="617"/>
      <c r="Q286" s="617"/>
      <c r="R286" s="617"/>
      <c r="S286" s="666"/>
      <c r="T286" s="666"/>
      <c r="U286" s="666"/>
      <c r="V286" s="617"/>
      <c r="W286" s="617"/>
      <c r="X286" s="617"/>
      <c r="Y286" s="617"/>
    </row>
    <row r="287" spans="9:25" x14ac:dyDescent="0.3">
      <c r="I287" s="617"/>
      <c r="J287" s="617"/>
      <c r="K287" s="617"/>
      <c r="L287" s="617"/>
      <c r="M287" s="617"/>
      <c r="N287" s="617"/>
      <c r="O287" s="617"/>
      <c r="P287" s="617"/>
      <c r="Q287" s="617"/>
      <c r="R287" s="617"/>
      <c r="S287" s="666"/>
      <c r="T287" s="666"/>
      <c r="U287" s="666"/>
      <c r="V287" s="617"/>
      <c r="W287" s="617"/>
      <c r="X287" s="617"/>
      <c r="Y287" s="617"/>
    </row>
    <row r="288" spans="9:25" x14ac:dyDescent="0.3">
      <c r="I288" s="617"/>
      <c r="J288" s="617"/>
      <c r="K288" s="617"/>
      <c r="L288" s="617"/>
      <c r="M288" s="617"/>
      <c r="N288" s="617"/>
      <c r="O288" s="617"/>
      <c r="P288" s="617"/>
      <c r="Q288" s="617"/>
      <c r="R288" s="617"/>
      <c r="S288" s="666"/>
      <c r="T288" s="666"/>
      <c r="U288" s="666"/>
      <c r="V288" s="617"/>
      <c r="W288" s="617"/>
      <c r="X288" s="617"/>
      <c r="Y288" s="617"/>
    </row>
    <row r="289" spans="9:25" x14ac:dyDescent="0.3">
      <c r="I289" s="617"/>
      <c r="J289" s="617"/>
      <c r="K289" s="617"/>
      <c r="L289" s="617"/>
      <c r="M289" s="617"/>
      <c r="N289" s="617"/>
      <c r="O289" s="617"/>
      <c r="P289" s="617"/>
      <c r="Q289" s="617"/>
      <c r="R289" s="617"/>
      <c r="S289" s="666"/>
      <c r="T289" s="666"/>
      <c r="U289" s="666"/>
      <c r="V289" s="617"/>
      <c r="W289" s="617"/>
      <c r="X289" s="617"/>
      <c r="Y289" s="617"/>
    </row>
    <row r="290" spans="9:25" x14ac:dyDescent="0.3">
      <c r="I290" s="617"/>
      <c r="J290" s="617"/>
      <c r="K290" s="617"/>
      <c r="L290" s="617"/>
      <c r="M290" s="617"/>
      <c r="N290" s="617"/>
      <c r="O290" s="617"/>
      <c r="P290" s="617"/>
      <c r="Q290" s="617"/>
      <c r="R290" s="617"/>
      <c r="S290" s="666"/>
      <c r="T290" s="666"/>
      <c r="U290" s="666"/>
      <c r="V290" s="617"/>
      <c r="W290" s="617"/>
      <c r="X290" s="617"/>
      <c r="Y290" s="617"/>
    </row>
    <row r="291" spans="9:25" x14ac:dyDescent="0.3">
      <c r="I291" s="617"/>
      <c r="J291" s="617"/>
      <c r="K291" s="617"/>
      <c r="L291" s="617"/>
      <c r="M291" s="617"/>
      <c r="N291" s="617"/>
      <c r="O291" s="617"/>
      <c r="P291" s="617"/>
      <c r="Q291" s="617"/>
      <c r="R291" s="617"/>
      <c r="S291" s="666"/>
      <c r="T291" s="666"/>
      <c r="U291" s="666"/>
      <c r="V291" s="617"/>
      <c r="W291" s="617"/>
      <c r="X291" s="617"/>
      <c r="Y291" s="617"/>
    </row>
    <row r="292" spans="9:25" x14ac:dyDescent="0.3">
      <c r="I292" s="617"/>
      <c r="J292" s="617"/>
      <c r="K292" s="617"/>
      <c r="L292" s="617"/>
      <c r="M292" s="617"/>
      <c r="N292" s="617"/>
      <c r="O292" s="617"/>
      <c r="P292" s="617"/>
      <c r="Q292" s="617"/>
      <c r="R292" s="617"/>
      <c r="S292" s="666"/>
      <c r="T292" s="666"/>
      <c r="U292" s="666"/>
      <c r="V292" s="617"/>
      <c r="W292" s="617"/>
      <c r="X292" s="617"/>
      <c r="Y292" s="617"/>
    </row>
    <row r="293" spans="9:25" x14ac:dyDescent="0.3">
      <c r="I293" s="617"/>
      <c r="J293" s="617"/>
      <c r="K293" s="617"/>
      <c r="L293" s="617"/>
      <c r="M293" s="617"/>
      <c r="N293" s="617"/>
      <c r="O293" s="617"/>
      <c r="P293" s="617"/>
      <c r="Q293" s="617"/>
      <c r="R293" s="617"/>
      <c r="S293" s="666"/>
      <c r="T293" s="666"/>
      <c r="U293" s="666"/>
      <c r="V293" s="617"/>
      <c r="W293" s="617"/>
      <c r="X293" s="617"/>
      <c r="Y293" s="617"/>
    </row>
    <row r="294" spans="9:25" x14ac:dyDescent="0.3">
      <c r="I294" s="617"/>
      <c r="J294" s="617"/>
      <c r="K294" s="617"/>
      <c r="L294" s="617"/>
      <c r="M294" s="617"/>
      <c r="N294" s="617"/>
      <c r="O294" s="617"/>
      <c r="P294" s="617"/>
      <c r="Q294" s="617"/>
      <c r="R294" s="617"/>
      <c r="S294" s="666"/>
      <c r="T294" s="666"/>
      <c r="U294" s="666"/>
      <c r="V294" s="617"/>
      <c r="W294" s="617"/>
      <c r="X294" s="617"/>
      <c r="Y294" s="617"/>
    </row>
    <row r="295" spans="9:25" x14ac:dyDescent="0.3">
      <c r="I295" s="617"/>
      <c r="J295" s="617"/>
      <c r="K295" s="617"/>
      <c r="L295" s="617"/>
      <c r="M295" s="617"/>
      <c r="N295" s="617"/>
      <c r="O295" s="617"/>
      <c r="P295" s="617"/>
      <c r="Q295" s="617"/>
      <c r="R295" s="617"/>
      <c r="S295" s="666"/>
      <c r="T295" s="666"/>
      <c r="U295" s="666"/>
      <c r="V295" s="617"/>
      <c r="W295" s="617"/>
      <c r="X295" s="617"/>
      <c r="Y295" s="617"/>
    </row>
    <row r="296" spans="9:25" x14ac:dyDescent="0.3">
      <c r="I296" s="617"/>
      <c r="J296" s="617"/>
      <c r="K296" s="617"/>
      <c r="L296" s="617"/>
      <c r="M296" s="617"/>
      <c r="N296" s="617"/>
      <c r="O296" s="617"/>
      <c r="P296" s="617"/>
      <c r="Q296" s="617"/>
      <c r="R296" s="617"/>
      <c r="S296" s="666"/>
      <c r="T296" s="666"/>
      <c r="U296" s="666"/>
      <c r="V296" s="617"/>
      <c r="W296" s="617"/>
      <c r="X296" s="617"/>
      <c r="Y296" s="617"/>
    </row>
    <row r="297" spans="9:25" x14ac:dyDescent="0.3">
      <c r="I297" s="617"/>
      <c r="J297" s="617"/>
      <c r="K297" s="617"/>
      <c r="L297" s="617"/>
      <c r="M297" s="617"/>
      <c r="N297" s="617"/>
      <c r="O297" s="617"/>
      <c r="P297" s="617"/>
      <c r="Q297" s="617"/>
      <c r="R297" s="617"/>
      <c r="S297" s="666"/>
      <c r="T297" s="666"/>
      <c r="U297" s="666"/>
      <c r="V297" s="617"/>
      <c r="W297" s="617"/>
      <c r="X297" s="617"/>
      <c r="Y297" s="617"/>
    </row>
    <row r="298" spans="9:25" x14ac:dyDescent="0.3">
      <c r="I298" s="617"/>
      <c r="J298" s="617"/>
      <c r="K298" s="617"/>
      <c r="L298" s="617"/>
      <c r="M298" s="617"/>
      <c r="N298" s="617"/>
      <c r="O298" s="617"/>
      <c r="P298" s="617"/>
      <c r="Q298" s="617"/>
      <c r="R298" s="617"/>
      <c r="S298" s="666"/>
      <c r="T298" s="666"/>
      <c r="U298" s="666"/>
      <c r="V298" s="617"/>
      <c r="W298" s="617"/>
      <c r="X298" s="617"/>
      <c r="Y298" s="617"/>
    </row>
    <row r="299" spans="9:25" x14ac:dyDescent="0.3">
      <c r="I299" s="617"/>
      <c r="J299" s="617"/>
      <c r="K299" s="617"/>
      <c r="L299" s="617"/>
      <c r="M299" s="617"/>
      <c r="N299" s="617"/>
      <c r="O299" s="617"/>
      <c r="P299" s="617"/>
      <c r="Q299" s="617"/>
      <c r="R299" s="617"/>
      <c r="S299" s="666"/>
      <c r="T299" s="666"/>
      <c r="U299" s="666"/>
      <c r="V299" s="617"/>
      <c r="W299" s="617"/>
      <c r="X299" s="617"/>
      <c r="Y299" s="617"/>
    </row>
    <row r="300" spans="9:25" x14ac:dyDescent="0.3">
      <c r="I300" s="617"/>
      <c r="J300" s="617"/>
      <c r="K300" s="617"/>
      <c r="L300" s="617"/>
      <c r="M300" s="617"/>
      <c r="N300" s="617"/>
      <c r="O300" s="617"/>
      <c r="P300" s="617"/>
      <c r="Q300" s="617"/>
      <c r="R300" s="617"/>
      <c r="S300" s="666"/>
      <c r="T300" s="666"/>
      <c r="U300" s="666"/>
      <c r="V300" s="617"/>
      <c r="W300" s="617"/>
      <c r="X300" s="617"/>
      <c r="Y300" s="617"/>
    </row>
    <row r="301" spans="9:25" x14ac:dyDescent="0.3">
      <c r="I301" s="617"/>
      <c r="J301" s="617"/>
      <c r="K301" s="617"/>
      <c r="L301" s="617"/>
      <c r="M301" s="617"/>
      <c r="N301" s="617"/>
      <c r="O301" s="617"/>
      <c r="P301" s="617"/>
      <c r="Q301" s="617"/>
      <c r="R301" s="617"/>
      <c r="S301" s="666"/>
      <c r="T301" s="666"/>
      <c r="U301" s="666"/>
      <c r="V301" s="617"/>
      <c r="W301" s="617"/>
      <c r="X301" s="617"/>
      <c r="Y301" s="617"/>
    </row>
    <row r="302" spans="9:25" x14ac:dyDescent="0.3">
      <c r="I302" s="617"/>
      <c r="J302" s="617"/>
      <c r="K302" s="617"/>
      <c r="L302" s="617"/>
      <c r="M302" s="617"/>
      <c r="N302" s="617"/>
      <c r="O302" s="617"/>
      <c r="P302" s="617"/>
      <c r="Q302" s="617"/>
      <c r="R302" s="617"/>
      <c r="S302" s="666"/>
      <c r="T302" s="666"/>
      <c r="U302" s="666"/>
      <c r="V302" s="617"/>
      <c r="W302" s="617"/>
      <c r="X302" s="617"/>
      <c r="Y302" s="617"/>
    </row>
    <row r="303" spans="9:25" x14ac:dyDescent="0.3">
      <c r="I303" s="617"/>
      <c r="J303" s="617"/>
      <c r="K303" s="617"/>
      <c r="L303" s="617"/>
      <c r="M303" s="617"/>
      <c r="N303" s="617"/>
      <c r="O303" s="617"/>
      <c r="P303" s="617"/>
      <c r="Q303" s="617"/>
      <c r="R303" s="617"/>
      <c r="S303" s="666"/>
      <c r="T303" s="666"/>
      <c r="U303" s="666"/>
      <c r="V303" s="617"/>
      <c r="W303" s="617"/>
      <c r="X303" s="617"/>
      <c r="Y303" s="617"/>
    </row>
    <row r="304" spans="9:25" x14ac:dyDescent="0.3">
      <c r="I304" s="617"/>
      <c r="J304" s="617"/>
      <c r="K304" s="617"/>
      <c r="L304" s="617"/>
      <c r="M304" s="617"/>
      <c r="N304" s="617"/>
      <c r="O304" s="617"/>
      <c r="P304" s="617"/>
      <c r="Q304" s="617"/>
      <c r="R304" s="617"/>
      <c r="S304" s="666"/>
      <c r="T304" s="666"/>
      <c r="U304" s="666"/>
      <c r="V304" s="617"/>
      <c r="W304" s="617"/>
      <c r="X304" s="617"/>
      <c r="Y304" s="617"/>
    </row>
    <row r="305" spans="9:25" x14ac:dyDescent="0.3">
      <c r="I305" s="617"/>
      <c r="J305" s="617"/>
      <c r="K305" s="617"/>
      <c r="L305" s="617"/>
      <c r="M305" s="617"/>
      <c r="N305" s="617"/>
      <c r="O305" s="617"/>
      <c r="P305" s="617"/>
      <c r="Q305" s="617"/>
      <c r="R305" s="617"/>
      <c r="S305" s="666"/>
      <c r="T305" s="666"/>
      <c r="U305" s="666"/>
      <c r="V305" s="617"/>
      <c r="W305" s="617"/>
      <c r="X305" s="617"/>
      <c r="Y305" s="617"/>
    </row>
    <row r="306" spans="9:25" x14ac:dyDescent="0.3">
      <c r="I306" s="617"/>
      <c r="J306" s="617"/>
      <c r="K306" s="617"/>
      <c r="L306" s="617"/>
      <c r="M306" s="617"/>
      <c r="N306" s="617"/>
      <c r="O306" s="617"/>
      <c r="P306" s="617"/>
      <c r="Q306" s="617"/>
      <c r="R306" s="617"/>
      <c r="S306" s="666"/>
      <c r="T306" s="666"/>
      <c r="U306" s="666"/>
      <c r="V306" s="617"/>
      <c r="W306" s="617"/>
      <c r="X306" s="617"/>
      <c r="Y306" s="617"/>
    </row>
    <row r="307" spans="9:25" x14ac:dyDescent="0.3">
      <c r="I307" s="617"/>
      <c r="J307" s="617"/>
      <c r="K307" s="617"/>
      <c r="L307" s="617"/>
      <c r="M307" s="617"/>
      <c r="N307" s="617"/>
      <c r="O307" s="617"/>
      <c r="P307" s="617"/>
      <c r="Q307" s="617"/>
      <c r="R307" s="617"/>
      <c r="S307" s="666"/>
      <c r="T307" s="666"/>
      <c r="U307" s="666"/>
      <c r="V307" s="617"/>
      <c r="W307" s="617"/>
      <c r="X307" s="617"/>
      <c r="Y307" s="617"/>
    </row>
    <row r="308" spans="9:25" x14ac:dyDescent="0.3">
      <c r="I308" s="617"/>
      <c r="J308" s="617"/>
      <c r="K308" s="617"/>
      <c r="L308" s="617"/>
      <c r="M308" s="617"/>
      <c r="N308" s="617"/>
      <c r="O308" s="617"/>
      <c r="P308" s="617"/>
      <c r="Q308" s="617"/>
      <c r="R308" s="617"/>
      <c r="S308" s="666"/>
      <c r="T308" s="666"/>
      <c r="U308" s="666"/>
      <c r="V308" s="617"/>
      <c r="W308" s="617"/>
      <c r="X308" s="617"/>
      <c r="Y308" s="617"/>
    </row>
    <row r="309" spans="9:25" x14ac:dyDescent="0.3">
      <c r="I309" s="617"/>
      <c r="J309" s="617"/>
      <c r="K309" s="617"/>
      <c r="L309" s="617"/>
      <c r="M309" s="617"/>
      <c r="N309" s="617"/>
      <c r="O309" s="617"/>
      <c r="P309" s="617"/>
      <c r="Q309" s="617"/>
      <c r="R309" s="617"/>
      <c r="S309" s="666"/>
      <c r="T309" s="666"/>
      <c r="U309" s="666"/>
      <c r="V309" s="617"/>
      <c r="W309" s="617"/>
      <c r="X309" s="617"/>
      <c r="Y309" s="617"/>
    </row>
    <row r="310" spans="9:25" x14ac:dyDescent="0.3">
      <c r="I310" s="617"/>
      <c r="J310" s="617"/>
      <c r="K310" s="617"/>
      <c r="L310" s="617"/>
      <c r="M310" s="617"/>
      <c r="N310" s="617"/>
      <c r="O310" s="617"/>
      <c r="P310" s="617"/>
      <c r="Q310" s="617"/>
      <c r="R310" s="617"/>
      <c r="S310" s="666"/>
      <c r="T310" s="666"/>
      <c r="U310" s="666"/>
      <c r="V310" s="617"/>
      <c r="W310" s="617"/>
      <c r="X310" s="617"/>
      <c r="Y310" s="617"/>
    </row>
    <row r="311" spans="9:25" x14ac:dyDescent="0.3">
      <c r="I311" s="617"/>
      <c r="J311" s="617"/>
      <c r="K311" s="617"/>
      <c r="L311" s="617"/>
      <c r="M311" s="617"/>
      <c r="N311" s="617"/>
      <c r="O311" s="617"/>
      <c r="P311" s="617"/>
      <c r="Q311" s="617"/>
      <c r="R311" s="617"/>
      <c r="S311" s="666"/>
      <c r="T311" s="666"/>
      <c r="U311" s="666"/>
      <c r="V311" s="617"/>
      <c r="W311" s="617"/>
      <c r="X311" s="617"/>
      <c r="Y311" s="617"/>
    </row>
    <row r="312" spans="9:25" x14ac:dyDescent="0.3">
      <c r="I312" s="617"/>
      <c r="J312" s="617"/>
      <c r="K312" s="617"/>
      <c r="L312" s="617"/>
      <c r="M312" s="617"/>
      <c r="N312" s="617"/>
      <c r="O312" s="617"/>
      <c r="P312" s="617"/>
      <c r="Q312" s="617"/>
      <c r="R312" s="617"/>
      <c r="S312" s="666"/>
      <c r="T312" s="666"/>
      <c r="U312" s="666"/>
      <c r="V312" s="617"/>
      <c r="W312" s="617"/>
      <c r="X312" s="617"/>
      <c r="Y312" s="617"/>
    </row>
    <row r="313" spans="9:25" x14ac:dyDescent="0.3">
      <c r="I313" s="617"/>
      <c r="J313" s="617"/>
      <c r="K313" s="617"/>
      <c r="L313" s="617"/>
      <c r="M313" s="617"/>
      <c r="N313" s="617"/>
      <c r="O313" s="617"/>
      <c r="P313" s="617"/>
      <c r="Q313" s="617"/>
      <c r="R313" s="617"/>
      <c r="S313" s="666"/>
      <c r="T313" s="666"/>
      <c r="U313" s="666"/>
      <c r="V313" s="617"/>
      <c r="W313" s="617"/>
      <c r="X313" s="617"/>
      <c r="Y313" s="617"/>
    </row>
    <row r="314" spans="9:25" x14ac:dyDescent="0.3">
      <c r="I314" s="617"/>
      <c r="J314" s="617"/>
      <c r="K314" s="617"/>
      <c r="L314" s="617"/>
      <c r="M314" s="617"/>
      <c r="N314" s="617"/>
      <c r="O314" s="617"/>
      <c r="P314" s="617"/>
      <c r="Q314" s="617"/>
      <c r="R314" s="617"/>
      <c r="S314" s="666"/>
      <c r="T314" s="666"/>
      <c r="U314" s="666"/>
      <c r="V314" s="617"/>
      <c r="W314" s="617"/>
      <c r="X314" s="617"/>
      <c r="Y314" s="617"/>
    </row>
    <row r="315" spans="9:25" x14ac:dyDescent="0.3">
      <c r="I315" s="617"/>
      <c r="J315" s="617"/>
      <c r="K315" s="617"/>
      <c r="L315" s="617"/>
      <c r="M315" s="617"/>
      <c r="N315" s="617"/>
      <c r="O315" s="617"/>
      <c r="P315" s="617"/>
      <c r="Q315" s="617"/>
      <c r="R315" s="617"/>
      <c r="S315" s="666"/>
      <c r="T315" s="666"/>
      <c r="U315" s="666"/>
      <c r="V315" s="617"/>
      <c r="W315" s="617"/>
      <c r="X315" s="617"/>
      <c r="Y315" s="617"/>
    </row>
    <row r="316" spans="9:25" x14ac:dyDescent="0.3">
      <c r="I316" s="617"/>
      <c r="J316" s="617"/>
      <c r="K316" s="617"/>
      <c r="L316" s="617"/>
      <c r="M316" s="617"/>
      <c r="N316" s="617"/>
      <c r="O316" s="617"/>
      <c r="P316" s="617"/>
      <c r="Q316" s="617"/>
      <c r="R316" s="617"/>
      <c r="S316" s="666"/>
      <c r="T316" s="666"/>
      <c r="U316" s="666"/>
      <c r="V316" s="617"/>
      <c r="W316" s="617"/>
      <c r="X316" s="617"/>
      <c r="Y316" s="617"/>
    </row>
    <row r="317" spans="9:25" x14ac:dyDescent="0.3">
      <c r="I317" s="617"/>
      <c r="J317" s="617"/>
      <c r="K317" s="617"/>
      <c r="L317" s="617"/>
      <c r="M317" s="617"/>
      <c r="N317" s="617"/>
      <c r="O317" s="617"/>
      <c r="P317" s="617"/>
      <c r="Q317" s="617"/>
      <c r="R317" s="617"/>
      <c r="S317" s="666"/>
      <c r="T317" s="666"/>
      <c r="U317" s="666"/>
      <c r="V317" s="617"/>
      <c r="W317" s="617"/>
      <c r="X317" s="617"/>
      <c r="Y317" s="617"/>
    </row>
    <row r="318" spans="9:25" x14ac:dyDescent="0.3">
      <c r="I318" s="617"/>
      <c r="J318" s="617"/>
      <c r="K318" s="617"/>
      <c r="L318" s="617"/>
      <c r="M318" s="617"/>
      <c r="N318" s="617"/>
      <c r="O318" s="617"/>
      <c r="P318" s="617"/>
      <c r="Q318" s="617"/>
      <c r="R318" s="617"/>
      <c r="S318" s="666"/>
      <c r="T318" s="666"/>
      <c r="U318" s="666"/>
      <c r="V318" s="617"/>
      <c r="W318" s="617"/>
      <c r="X318" s="617"/>
      <c r="Y318" s="617"/>
    </row>
    <row r="319" spans="9:25" x14ac:dyDescent="0.3">
      <c r="I319" s="617"/>
      <c r="J319" s="617"/>
      <c r="K319" s="617"/>
      <c r="L319" s="617"/>
      <c r="M319" s="617"/>
      <c r="N319" s="617"/>
      <c r="O319" s="617"/>
      <c r="P319" s="617"/>
      <c r="Q319" s="617"/>
      <c r="R319" s="617"/>
      <c r="S319" s="666"/>
      <c r="T319" s="666"/>
      <c r="U319" s="666"/>
      <c r="V319" s="617"/>
      <c r="W319" s="617"/>
      <c r="X319" s="617"/>
      <c r="Y319" s="617"/>
    </row>
    <row r="320" spans="9:25" x14ac:dyDescent="0.3">
      <c r="I320" s="617"/>
      <c r="J320" s="617"/>
      <c r="K320" s="617"/>
      <c r="L320" s="617"/>
      <c r="M320" s="617"/>
      <c r="N320" s="617"/>
      <c r="O320" s="617"/>
      <c r="P320" s="617"/>
      <c r="Q320" s="617"/>
      <c r="R320" s="617"/>
      <c r="S320" s="666"/>
      <c r="T320" s="666"/>
      <c r="U320" s="666"/>
      <c r="V320" s="617"/>
      <c r="W320" s="617"/>
      <c r="X320" s="617"/>
      <c r="Y320" s="617"/>
    </row>
    <row r="321" spans="9:25" x14ac:dyDescent="0.3">
      <c r="I321" s="617"/>
      <c r="J321" s="617"/>
      <c r="K321" s="617"/>
      <c r="L321" s="617"/>
      <c r="M321" s="617"/>
      <c r="N321" s="617"/>
      <c r="O321" s="617"/>
      <c r="P321" s="617"/>
      <c r="Q321" s="617"/>
      <c r="R321" s="617"/>
      <c r="S321" s="666"/>
      <c r="T321" s="666"/>
      <c r="U321" s="666"/>
      <c r="V321" s="617"/>
      <c r="W321" s="617"/>
      <c r="X321" s="617"/>
      <c r="Y321" s="617"/>
    </row>
    <row r="322" spans="9:25" x14ac:dyDescent="0.3">
      <c r="I322" s="617"/>
      <c r="J322" s="617"/>
      <c r="K322" s="617"/>
      <c r="L322" s="617"/>
      <c r="M322" s="617"/>
      <c r="N322" s="617"/>
      <c r="O322" s="617"/>
      <c r="P322" s="617"/>
      <c r="Q322" s="617"/>
      <c r="R322" s="617"/>
      <c r="S322" s="666"/>
      <c r="T322" s="666"/>
      <c r="U322" s="666"/>
      <c r="V322" s="617"/>
      <c r="W322" s="617"/>
      <c r="X322" s="617"/>
      <c r="Y322" s="617"/>
    </row>
    <row r="323" spans="9:25" x14ac:dyDescent="0.3">
      <c r="I323" s="617"/>
      <c r="J323" s="617"/>
      <c r="K323" s="617"/>
      <c r="L323" s="617"/>
      <c r="M323" s="617"/>
      <c r="N323" s="617"/>
      <c r="O323" s="617"/>
      <c r="P323" s="617"/>
      <c r="Q323" s="617"/>
      <c r="R323" s="617"/>
      <c r="S323" s="666"/>
      <c r="T323" s="666"/>
      <c r="U323" s="666"/>
      <c r="V323" s="617"/>
      <c r="W323" s="617"/>
      <c r="X323" s="617"/>
      <c r="Y323" s="617"/>
    </row>
    <row r="324" spans="9:25" x14ac:dyDescent="0.3">
      <c r="I324" s="617"/>
      <c r="J324" s="617"/>
      <c r="K324" s="617"/>
      <c r="L324" s="617"/>
      <c r="M324" s="617"/>
      <c r="N324" s="617"/>
      <c r="O324" s="617"/>
      <c r="P324" s="617"/>
      <c r="Q324" s="617"/>
      <c r="R324" s="617"/>
      <c r="S324" s="666"/>
      <c r="T324" s="666"/>
      <c r="U324" s="666"/>
      <c r="V324" s="617"/>
      <c r="W324" s="617"/>
      <c r="X324" s="617"/>
      <c r="Y324" s="617"/>
    </row>
    <row r="325" spans="9:25" x14ac:dyDescent="0.3">
      <c r="I325" s="617"/>
      <c r="J325" s="617"/>
      <c r="K325" s="617"/>
      <c r="L325" s="617"/>
      <c r="M325" s="617"/>
      <c r="N325" s="617"/>
      <c r="O325" s="617"/>
      <c r="P325" s="617"/>
      <c r="Q325" s="617"/>
      <c r="R325" s="617"/>
      <c r="S325" s="666"/>
      <c r="T325" s="666"/>
      <c r="U325" s="666"/>
      <c r="V325" s="617"/>
      <c r="W325" s="617"/>
      <c r="X325" s="617"/>
      <c r="Y325" s="617"/>
    </row>
    <row r="326" spans="9:25" x14ac:dyDescent="0.3">
      <c r="I326" s="617"/>
      <c r="J326" s="617"/>
      <c r="K326" s="617"/>
      <c r="L326" s="617"/>
      <c r="M326" s="617"/>
      <c r="N326" s="617"/>
      <c r="O326" s="617"/>
      <c r="P326" s="617"/>
      <c r="Q326" s="617"/>
      <c r="R326" s="617"/>
      <c r="S326" s="666"/>
      <c r="T326" s="666"/>
      <c r="U326" s="666"/>
      <c r="V326" s="617"/>
      <c r="W326" s="617"/>
      <c r="X326" s="617"/>
      <c r="Y326" s="617"/>
    </row>
    <row r="327" spans="9:25" x14ac:dyDescent="0.3">
      <c r="I327" s="617"/>
      <c r="J327" s="617"/>
      <c r="K327" s="617"/>
      <c r="L327" s="617"/>
      <c r="M327" s="617"/>
      <c r="N327" s="617"/>
      <c r="O327" s="617"/>
      <c r="P327" s="617"/>
      <c r="Q327" s="617"/>
      <c r="R327" s="617"/>
      <c r="S327" s="666"/>
      <c r="T327" s="666"/>
      <c r="U327" s="666"/>
      <c r="V327" s="617"/>
      <c r="W327" s="617"/>
      <c r="X327" s="617"/>
      <c r="Y327" s="617"/>
    </row>
    <row r="328" spans="9:25" x14ac:dyDescent="0.3">
      <c r="I328" s="617"/>
      <c r="J328" s="617"/>
      <c r="K328" s="617"/>
      <c r="L328" s="617"/>
      <c r="M328" s="617"/>
      <c r="N328" s="617"/>
      <c r="O328" s="617"/>
      <c r="P328" s="617"/>
      <c r="Q328" s="617"/>
      <c r="R328" s="617"/>
      <c r="S328" s="666"/>
      <c r="T328" s="666"/>
      <c r="U328" s="666"/>
      <c r="V328" s="617"/>
      <c r="W328" s="617"/>
      <c r="X328" s="617"/>
      <c r="Y328" s="617"/>
    </row>
  </sheetData>
  <mergeCells count="17">
    <mergeCell ref="L31:M31"/>
    <mergeCell ref="N3:P3"/>
    <mergeCell ref="Q3:R3"/>
    <mergeCell ref="V3:W3"/>
    <mergeCell ref="I4:J4"/>
    <mergeCell ref="N4:O4"/>
    <mergeCell ref="E1:W1"/>
    <mergeCell ref="L11:M11"/>
    <mergeCell ref="V11:W11"/>
    <mergeCell ref="I5:K6"/>
    <mergeCell ref="L5:M6"/>
    <mergeCell ref="N5:P6"/>
    <mergeCell ref="Q5:R6"/>
    <mergeCell ref="V5:W6"/>
    <mergeCell ref="I2:W2"/>
    <mergeCell ref="I3:K3"/>
    <mergeCell ref="L3:M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FF0000"/>
  </sheetPr>
  <dimension ref="C8:AY64"/>
  <sheetViews>
    <sheetView topLeftCell="D21" zoomScale="115" zoomScaleNormal="115" workbookViewId="0">
      <selection activeCell="K36" sqref="K36"/>
    </sheetView>
  </sheetViews>
  <sheetFormatPr baseColWidth="10" defaultColWidth="11.44140625" defaultRowHeight="14.4" x14ac:dyDescent="0.3"/>
  <cols>
    <col min="1" max="4" width="11.44140625" style="40"/>
    <col min="5" max="5" width="57.109375" style="40" customWidth="1"/>
    <col min="6" max="6" width="11.44140625" style="40"/>
    <col min="7" max="7" width="14.88671875" style="40" customWidth="1"/>
    <col min="8" max="8" width="19" style="40" customWidth="1"/>
    <col min="9" max="9" width="17.44140625" style="40" customWidth="1"/>
    <col min="10" max="10" width="19.33203125" style="40" customWidth="1"/>
    <col min="11" max="11" width="19.5546875" style="40" customWidth="1"/>
    <col min="12" max="13" width="24.44140625" style="40" customWidth="1"/>
    <col min="14" max="14" width="17.5546875" style="40" bestFit="1" customWidth="1"/>
    <col min="15" max="15" width="17.5546875" style="40" customWidth="1"/>
    <col min="16" max="20" width="20.109375" style="40" customWidth="1"/>
    <col min="21" max="21" width="17" style="40" customWidth="1"/>
    <col min="22" max="22" width="19.109375" style="40" customWidth="1"/>
    <col min="23" max="23" width="20" style="40" customWidth="1"/>
    <col min="24" max="24" width="21.33203125" style="40" customWidth="1"/>
    <col min="25" max="16384" width="11.44140625" style="40"/>
  </cols>
  <sheetData>
    <row r="8" spans="4:24" ht="15" x14ac:dyDescent="0.25">
      <c r="H8" s="43"/>
      <c r="I8" s="43"/>
    </row>
    <row r="9" spans="4:24" ht="24" thickBot="1" x14ac:dyDescent="0.4">
      <c r="E9" s="1947" t="s">
        <v>154</v>
      </c>
      <c r="F9" s="1947"/>
      <c r="G9" s="1947"/>
      <c r="H9" s="1947"/>
      <c r="I9" s="1947"/>
      <c r="J9" s="1947"/>
      <c r="K9" s="1947"/>
      <c r="L9" s="1947"/>
      <c r="M9" s="1947"/>
      <c r="N9" s="1947"/>
      <c r="O9" s="1947"/>
      <c r="P9" s="1947"/>
      <c r="Q9" s="1947"/>
      <c r="R9" s="1947"/>
      <c r="S9" s="1947"/>
      <c r="T9" s="1947"/>
      <c r="U9" s="1947"/>
      <c r="V9" s="1947"/>
    </row>
    <row r="10" spans="4:24" ht="15.75" thickBot="1" x14ac:dyDescent="0.3">
      <c r="H10" s="2"/>
      <c r="I10" s="1896" t="s">
        <v>134</v>
      </c>
      <c r="J10" s="1864"/>
      <c r="K10" s="1864"/>
      <c r="L10" s="1864"/>
      <c r="M10" s="1864"/>
      <c r="N10" s="1864"/>
      <c r="O10" s="1864"/>
      <c r="P10" s="1864"/>
      <c r="Q10" s="1864"/>
      <c r="R10" s="1864"/>
      <c r="S10" s="1864"/>
      <c r="T10" s="1864"/>
      <c r="U10" s="1864"/>
      <c r="V10" s="1865"/>
    </row>
    <row r="11" spans="4:24" ht="15.75" thickBot="1" x14ac:dyDescent="0.3">
      <c r="H11" s="43"/>
      <c r="I11" s="2135" t="s">
        <v>0</v>
      </c>
      <c r="J11" s="2136"/>
      <c r="K11" s="2136"/>
      <c r="L11" s="2137"/>
      <c r="M11" s="2135" t="s">
        <v>0</v>
      </c>
      <c r="N11" s="2136"/>
      <c r="O11" s="2136"/>
      <c r="P11" s="2137"/>
      <c r="Q11" s="1838" t="s">
        <v>0</v>
      </c>
      <c r="R11" s="1942"/>
      <c r="S11" s="1838" t="s">
        <v>0</v>
      </c>
      <c r="T11" s="1942"/>
      <c r="U11" s="1838" t="s">
        <v>0</v>
      </c>
      <c r="V11" s="1942"/>
      <c r="W11" s="1838"/>
      <c r="X11" s="1838"/>
    </row>
    <row r="12" spans="4:24" ht="19.5" thickBot="1" x14ac:dyDescent="0.35">
      <c r="E12" s="40">
        <f>61732/1.12</f>
        <v>55117.857142857138</v>
      </c>
      <c r="H12" s="43"/>
      <c r="I12" s="2133" t="s">
        <v>1</v>
      </c>
      <c r="J12" s="2134"/>
      <c r="K12" s="290" t="s">
        <v>2</v>
      </c>
      <c r="L12" s="289"/>
      <c r="M12" s="2133" t="s">
        <v>1</v>
      </c>
      <c r="N12" s="2134"/>
      <c r="O12" s="290" t="s">
        <v>2</v>
      </c>
      <c r="P12" s="289"/>
      <c r="Q12" s="195" t="s">
        <v>3</v>
      </c>
      <c r="R12" s="46" t="s">
        <v>4</v>
      </c>
      <c r="S12" s="195" t="s">
        <v>3</v>
      </c>
      <c r="T12" s="46" t="s">
        <v>4</v>
      </c>
      <c r="U12" s="195" t="s">
        <v>3</v>
      </c>
      <c r="V12" s="46" t="s">
        <v>4</v>
      </c>
      <c r="W12" s="260"/>
      <c r="X12" s="254"/>
    </row>
    <row r="13" spans="4:24" ht="45" customHeight="1" thickBot="1" x14ac:dyDescent="0.35">
      <c r="H13" s="43"/>
      <c r="I13" s="1948" t="s">
        <v>132</v>
      </c>
      <c r="J13" s="1949"/>
      <c r="K13" s="1949"/>
      <c r="L13" s="1950"/>
      <c r="M13" s="1948" t="s">
        <v>120</v>
      </c>
      <c r="N13" s="1949"/>
      <c r="O13" s="1949"/>
      <c r="P13" s="1949"/>
      <c r="Q13" s="1849" t="s">
        <v>107</v>
      </c>
      <c r="R13" s="1846"/>
      <c r="S13" s="2141" t="s">
        <v>391</v>
      </c>
      <c r="T13" s="2141"/>
      <c r="U13" s="2123" t="s">
        <v>133</v>
      </c>
      <c r="V13" s="2124"/>
      <c r="W13" s="1838"/>
      <c r="X13" s="1838"/>
    </row>
    <row r="14" spans="4:24" ht="15.75" hidden="1" customHeight="1" thickBot="1" x14ac:dyDescent="0.3">
      <c r="H14" s="43"/>
      <c r="I14" s="1857"/>
      <c r="J14" s="1955"/>
      <c r="K14" s="1955"/>
      <c r="L14" s="1858"/>
      <c r="M14" s="1951"/>
      <c r="N14" s="1952"/>
      <c r="O14" s="1952"/>
      <c r="P14" s="1952"/>
      <c r="Q14" s="1957"/>
      <c r="R14" s="1956"/>
      <c r="S14" s="699"/>
      <c r="T14" s="699"/>
      <c r="U14" s="2125"/>
      <c r="V14" s="2126"/>
      <c r="W14" s="1838"/>
      <c r="X14" s="1838"/>
    </row>
    <row r="15" spans="4:24" ht="15" thickBot="1" x14ac:dyDescent="0.35">
      <c r="D15" s="288" t="s">
        <v>5</v>
      </c>
      <c r="E15" s="291" t="s">
        <v>6</v>
      </c>
      <c r="F15" s="242" t="s">
        <v>7</v>
      </c>
      <c r="G15" s="243" t="s">
        <v>8</v>
      </c>
      <c r="H15" s="43"/>
      <c r="I15" s="302" t="s">
        <v>8</v>
      </c>
      <c r="J15" s="301" t="s">
        <v>9</v>
      </c>
      <c r="K15" s="301" t="s">
        <v>10</v>
      </c>
      <c r="L15" s="300" t="s">
        <v>29</v>
      </c>
      <c r="M15" s="302" t="s">
        <v>8</v>
      </c>
      <c r="N15" s="301" t="s">
        <v>9</v>
      </c>
      <c r="O15" s="301" t="s">
        <v>10</v>
      </c>
      <c r="P15" s="300" t="s">
        <v>29</v>
      </c>
      <c r="Q15" s="301" t="s">
        <v>9</v>
      </c>
      <c r="R15" s="562" t="s">
        <v>10</v>
      </c>
      <c r="S15" s="700" t="s">
        <v>9</v>
      </c>
      <c r="T15" s="701" t="s">
        <v>10</v>
      </c>
      <c r="U15" s="301" t="s">
        <v>9</v>
      </c>
      <c r="V15" s="300" t="s">
        <v>10</v>
      </c>
      <c r="W15" s="43"/>
      <c r="X15" s="43"/>
    </row>
    <row r="16" spans="4:24" ht="15.6" x14ac:dyDescent="0.3">
      <c r="D16" s="245">
        <v>4</v>
      </c>
      <c r="E16" s="585" t="s">
        <v>137</v>
      </c>
      <c r="F16" s="258" t="s">
        <v>15</v>
      </c>
      <c r="G16" s="69">
        <v>10</v>
      </c>
      <c r="H16" s="43"/>
      <c r="I16" s="297"/>
      <c r="J16" s="295">
        <v>1300</v>
      </c>
      <c r="K16" s="294">
        <f>J16*G16</f>
        <v>13000</v>
      </c>
      <c r="L16" s="213"/>
      <c r="M16" s="294"/>
      <c r="N16" s="296"/>
      <c r="O16" s="296"/>
      <c r="P16" s="696"/>
      <c r="Q16" s="698"/>
      <c r="R16" s="695"/>
      <c r="S16" s="696"/>
      <c r="T16" s="695"/>
      <c r="U16" s="276"/>
      <c r="V16" s="279"/>
      <c r="W16" s="43"/>
      <c r="X16" s="43"/>
    </row>
    <row r="17" spans="4:24" ht="15.6" x14ac:dyDescent="0.3">
      <c r="D17" s="245">
        <v>5</v>
      </c>
      <c r="E17" s="585" t="s">
        <v>136</v>
      </c>
      <c r="F17" s="258" t="s">
        <v>15</v>
      </c>
      <c r="G17" s="69">
        <v>10</v>
      </c>
      <c r="H17" s="43"/>
      <c r="I17" s="297"/>
      <c r="J17" s="295">
        <v>1300</v>
      </c>
      <c r="K17" s="294">
        <f t="shared" ref="K17:K35" si="0">J17*G17</f>
        <v>13000</v>
      </c>
      <c r="L17" s="213"/>
      <c r="M17" s="294">
        <v>100</v>
      </c>
      <c r="N17" s="294">
        <v>206.06</v>
      </c>
      <c r="O17" s="294">
        <f>M17*N17</f>
        <v>20606</v>
      </c>
      <c r="P17" s="696" t="s">
        <v>153</v>
      </c>
      <c r="Q17" s="698"/>
      <c r="R17" s="695"/>
      <c r="S17" s="696"/>
      <c r="T17" s="695"/>
      <c r="U17" s="276"/>
      <c r="V17" s="279"/>
      <c r="W17" s="43"/>
      <c r="X17" s="43"/>
    </row>
    <row r="18" spans="4:24" ht="15.6" x14ac:dyDescent="0.3">
      <c r="D18" s="245">
        <v>6</v>
      </c>
      <c r="E18" s="585" t="s">
        <v>138</v>
      </c>
      <c r="F18" s="258" t="s">
        <v>15</v>
      </c>
      <c r="G18" s="69">
        <v>10</v>
      </c>
      <c r="H18" s="43"/>
      <c r="I18" s="297"/>
      <c r="J18" s="295">
        <v>1300</v>
      </c>
      <c r="K18" s="294">
        <f t="shared" si="0"/>
        <v>13000</v>
      </c>
      <c r="L18" s="213"/>
      <c r="M18" s="294">
        <v>100</v>
      </c>
      <c r="N18" s="294">
        <v>315.83</v>
      </c>
      <c r="O18" s="294">
        <f>M18*N18</f>
        <v>31583</v>
      </c>
      <c r="P18" s="696"/>
      <c r="Q18" s="698"/>
      <c r="R18" s="695"/>
      <c r="S18" s="696"/>
      <c r="T18" s="695"/>
      <c r="U18" s="276"/>
      <c r="V18" s="279"/>
      <c r="W18" s="43"/>
      <c r="X18" s="43"/>
    </row>
    <row r="19" spans="4:24" ht="15.6" x14ac:dyDescent="0.3">
      <c r="D19" s="245">
        <v>7</v>
      </c>
      <c r="E19" s="585" t="s">
        <v>140</v>
      </c>
      <c r="F19" s="258" t="s">
        <v>15</v>
      </c>
      <c r="G19" s="69">
        <v>4</v>
      </c>
      <c r="H19" s="43"/>
      <c r="I19" s="297"/>
      <c r="J19" s="295">
        <v>1922</v>
      </c>
      <c r="K19" s="294">
        <f t="shared" si="0"/>
        <v>7688</v>
      </c>
      <c r="L19" s="213"/>
      <c r="M19" s="294"/>
      <c r="N19" s="294"/>
      <c r="O19" s="294"/>
      <c r="P19" s="696"/>
      <c r="Q19" s="698"/>
      <c r="R19" s="695"/>
      <c r="S19" s="696"/>
      <c r="T19" s="695"/>
      <c r="U19" s="276"/>
      <c r="V19" s="279"/>
      <c r="W19" s="43"/>
      <c r="X19" s="43"/>
    </row>
    <row r="20" spans="4:24" ht="15.6" x14ac:dyDescent="0.3">
      <c r="D20" s="245">
        <v>8</v>
      </c>
      <c r="E20" s="585" t="s">
        <v>141</v>
      </c>
      <c r="F20" s="258" t="s">
        <v>15</v>
      </c>
      <c r="G20" s="69">
        <v>2</v>
      </c>
      <c r="H20" s="43"/>
      <c r="I20" s="297"/>
      <c r="J20" s="295">
        <v>1922</v>
      </c>
      <c r="K20" s="294">
        <f t="shared" si="0"/>
        <v>3844</v>
      </c>
      <c r="L20" s="213"/>
      <c r="M20" s="294"/>
      <c r="N20" s="294"/>
      <c r="O20" s="294"/>
      <c r="P20" s="696"/>
      <c r="Q20" s="698"/>
      <c r="R20" s="695"/>
      <c r="S20" s="696"/>
      <c r="T20" s="695"/>
      <c r="U20" s="276"/>
      <c r="V20" s="279"/>
      <c r="W20" s="43"/>
      <c r="X20" s="43"/>
    </row>
    <row r="21" spans="4:24" ht="15.6" x14ac:dyDescent="0.3">
      <c r="D21" s="245">
        <v>9</v>
      </c>
      <c r="E21" s="585" t="s">
        <v>142</v>
      </c>
      <c r="F21" s="258" t="s">
        <v>15</v>
      </c>
      <c r="G21" s="69">
        <v>1</v>
      </c>
      <c r="H21" s="43"/>
      <c r="I21" s="297"/>
      <c r="J21" s="295">
        <v>1922</v>
      </c>
      <c r="K21" s="294">
        <f t="shared" si="0"/>
        <v>1922</v>
      </c>
      <c r="L21" s="213"/>
      <c r="M21" s="294">
        <v>100</v>
      </c>
      <c r="N21" s="294">
        <v>440.29</v>
      </c>
      <c r="O21" s="294">
        <f>M21*N21</f>
        <v>44029</v>
      </c>
      <c r="P21" s="696"/>
      <c r="Q21" s="698"/>
      <c r="R21" s="695"/>
      <c r="S21" s="696"/>
      <c r="T21" s="695"/>
      <c r="U21" s="276"/>
      <c r="V21" s="279"/>
      <c r="W21" s="43"/>
      <c r="X21" s="43"/>
    </row>
    <row r="22" spans="4:24" ht="16.2" thickBot="1" x14ac:dyDescent="0.35">
      <c r="D22" s="245">
        <v>10</v>
      </c>
      <c r="E22" s="585" t="s">
        <v>143</v>
      </c>
      <c r="F22" s="258" t="s">
        <v>15</v>
      </c>
      <c r="G22" s="69">
        <v>4</v>
      </c>
      <c r="H22" s="43"/>
      <c r="I22" s="297"/>
      <c r="J22" s="295">
        <v>1922</v>
      </c>
      <c r="K22" s="294">
        <f t="shared" si="0"/>
        <v>7688</v>
      </c>
      <c r="L22" s="213"/>
      <c r="M22" s="294"/>
      <c r="N22" s="294"/>
      <c r="O22" s="294"/>
      <c r="P22" s="696"/>
      <c r="Q22" s="214">
        <v>56028</v>
      </c>
      <c r="R22" s="213">
        <f>Q22*G22</f>
        <v>224112</v>
      </c>
      <c r="S22" s="276">
        <v>55117.857142857138</v>
      </c>
      <c r="T22" s="279">
        <f>G22*S22</f>
        <v>220471.42857142855</v>
      </c>
      <c r="U22" s="276"/>
      <c r="V22" s="279"/>
      <c r="W22" s="43"/>
      <c r="X22" s="43"/>
    </row>
    <row r="23" spans="4:24" ht="16.2" thickBot="1" x14ac:dyDescent="0.35">
      <c r="D23" s="245">
        <v>11</v>
      </c>
      <c r="E23" s="1678" t="s">
        <v>139</v>
      </c>
      <c r="F23" s="258" t="s">
        <v>15</v>
      </c>
      <c r="G23" s="69">
        <v>4</v>
      </c>
      <c r="H23" s="43"/>
      <c r="I23" s="297"/>
      <c r="J23" s="295">
        <v>1922</v>
      </c>
      <c r="K23" s="294">
        <f t="shared" si="0"/>
        <v>7688</v>
      </c>
      <c r="L23" s="213"/>
      <c r="M23" s="294"/>
      <c r="N23" s="294"/>
      <c r="O23" s="294"/>
      <c r="P23" s="696"/>
      <c r="Q23" s="214"/>
      <c r="R23" s="213"/>
      <c r="S23" s="696"/>
      <c r="T23" s="695"/>
      <c r="U23" s="276"/>
      <c r="V23" s="279"/>
      <c r="W23" s="43"/>
      <c r="X23" s="43"/>
    </row>
    <row r="24" spans="4:24" ht="15.6" x14ac:dyDescent="0.3">
      <c r="D24" s="245">
        <v>12</v>
      </c>
      <c r="E24" s="585" t="s">
        <v>144</v>
      </c>
      <c r="F24" s="258" t="s">
        <v>15</v>
      </c>
      <c r="G24" s="69">
        <v>1</v>
      </c>
      <c r="H24" s="43"/>
      <c r="I24" s="297"/>
      <c r="J24" s="295">
        <v>3125</v>
      </c>
      <c r="K24" s="294">
        <f t="shared" si="0"/>
        <v>3125</v>
      </c>
      <c r="L24" s="213"/>
      <c r="M24" s="294"/>
      <c r="N24" s="294"/>
      <c r="O24" s="294"/>
      <c r="P24" s="696"/>
      <c r="Q24" s="214"/>
      <c r="R24" s="213"/>
      <c r="S24" s="696"/>
      <c r="T24" s="695"/>
      <c r="U24" s="276"/>
      <c r="V24" s="279"/>
      <c r="W24" s="43"/>
      <c r="X24" s="43"/>
    </row>
    <row r="25" spans="4:24" ht="15.6" x14ac:dyDescent="0.3">
      <c r="D25" s="245">
        <v>13</v>
      </c>
      <c r="E25" s="585" t="s">
        <v>145</v>
      </c>
      <c r="F25" s="258" t="s">
        <v>15</v>
      </c>
      <c r="G25" s="69">
        <v>1</v>
      </c>
      <c r="H25" s="43"/>
      <c r="I25" s="297"/>
      <c r="J25" s="295">
        <v>3125</v>
      </c>
      <c r="K25" s="294">
        <f t="shared" si="0"/>
        <v>3125</v>
      </c>
      <c r="L25" s="213"/>
      <c r="M25" s="294"/>
      <c r="N25" s="294"/>
      <c r="O25" s="294"/>
      <c r="P25" s="696"/>
      <c r="Q25" s="214"/>
      <c r="R25" s="213"/>
      <c r="S25" s="696"/>
      <c r="T25" s="695"/>
      <c r="U25" s="276"/>
      <c r="V25" s="279"/>
      <c r="W25" s="43"/>
      <c r="X25" s="43"/>
    </row>
    <row r="26" spans="4:24" ht="15.6" x14ac:dyDescent="0.3">
      <c r="D26" s="245">
        <v>14</v>
      </c>
      <c r="E26" s="585" t="s">
        <v>146</v>
      </c>
      <c r="F26" s="258" t="s">
        <v>15</v>
      </c>
      <c r="G26" s="69">
        <v>1</v>
      </c>
      <c r="H26" s="43"/>
      <c r="I26" s="297"/>
      <c r="J26" s="295">
        <v>3125</v>
      </c>
      <c r="K26" s="294">
        <f t="shared" si="0"/>
        <v>3125</v>
      </c>
      <c r="L26" s="213"/>
      <c r="M26" s="294">
        <v>100</v>
      </c>
      <c r="N26" s="294">
        <v>701.44</v>
      </c>
      <c r="O26" s="294">
        <f>M26*N26</f>
        <v>70144</v>
      </c>
      <c r="P26" s="696"/>
      <c r="Q26" s="214"/>
      <c r="R26" s="213"/>
      <c r="S26" s="696"/>
      <c r="T26" s="695"/>
      <c r="U26" s="276"/>
      <c r="V26" s="279"/>
      <c r="W26" s="43"/>
      <c r="X26" s="43"/>
    </row>
    <row r="27" spans="4:24" ht="15.6" x14ac:dyDescent="0.3">
      <c r="D27" s="245">
        <v>15</v>
      </c>
      <c r="E27" s="585" t="s">
        <v>147</v>
      </c>
      <c r="F27" s="258" t="s">
        <v>15</v>
      </c>
      <c r="G27" s="69">
        <v>1</v>
      </c>
      <c r="H27" s="43"/>
      <c r="I27" s="297"/>
      <c r="J27" s="295">
        <v>3125</v>
      </c>
      <c r="K27" s="294">
        <f t="shared" si="0"/>
        <v>3125</v>
      </c>
      <c r="L27" s="213"/>
      <c r="M27" s="294"/>
      <c r="N27" s="294"/>
      <c r="O27" s="294"/>
      <c r="P27" s="696"/>
      <c r="Q27" s="214"/>
      <c r="R27" s="213"/>
      <c r="S27" s="696"/>
      <c r="T27" s="695"/>
      <c r="U27" s="276"/>
      <c r="V27" s="279"/>
      <c r="W27" s="43"/>
      <c r="X27" s="43"/>
    </row>
    <row r="28" spans="4:24" ht="15.6" x14ac:dyDescent="0.3">
      <c r="D28" s="245">
        <v>16</v>
      </c>
      <c r="E28" s="585" t="s">
        <v>1121</v>
      </c>
      <c r="F28" s="258" t="s">
        <v>15</v>
      </c>
      <c r="G28" s="69">
        <v>1</v>
      </c>
      <c r="H28" s="43"/>
      <c r="I28" s="297"/>
      <c r="J28" s="295">
        <v>3125</v>
      </c>
      <c r="K28" s="294">
        <f t="shared" si="0"/>
        <v>3125</v>
      </c>
      <c r="L28" s="213"/>
      <c r="M28" s="294">
        <v>100</v>
      </c>
      <c r="N28" s="294">
        <v>1055.46</v>
      </c>
      <c r="O28" s="294">
        <f>M28*N28</f>
        <v>105546</v>
      </c>
      <c r="P28" s="696"/>
      <c r="Q28" s="214"/>
      <c r="R28" s="213"/>
      <c r="S28" s="696"/>
      <c r="T28" s="695"/>
      <c r="U28" s="276"/>
      <c r="V28" s="279"/>
      <c r="W28" s="43"/>
      <c r="X28" s="43"/>
    </row>
    <row r="29" spans="4:24" ht="15.6" x14ac:dyDescent="0.3">
      <c r="D29" s="245">
        <v>17</v>
      </c>
      <c r="E29" s="585" t="s">
        <v>1122</v>
      </c>
      <c r="F29" s="258" t="s">
        <v>15</v>
      </c>
      <c r="G29" s="69">
        <v>1</v>
      </c>
      <c r="H29" s="43"/>
      <c r="I29" s="297"/>
      <c r="J29" s="295">
        <v>5425</v>
      </c>
      <c r="K29" s="294">
        <f t="shared" si="0"/>
        <v>5425</v>
      </c>
      <c r="L29" s="213"/>
      <c r="M29" s="294"/>
      <c r="N29" s="296"/>
      <c r="O29" s="296"/>
      <c r="P29" s="696"/>
      <c r="Q29" s="214"/>
      <c r="R29" s="213"/>
      <c r="S29" s="696"/>
      <c r="T29" s="695"/>
      <c r="U29" s="276"/>
      <c r="V29" s="279"/>
      <c r="W29" s="43"/>
      <c r="X29" s="43"/>
    </row>
    <row r="30" spans="4:24" ht="15.6" x14ac:dyDescent="0.3">
      <c r="D30" s="245">
        <v>18</v>
      </c>
      <c r="E30" s="585" t="s">
        <v>148</v>
      </c>
      <c r="F30" s="258" t="s">
        <v>15</v>
      </c>
      <c r="G30" s="69">
        <v>1</v>
      </c>
      <c r="H30" s="43"/>
      <c r="I30" s="297"/>
      <c r="J30" s="295">
        <v>5425</v>
      </c>
      <c r="K30" s="294">
        <f t="shared" si="0"/>
        <v>5425</v>
      </c>
      <c r="L30" s="213"/>
      <c r="M30" s="294"/>
      <c r="N30" s="296"/>
      <c r="O30" s="296"/>
      <c r="P30" s="696"/>
      <c r="Q30" s="214"/>
      <c r="R30" s="213"/>
      <c r="S30" s="696"/>
      <c r="T30" s="695"/>
      <c r="U30" s="276"/>
      <c r="V30" s="279"/>
      <c r="W30" s="43"/>
      <c r="X30" s="43"/>
    </row>
    <row r="31" spans="4:24" ht="15.6" x14ac:dyDescent="0.3">
      <c r="D31" s="245">
        <v>21</v>
      </c>
      <c r="E31" s="585" t="s">
        <v>149</v>
      </c>
      <c r="F31" s="258" t="s">
        <v>12</v>
      </c>
      <c r="G31" s="69">
        <v>75</v>
      </c>
      <c r="H31" s="43"/>
      <c r="I31" s="297"/>
      <c r="J31" s="295">
        <v>62600</v>
      </c>
      <c r="K31" s="294">
        <f t="shared" si="0"/>
        <v>4695000</v>
      </c>
      <c r="L31" s="213"/>
      <c r="M31" s="294"/>
      <c r="N31" s="296"/>
      <c r="O31" s="296"/>
      <c r="P31" s="696"/>
      <c r="Q31" s="214"/>
      <c r="R31" s="213"/>
      <c r="S31" s="696"/>
      <c r="T31" s="695"/>
      <c r="U31" s="276"/>
      <c r="V31" s="279"/>
      <c r="W31" s="43"/>
      <c r="X31" s="43"/>
    </row>
    <row r="32" spans="4:24" ht="15.6" x14ac:dyDescent="0.3">
      <c r="D32" s="245">
        <v>22</v>
      </c>
      <c r="E32" s="585" t="s">
        <v>150</v>
      </c>
      <c r="F32" s="258" t="s">
        <v>12</v>
      </c>
      <c r="G32" s="69">
        <v>640</v>
      </c>
      <c r="H32" s="43"/>
      <c r="I32" s="297"/>
      <c r="J32" s="295">
        <v>90000</v>
      </c>
      <c r="K32" s="294">
        <f t="shared" si="0"/>
        <v>57600000</v>
      </c>
      <c r="L32" s="213"/>
      <c r="M32" s="294"/>
      <c r="N32" s="296"/>
      <c r="O32" s="296"/>
      <c r="P32" s="696"/>
      <c r="Q32" s="214"/>
      <c r="R32" s="213"/>
      <c r="S32" s="696"/>
      <c r="T32" s="695"/>
      <c r="U32" s="276"/>
      <c r="V32" s="279"/>
      <c r="W32" s="43"/>
      <c r="X32" s="43"/>
    </row>
    <row r="33" spans="4:51" ht="15.6" x14ac:dyDescent="0.3">
      <c r="D33" s="245">
        <v>23</v>
      </c>
      <c r="E33" s="585" t="s">
        <v>151</v>
      </c>
      <c r="F33" s="258" t="s">
        <v>298</v>
      </c>
      <c r="G33" s="69">
        <v>8</v>
      </c>
      <c r="H33" s="43"/>
      <c r="I33" s="297"/>
      <c r="J33" s="295">
        <v>25000</v>
      </c>
      <c r="K33" s="294">
        <f t="shared" si="0"/>
        <v>200000</v>
      </c>
      <c r="L33" s="213"/>
      <c r="M33" s="294"/>
      <c r="N33" s="296"/>
      <c r="O33" s="296"/>
      <c r="P33" s="696"/>
      <c r="Q33" s="214"/>
      <c r="R33" s="213"/>
      <c r="S33" s="696"/>
      <c r="T33" s="695"/>
      <c r="U33" s="276"/>
      <c r="V33" s="279"/>
      <c r="W33" s="43"/>
      <c r="X33" s="43"/>
    </row>
    <row r="34" spans="4:51" ht="15.6" x14ac:dyDescent="0.3">
      <c r="D34" s="245">
        <v>24</v>
      </c>
      <c r="E34" s="585" t="s">
        <v>152</v>
      </c>
      <c r="F34" s="258" t="s">
        <v>12</v>
      </c>
      <c r="G34" s="69">
        <v>50</v>
      </c>
      <c r="H34" s="43"/>
      <c r="I34" s="297"/>
      <c r="J34" s="295">
        <v>35000</v>
      </c>
      <c r="K34" s="294">
        <f t="shared" si="0"/>
        <v>1750000</v>
      </c>
      <c r="L34" s="213"/>
      <c r="M34" s="294"/>
      <c r="N34" s="296"/>
      <c r="O34" s="296"/>
      <c r="P34" s="696"/>
      <c r="Q34" s="214"/>
      <c r="R34" s="213"/>
      <c r="S34" s="696"/>
      <c r="T34" s="695"/>
      <c r="U34" s="276"/>
      <c r="V34" s="279"/>
      <c r="W34" s="43"/>
      <c r="X34" s="43"/>
    </row>
    <row r="35" spans="4:51" ht="16.2" thickBot="1" x14ac:dyDescent="0.35">
      <c r="D35" s="245"/>
      <c r="E35" s="282" t="s">
        <v>316</v>
      </c>
      <c r="F35" s="559" t="s">
        <v>12</v>
      </c>
      <c r="G35" s="69">
        <v>78</v>
      </c>
      <c r="H35" s="43"/>
      <c r="I35" s="297"/>
      <c r="J35" s="295">
        <v>42500</v>
      </c>
      <c r="K35" s="294">
        <f t="shared" si="0"/>
        <v>3315000</v>
      </c>
      <c r="L35" s="213"/>
      <c r="M35" s="294"/>
      <c r="N35" s="296"/>
      <c r="O35" s="296"/>
      <c r="P35" s="696"/>
      <c r="Q35" s="214">
        <v>8990</v>
      </c>
      <c r="R35" s="213">
        <f>Q35*G35</f>
        <v>701220</v>
      </c>
      <c r="S35" s="696"/>
      <c r="T35" s="695"/>
      <c r="U35" s="276"/>
      <c r="V35" s="279"/>
      <c r="W35" s="43"/>
      <c r="X35" s="43"/>
    </row>
    <row r="36" spans="4:51" ht="18.600000000000001" thickBot="1" x14ac:dyDescent="0.35">
      <c r="D36" s="247"/>
      <c r="E36" s="283"/>
      <c r="F36" s="284"/>
      <c r="G36" s="65"/>
      <c r="H36" s="13"/>
      <c r="I36" s="13"/>
      <c r="J36" s="10" t="s">
        <v>10</v>
      </c>
      <c r="K36" s="227">
        <f>SUM(K19:K35)</f>
        <v>67615305</v>
      </c>
      <c r="L36" s="215"/>
      <c r="M36" s="298"/>
      <c r="N36" s="299" t="s">
        <v>10</v>
      </c>
      <c r="O36" s="227">
        <f>SUM(O16:O34)</f>
        <v>271908</v>
      </c>
      <c r="P36" s="215"/>
      <c r="Q36" s="280"/>
      <c r="R36" s="215">
        <f>R35+R22</f>
        <v>925332</v>
      </c>
      <c r="S36" s="215"/>
      <c r="T36" s="215">
        <f>T22</f>
        <v>220471.42857142855</v>
      </c>
      <c r="U36" s="187" t="s">
        <v>10</v>
      </c>
      <c r="V36" s="280">
        <f>SUM(V16:V34)</f>
        <v>0</v>
      </c>
      <c r="W36" s="16"/>
      <c r="X36" s="16"/>
    </row>
    <row r="37" spans="4:51" ht="34.5" customHeight="1" thickBot="1" x14ac:dyDescent="0.35">
      <c r="D37" s="265"/>
      <c r="E37" s="68"/>
      <c r="F37" s="241"/>
      <c r="G37" s="241"/>
      <c r="H37" s="4"/>
      <c r="I37" s="4"/>
      <c r="J37" s="1830"/>
      <c r="K37" s="1830"/>
      <c r="L37" s="263"/>
      <c r="M37" s="263"/>
      <c r="N37" s="1830"/>
      <c r="O37" s="1830"/>
      <c r="P37" s="263"/>
      <c r="Q37" s="560"/>
      <c r="R37" s="560"/>
      <c r="S37" s="1962" t="s">
        <v>392</v>
      </c>
      <c r="T37" s="1963"/>
      <c r="U37" s="1830"/>
      <c r="V37" s="1830"/>
      <c r="W37" s="6"/>
      <c r="X37" s="6"/>
    </row>
    <row r="38" spans="4:51" ht="33.75" customHeight="1" x14ac:dyDescent="0.3">
      <c r="D38" s="265"/>
      <c r="E38" s="68"/>
      <c r="F38" s="241"/>
      <c r="G38" s="241"/>
      <c r="H38" s="4"/>
      <c r="I38" s="4"/>
      <c r="J38" s="1830"/>
      <c r="K38" s="1830"/>
      <c r="L38" s="263"/>
      <c r="M38" s="263"/>
      <c r="N38" s="1830"/>
      <c r="O38" s="1830"/>
      <c r="P38" s="263"/>
      <c r="Q38" s="560"/>
      <c r="R38" s="560"/>
      <c r="S38" s="697"/>
      <c r="T38" s="697"/>
      <c r="U38" s="1830"/>
      <c r="V38" s="1830"/>
      <c r="W38" s="6"/>
      <c r="X38" s="6"/>
    </row>
    <row r="39" spans="4:51" s="43" customFormat="1" ht="23.25" customHeight="1" x14ac:dyDescent="0.3">
      <c r="D39" s="265"/>
      <c r="E39" s="68"/>
      <c r="F39" s="241"/>
      <c r="G39" s="241"/>
      <c r="H39" s="6"/>
      <c r="I39" s="6"/>
      <c r="J39" s="1830"/>
      <c r="K39" s="1830"/>
      <c r="L39" s="263"/>
      <c r="M39" s="263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4:51" ht="16.2" thickBot="1" x14ac:dyDescent="0.35">
      <c r="D40" s="265"/>
      <c r="E40" s="68"/>
      <c r="F40" s="241"/>
      <c r="G40" s="241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</row>
    <row r="41" spans="4:51" ht="21" x14ac:dyDescent="0.4">
      <c r="D41" s="1679"/>
      <c r="E41" s="1680"/>
      <c r="F41" s="1680"/>
      <c r="G41" s="1681"/>
      <c r="H41" s="1682"/>
      <c r="I41" s="2130" t="s">
        <v>1123</v>
      </c>
      <c r="J41" s="2131"/>
      <c r="K41" s="2132"/>
      <c r="L41" s="2130" t="s">
        <v>1124</v>
      </c>
      <c r="M41" s="2131"/>
      <c r="N41" s="2132"/>
      <c r="O41" s="2138" t="s">
        <v>1125</v>
      </c>
      <c r="P41" s="2139"/>
      <c r="Q41" s="2140"/>
      <c r="R41" s="2138" t="s">
        <v>1126</v>
      </c>
      <c r="S41" s="2139"/>
      <c r="T41" s="2140"/>
      <c r="U41" s="2138" t="s">
        <v>386</v>
      </c>
      <c r="V41" s="2139"/>
      <c r="W41" s="2140"/>
      <c r="X41" s="2130" t="s">
        <v>1127</v>
      </c>
      <c r="Y41" s="2131"/>
      <c r="Z41" s="2132"/>
      <c r="AA41" s="2138" t="s">
        <v>1128</v>
      </c>
      <c r="AB41" s="2139"/>
      <c r="AC41" s="2140"/>
      <c r="AD41" s="2130" t="s">
        <v>1129</v>
      </c>
      <c r="AE41" s="2131"/>
      <c r="AF41" s="2132"/>
      <c r="AG41" s="2138" t="s">
        <v>1130</v>
      </c>
      <c r="AH41" s="2139"/>
      <c r="AI41" s="2140"/>
      <c r="AJ41" s="2138" t="s">
        <v>1131</v>
      </c>
      <c r="AK41" s="2139"/>
      <c r="AL41" s="2140"/>
      <c r="AM41" s="2138" t="s">
        <v>133</v>
      </c>
      <c r="AN41" s="2139"/>
      <c r="AO41" s="2139"/>
      <c r="AP41" s="1683"/>
      <c r="AQ41" s="1684"/>
      <c r="AR41" s="2142" t="s">
        <v>1132</v>
      </c>
      <c r="AS41" s="2143"/>
      <c r="AT41" s="1684"/>
      <c r="AU41" s="2144" t="s">
        <v>1133</v>
      </c>
      <c r="AV41" s="2145"/>
      <c r="AW41" s="2144" t="s">
        <v>1134</v>
      </c>
      <c r="AX41" s="2145"/>
      <c r="AY41" s="1685"/>
    </row>
    <row r="42" spans="4:51" ht="20.399999999999999" x14ac:dyDescent="0.35">
      <c r="D42" s="1686"/>
      <c r="E42" s="1687" t="s">
        <v>1135</v>
      </c>
      <c r="F42" s="1688"/>
      <c r="G42" s="1689"/>
      <c r="H42" s="1690" t="s">
        <v>9</v>
      </c>
      <c r="I42" s="1691" t="s">
        <v>9</v>
      </c>
      <c r="J42" s="1687" t="s">
        <v>10</v>
      </c>
      <c r="K42" s="1690" t="s">
        <v>29</v>
      </c>
      <c r="L42" s="1691" t="s">
        <v>9</v>
      </c>
      <c r="M42" s="1687" t="s">
        <v>10</v>
      </c>
      <c r="N42" s="1690" t="s">
        <v>29</v>
      </c>
      <c r="O42" s="1691" t="s">
        <v>9</v>
      </c>
      <c r="P42" s="1687" t="s">
        <v>10</v>
      </c>
      <c r="Q42" s="1690" t="s">
        <v>29</v>
      </c>
      <c r="R42" s="1691" t="s">
        <v>9</v>
      </c>
      <c r="S42" s="1687" t="s">
        <v>10</v>
      </c>
      <c r="T42" s="1690" t="s">
        <v>29</v>
      </c>
      <c r="U42" s="1691" t="s">
        <v>9</v>
      </c>
      <c r="V42" s="1687" t="s">
        <v>10</v>
      </c>
      <c r="W42" s="1690" t="s">
        <v>29</v>
      </c>
      <c r="X42" s="1691" t="s">
        <v>9</v>
      </c>
      <c r="Y42" s="1687" t="s">
        <v>10</v>
      </c>
      <c r="Z42" s="1690" t="s">
        <v>29</v>
      </c>
      <c r="AA42" s="1691" t="s">
        <v>9</v>
      </c>
      <c r="AB42" s="1687" t="s">
        <v>10</v>
      </c>
      <c r="AC42" s="1692" t="s">
        <v>29</v>
      </c>
      <c r="AD42" s="1691" t="s">
        <v>9</v>
      </c>
      <c r="AE42" s="1687" t="s">
        <v>10</v>
      </c>
      <c r="AF42" s="1692" t="s">
        <v>29</v>
      </c>
      <c r="AG42" s="1691" t="s">
        <v>9</v>
      </c>
      <c r="AH42" s="1687" t="s">
        <v>10</v>
      </c>
      <c r="AI42" s="1692" t="s">
        <v>29</v>
      </c>
      <c r="AJ42" s="1691" t="s">
        <v>9</v>
      </c>
      <c r="AK42" s="1687" t="s">
        <v>10</v>
      </c>
      <c r="AL42" s="1692" t="s">
        <v>29</v>
      </c>
      <c r="AM42" s="1691" t="s">
        <v>9</v>
      </c>
      <c r="AN42" s="1687" t="s">
        <v>10</v>
      </c>
      <c r="AO42" s="1687" t="s">
        <v>29</v>
      </c>
      <c r="AP42" s="1693"/>
      <c r="AQ42" s="1684"/>
      <c r="AR42" s="1686"/>
      <c r="AS42" s="142"/>
      <c r="AT42" s="1684"/>
      <c r="AU42" s="1686"/>
      <c r="AV42" s="142"/>
      <c r="AW42" s="1686"/>
      <c r="AX42" s="1693"/>
      <c r="AY42" s="1694"/>
    </row>
    <row r="43" spans="4:51" ht="147" x14ac:dyDescent="0.3">
      <c r="D43" s="1695">
        <v>1</v>
      </c>
      <c r="E43" s="1696" t="s">
        <v>1136</v>
      </c>
      <c r="F43" s="1697" t="s">
        <v>1137</v>
      </c>
      <c r="G43" s="1698">
        <v>4000</v>
      </c>
      <c r="H43" s="1699">
        <v>1279</v>
      </c>
      <c r="I43" s="1700">
        <v>1200</v>
      </c>
      <c r="J43" s="1701">
        <f>G43*I43</f>
        <v>4800000</v>
      </c>
      <c r="K43" s="1699" t="s">
        <v>1043</v>
      </c>
      <c r="L43" s="1702">
        <v>1375</v>
      </c>
      <c r="M43" s="1701">
        <f>L43*G43</f>
        <v>5500000</v>
      </c>
      <c r="N43" s="1699"/>
      <c r="O43" s="1702"/>
      <c r="P43" s="1701"/>
      <c r="Q43" s="1699"/>
      <c r="R43" s="1702"/>
      <c r="S43" s="1701"/>
      <c r="T43" s="1699"/>
      <c r="U43" s="1700">
        <v>1279.76</v>
      </c>
      <c r="V43" s="1701">
        <f>U43*G43</f>
        <v>5119040</v>
      </c>
      <c r="W43" s="1699"/>
      <c r="X43" s="1703">
        <v>1439.28</v>
      </c>
      <c r="Y43" s="1704">
        <f>X43*G43</f>
        <v>5757120</v>
      </c>
      <c r="Z43" s="1705"/>
      <c r="AA43" s="1703">
        <f>170000/100</f>
        <v>1700</v>
      </c>
      <c r="AB43" s="1704">
        <f>AA43*G43</f>
        <v>6800000</v>
      </c>
      <c r="AC43" s="1705"/>
      <c r="AD43" s="1706">
        <v>1290</v>
      </c>
      <c r="AE43" s="1704">
        <f>AD43*G43</f>
        <v>5160000</v>
      </c>
      <c r="AF43" s="1705"/>
      <c r="AG43" s="1702">
        <v>1332</v>
      </c>
      <c r="AH43" s="1701">
        <f>AG43*G43</f>
        <v>5328000</v>
      </c>
      <c r="AI43" s="1699"/>
      <c r="AJ43" s="1703">
        <f>130000/100</f>
        <v>1300</v>
      </c>
      <c r="AK43" s="1704">
        <f t="shared" ref="AK43:AK53" si="1">AJ43*G43</f>
        <v>5200000</v>
      </c>
      <c r="AL43" s="1705"/>
      <c r="AM43" s="1700">
        <v>800</v>
      </c>
      <c r="AN43" s="1704">
        <f>AM43*G43</f>
        <v>3200000</v>
      </c>
      <c r="AO43" s="1707" t="s">
        <v>1138</v>
      </c>
      <c r="AP43" s="1708" t="s">
        <v>1139</v>
      </c>
      <c r="AQ43" s="1709"/>
      <c r="AR43" s="1710">
        <v>800</v>
      </c>
      <c r="AS43" s="1711">
        <f>AR43*G43</f>
        <v>3200000</v>
      </c>
      <c r="AT43" s="1709"/>
      <c r="AU43" s="1710">
        <v>0</v>
      </c>
      <c r="AV43" s="1711">
        <f>AU43*G43</f>
        <v>0</v>
      </c>
      <c r="AW43" s="1710"/>
      <c r="AX43" s="1711">
        <f>AW43*G43</f>
        <v>0</v>
      </c>
      <c r="AY43" s="1712"/>
    </row>
    <row r="44" spans="4:51" ht="147" x14ac:dyDescent="0.3">
      <c r="D44" s="1695">
        <v>2</v>
      </c>
      <c r="E44" s="1696" t="s">
        <v>1140</v>
      </c>
      <c r="F44" s="1697" t="s">
        <v>1137</v>
      </c>
      <c r="G44" s="1698">
        <v>1900</v>
      </c>
      <c r="H44" s="1699">
        <v>1279</v>
      </c>
      <c r="I44" s="1700">
        <v>1200</v>
      </c>
      <c r="J44" s="1701">
        <f t="shared" ref="J44:J52" si="2">G44*I44</f>
        <v>2280000</v>
      </c>
      <c r="K44" s="1699" t="s">
        <v>1141</v>
      </c>
      <c r="L44" s="1702">
        <v>1375</v>
      </c>
      <c r="M44" s="1701">
        <f t="shared" ref="M44:M49" si="3">L44*G44</f>
        <v>2612500</v>
      </c>
      <c r="N44" s="1699"/>
      <c r="O44" s="1702"/>
      <c r="P44" s="1701"/>
      <c r="Q44" s="1699"/>
      <c r="R44" s="1702"/>
      <c r="S44" s="1701"/>
      <c r="T44" s="1699"/>
      <c r="U44" s="1700">
        <v>1279.76</v>
      </c>
      <c r="V44" s="1701">
        <f t="shared" ref="V44:V49" si="4">U44*G44</f>
        <v>2431544</v>
      </c>
      <c r="W44" s="1699"/>
      <c r="X44" s="1703">
        <v>1439.28</v>
      </c>
      <c r="Y44" s="1704">
        <f t="shared" ref="Y44:Y50" si="5">X44*G44</f>
        <v>2734632</v>
      </c>
      <c r="Z44" s="1705"/>
      <c r="AA44" s="1703">
        <v>1700</v>
      </c>
      <c r="AB44" s="1704">
        <f t="shared" ref="AB44:AB46" si="6">AA44*G44</f>
        <v>3230000</v>
      </c>
      <c r="AC44" s="1705"/>
      <c r="AD44" s="1706">
        <v>1290</v>
      </c>
      <c r="AE44" s="1704">
        <f t="shared" ref="AE44:AE49" si="7">AD44*G44</f>
        <v>2451000</v>
      </c>
      <c r="AF44" s="1705"/>
      <c r="AG44" s="1702">
        <v>1332</v>
      </c>
      <c r="AH44" s="1701">
        <f t="shared" ref="AH44:AH51" si="8">AG44*G44</f>
        <v>2530800</v>
      </c>
      <c r="AI44" s="1699"/>
      <c r="AJ44" s="1703">
        <f>130000/100</f>
        <v>1300</v>
      </c>
      <c r="AK44" s="1704">
        <f t="shared" si="1"/>
        <v>2470000</v>
      </c>
      <c r="AL44" s="1705"/>
      <c r="AM44" s="1713">
        <v>800</v>
      </c>
      <c r="AN44" s="1704">
        <f t="shared" ref="AN44:AN52" si="9">AM44*G44</f>
        <v>1520000</v>
      </c>
      <c r="AO44" s="1707" t="s">
        <v>1138</v>
      </c>
      <c r="AP44" s="1708" t="s">
        <v>1139</v>
      </c>
      <c r="AQ44" s="1709"/>
      <c r="AR44" s="1710">
        <v>800</v>
      </c>
      <c r="AS44" s="1711">
        <f t="shared" ref="AS44:AS53" si="10">AR44*G44</f>
        <v>1520000</v>
      </c>
      <c r="AT44" s="1709"/>
      <c r="AU44" s="1710">
        <v>0</v>
      </c>
      <c r="AV44" s="1711">
        <f t="shared" ref="AV44:AV51" si="11">AU44*G44</f>
        <v>0</v>
      </c>
      <c r="AW44" s="1710"/>
      <c r="AX44" s="1711">
        <f t="shared" ref="AX44:AX51" si="12">AW44*G44</f>
        <v>0</v>
      </c>
      <c r="AY44" s="1712"/>
    </row>
    <row r="45" spans="4:51" ht="126" x14ac:dyDescent="0.3">
      <c r="D45" s="1695">
        <v>3</v>
      </c>
      <c r="E45" s="1696" t="s">
        <v>1142</v>
      </c>
      <c r="F45" s="1697" t="s">
        <v>1137</v>
      </c>
      <c r="G45" s="1698">
        <v>1300</v>
      </c>
      <c r="H45" s="1699">
        <v>1923</v>
      </c>
      <c r="I45" s="1700">
        <v>1740</v>
      </c>
      <c r="J45" s="1701">
        <f t="shared" si="2"/>
        <v>2262000</v>
      </c>
      <c r="K45" s="1699" t="s">
        <v>1143</v>
      </c>
      <c r="L45" s="1702">
        <v>2275</v>
      </c>
      <c r="M45" s="1701">
        <f t="shared" si="3"/>
        <v>2957500</v>
      </c>
      <c r="N45" s="1699"/>
      <c r="O45" s="1703">
        <f>90000/100</f>
        <v>900</v>
      </c>
      <c r="P45" s="1704">
        <f>O45*G45</f>
        <v>1170000</v>
      </c>
      <c r="Q45" s="1705" t="s">
        <v>1144</v>
      </c>
      <c r="R45" s="1702"/>
      <c r="S45" s="1701"/>
      <c r="T45" s="1699"/>
      <c r="U45" s="1714">
        <v>1922.62</v>
      </c>
      <c r="V45" s="1701">
        <f t="shared" si="4"/>
        <v>2499406</v>
      </c>
      <c r="W45" s="1699"/>
      <c r="X45" s="1703">
        <v>2179.42</v>
      </c>
      <c r="Y45" s="1704">
        <f t="shared" si="5"/>
        <v>2833246</v>
      </c>
      <c r="Z45" s="1705"/>
      <c r="AA45" s="1703">
        <f>215000/100</f>
        <v>2150</v>
      </c>
      <c r="AB45" s="1704">
        <f t="shared" si="6"/>
        <v>2795000</v>
      </c>
      <c r="AC45" s="1705"/>
      <c r="AD45" s="1703">
        <v>2150</v>
      </c>
      <c r="AE45" s="1704">
        <f t="shared" si="7"/>
        <v>2795000</v>
      </c>
      <c r="AF45" s="1705"/>
      <c r="AG45" s="1702">
        <v>2004</v>
      </c>
      <c r="AH45" s="1701">
        <f t="shared" si="8"/>
        <v>2605200</v>
      </c>
      <c r="AI45" s="1699"/>
      <c r="AJ45" s="1706">
        <v>1800</v>
      </c>
      <c r="AK45" s="1704">
        <f t="shared" si="1"/>
        <v>2340000</v>
      </c>
      <c r="AL45" s="1705"/>
      <c r="AM45" s="1713">
        <v>900</v>
      </c>
      <c r="AN45" s="1704">
        <f t="shared" si="9"/>
        <v>1170000</v>
      </c>
      <c r="AO45" s="1707" t="s">
        <v>1138</v>
      </c>
      <c r="AP45" s="1708" t="s">
        <v>1145</v>
      </c>
      <c r="AQ45" s="1709"/>
      <c r="AR45" s="1710">
        <v>900</v>
      </c>
      <c r="AS45" s="1711">
        <f t="shared" si="10"/>
        <v>1170000</v>
      </c>
      <c r="AT45" s="1709"/>
      <c r="AU45" s="1710">
        <v>0</v>
      </c>
      <c r="AV45" s="1711">
        <f t="shared" si="11"/>
        <v>0</v>
      </c>
      <c r="AW45" s="1710"/>
      <c r="AX45" s="1711">
        <f t="shared" si="12"/>
        <v>0</v>
      </c>
      <c r="AY45" s="1712"/>
    </row>
    <row r="46" spans="4:51" ht="189" x14ac:dyDescent="0.3">
      <c r="D46" s="1695">
        <v>4</v>
      </c>
      <c r="E46" s="1696" t="s">
        <v>1146</v>
      </c>
      <c r="F46" s="1697" t="s">
        <v>1137</v>
      </c>
      <c r="G46" s="1698">
        <v>950</v>
      </c>
      <c r="H46" s="1715">
        <v>3125</v>
      </c>
      <c r="I46" s="1702">
        <v>3000</v>
      </c>
      <c r="J46" s="1701">
        <f t="shared" si="2"/>
        <v>2850000</v>
      </c>
      <c r="K46" s="1699"/>
      <c r="L46" s="1716">
        <v>3375</v>
      </c>
      <c r="M46" s="1701">
        <f t="shared" si="3"/>
        <v>3206250</v>
      </c>
      <c r="N46" s="1699"/>
      <c r="O46" s="1703">
        <f>300000/100</f>
        <v>3000</v>
      </c>
      <c r="P46" s="1704">
        <f>O46*G46</f>
        <v>2850000</v>
      </c>
      <c r="Q46" s="1705" t="s">
        <v>1147</v>
      </c>
      <c r="R46" s="1702"/>
      <c r="S46" s="1701"/>
      <c r="T46" s="1699"/>
      <c r="U46" s="1716">
        <v>3125</v>
      </c>
      <c r="V46" s="1701">
        <f t="shared" si="4"/>
        <v>2968750</v>
      </c>
      <c r="W46" s="1699"/>
      <c r="X46" s="1703">
        <v>3621.42</v>
      </c>
      <c r="Y46" s="1704">
        <f t="shared" si="5"/>
        <v>3440349</v>
      </c>
      <c r="Z46" s="1705"/>
      <c r="AA46" s="1703">
        <f>330000/100</f>
        <v>3300</v>
      </c>
      <c r="AB46" s="1704">
        <f t="shared" si="6"/>
        <v>3135000</v>
      </c>
      <c r="AC46" s="1705"/>
      <c r="AD46" s="1703">
        <v>3000</v>
      </c>
      <c r="AE46" s="1704">
        <f t="shared" si="7"/>
        <v>2850000</v>
      </c>
      <c r="AF46" s="1705"/>
      <c r="AG46" s="1716">
        <v>3096</v>
      </c>
      <c r="AH46" s="1701">
        <f t="shared" si="8"/>
        <v>2941200</v>
      </c>
      <c r="AI46" s="1699"/>
      <c r="AJ46" s="1713">
        <f>205000/100</f>
        <v>2050</v>
      </c>
      <c r="AK46" s="1704">
        <f t="shared" si="1"/>
        <v>1947500</v>
      </c>
      <c r="AL46" s="1705"/>
      <c r="AM46" s="1713">
        <v>1000</v>
      </c>
      <c r="AN46" s="1704">
        <f t="shared" si="9"/>
        <v>950000</v>
      </c>
      <c r="AO46" s="1707" t="s">
        <v>1138</v>
      </c>
      <c r="AP46" s="1708" t="s">
        <v>1148</v>
      </c>
      <c r="AQ46" s="1709"/>
      <c r="AR46" s="1710">
        <v>1000</v>
      </c>
      <c r="AS46" s="1711">
        <f t="shared" si="10"/>
        <v>950000</v>
      </c>
      <c r="AT46" s="1709"/>
      <c r="AU46" s="1710">
        <v>0</v>
      </c>
      <c r="AV46" s="1711">
        <f t="shared" si="11"/>
        <v>0</v>
      </c>
      <c r="AW46" s="1710"/>
      <c r="AX46" s="1711">
        <f t="shared" si="12"/>
        <v>0</v>
      </c>
      <c r="AY46" s="1712"/>
    </row>
    <row r="47" spans="4:51" ht="189" x14ac:dyDescent="0.3">
      <c r="D47" s="1695">
        <v>5</v>
      </c>
      <c r="E47" s="1696" t="s">
        <v>1149</v>
      </c>
      <c r="F47" s="1697" t="s">
        <v>1137</v>
      </c>
      <c r="G47" s="1698">
        <v>200</v>
      </c>
      <c r="H47" s="1699"/>
      <c r="I47" s="1716">
        <v>4700</v>
      </c>
      <c r="J47" s="1701">
        <f t="shared" si="2"/>
        <v>940000</v>
      </c>
      <c r="K47" s="1699"/>
      <c r="L47" s="1716">
        <v>5425</v>
      </c>
      <c r="M47" s="1701">
        <f t="shared" si="3"/>
        <v>1085000</v>
      </c>
      <c r="N47" s="1699"/>
      <c r="O47" s="1702"/>
      <c r="P47" s="1701"/>
      <c r="Q47" s="1699"/>
      <c r="R47" s="1703">
        <v>4150</v>
      </c>
      <c r="S47" s="1704">
        <f>R47*G47</f>
        <v>830000</v>
      </c>
      <c r="T47" s="1699"/>
      <c r="U47" s="1716">
        <v>5208</v>
      </c>
      <c r="V47" s="1701">
        <f t="shared" si="4"/>
        <v>1041600</v>
      </c>
      <c r="W47" s="1699"/>
      <c r="X47" s="1703">
        <v>4500</v>
      </c>
      <c r="Y47" s="1704">
        <f t="shared" si="5"/>
        <v>900000</v>
      </c>
      <c r="Z47" s="1705"/>
      <c r="AA47" s="1703"/>
      <c r="AB47" s="1704"/>
      <c r="AC47" s="1705"/>
      <c r="AD47" s="1703">
        <v>4900</v>
      </c>
      <c r="AE47" s="1704">
        <f t="shared" si="7"/>
        <v>980000</v>
      </c>
      <c r="AF47" s="1705"/>
      <c r="AG47" s="1716">
        <v>4864.4799999999996</v>
      </c>
      <c r="AH47" s="1701">
        <f t="shared" si="8"/>
        <v>972895.99999999988</v>
      </c>
      <c r="AI47" s="1699"/>
      <c r="AJ47" s="1713">
        <v>2950</v>
      </c>
      <c r="AK47" s="1704">
        <f t="shared" si="1"/>
        <v>590000</v>
      </c>
      <c r="AL47" s="1705"/>
      <c r="AM47" s="1713">
        <v>4500</v>
      </c>
      <c r="AN47" s="1704">
        <f t="shared" si="9"/>
        <v>900000</v>
      </c>
      <c r="AO47" s="1707" t="s">
        <v>1127</v>
      </c>
      <c r="AP47" s="1708" t="s">
        <v>1148</v>
      </c>
      <c r="AQ47" s="1709"/>
      <c r="AR47" s="1710"/>
      <c r="AS47" s="1711">
        <f t="shared" si="10"/>
        <v>0</v>
      </c>
      <c r="AT47" s="1709"/>
      <c r="AU47" s="1710">
        <f>I47</f>
        <v>4700</v>
      </c>
      <c r="AV47" s="1711">
        <f t="shared" si="11"/>
        <v>940000</v>
      </c>
      <c r="AW47" s="1710"/>
      <c r="AX47" s="1711">
        <f t="shared" si="12"/>
        <v>0</v>
      </c>
      <c r="AY47" s="1712"/>
    </row>
    <row r="48" spans="4:51" ht="147" x14ac:dyDescent="0.3">
      <c r="D48" s="1695">
        <v>6</v>
      </c>
      <c r="E48" s="1696" t="s">
        <v>1150</v>
      </c>
      <c r="F48" s="1697" t="s">
        <v>1137</v>
      </c>
      <c r="G48" s="1698">
        <v>30</v>
      </c>
      <c r="H48" s="1699">
        <v>46125</v>
      </c>
      <c r="I48" s="1716">
        <v>62666.67</v>
      </c>
      <c r="J48" s="1701">
        <f t="shared" si="2"/>
        <v>1880000.0999999999</v>
      </c>
      <c r="K48" s="1699"/>
      <c r="L48" s="1716">
        <v>47859</v>
      </c>
      <c r="M48" s="1701">
        <f t="shared" si="3"/>
        <v>1435770</v>
      </c>
      <c r="N48" s="1699"/>
      <c r="O48" s="1702"/>
      <c r="P48" s="1701"/>
      <c r="Q48" s="1699"/>
      <c r="R48" s="1702"/>
      <c r="S48" s="1701"/>
      <c r="T48" s="1699"/>
      <c r="U48" s="1716">
        <v>49188.1</v>
      </c>
      <c r="V48" s="1701">
        <f t="shared" si="4"/>
        <v>1475643</v>
      </c>
      <c r="W48" s="1699"/>
      <c r="X48" s="1703">
        <v>47000</v>
      </c>
      <c r="Y48" s="1704">
        <f t="shared" si="5"/>
        <v>1410000</v>
      </c>
      <c r="Z48" s="1705"/>
      <c r="AA48" s="1703"/>
      <c r="AB48" s="1704"/>
      <c r="AC48" s="1705"/>
      <c r="AD48" s="1703">
        <v>49800</v>
      </c>
      <c r="AE48" s="1704">
        <f t="shared" si="7"/>
        <v>1494000</v>
      </c>
      <c r="AF48" s="1705"/>
      <c r="AG48" s="1716">
        <v>47672</v>
      </c>
      <c r="AH48" s="1701">
        <f t="shared" si="8"/>
        <v>1430160</v>
      </c>
      <c r="AI48" s="1699"/>
      <c r="AJ48" s="1703"/>
      <c r="AK48" s="1704">
        <f t="shared" si="1"/>
        <v>0</v>
      </c>
      <c r="AL48" s="1705"/>
      <c r="AM48" s="1713">
        <v>47000</v>
      </c>
      <c r="AN48" s="1704">
        <f t="shared" si="9"/>
        <v>1410000</v>
      </c>
      <c r="AO48" s="1707" t="s">
        <v>1127</v>
      </c>
      <c r="AP48" s="1717" t="s">
        <v>1151</v>
      </c>
      <c r="AQ48" s="1709"/>
      <c r="AR48" s="1710"/>
      <c r="AS48" s="1711">
        <f t="shared" si="10"/>
        <v>0</v>
      </c>
      <c r="AT48" s="1709"/>
      <c r="AU48" s="1710">
        <f>I48</f>
        <v>62666.67</v>
      </c>
      <c r="AV48" s="1711">
        <f t="shared" si="11"/>
        <v>1880000.0999999999</v>
      </c>
      <c r="AW48" s="1710"/>
      <c r="AX48" s="1711">
        <f t="shared" si="12"/>
        <v>0</v>
      </c>
      <c r="AY48" s="1712"/>
    </row>
    <row r="49" spans="3:51" ht="121.8" customHeight="1" x14ac:dyDescent="0.3">
      <c r="D49" s="1695">
        <v>7</v>
      </c>
      <c r="E49" s="1696" t="s">
        <v>1152</v>
      </c>
      <c r="F49" s="1697" t="s">
        <v>1137</v>
      </c>
      <c r="G49" s="1698">
        <v>400</v>
      </c>
      <c r="H49" s="1699">
        <v>32000</v>
      </c>
      <c r="I49" s="1716">
        <v>80000</v>
      </c>
      <c r="J49" s="1701">
        <f t="shared" si="2"/>
        <v>32000000</v>
      </c>
      <c r="K49" s="1699"/>
      <c r="L49" s="1716">
        <v>83250</v>
      </c>
      <c r="M49" s="1701">
        <f t="shared" si="3"/>
        <v>33300000</v>
      </c>
      <c r="N49" s="1699"/>
      <c r="O49" s="1702"/>
      <c r="P49" s="1701"/>
      <c r="Q49" s="1699"/>
      <c r="R49" s="1702"/>
      <c r="S49" s="1701"/>
      <c r="T49" s="1699"/>
      <c r="U49" s="1716">
        <v>90361.45</v>
      </c>
      <c r="V49" s="1701">
        <f t="shared" si="4"/>
        <v>36144580</v>
      </c>
      <c r="W49" s="1699"/>
      <c r="X49" s="1703">
        <v>83500</v>
      </c>
      <c r="Y49" s="1704">
        <f>X49*G49</f>
        <v>33400000</v>
      </c>
      <c r="Z49" s="1705"/>
      <c r="AA49" s="1703"/>
      <c r="AB49" s="1704"/>
      <c r="AC49" s="1705"/>
      <c r="AD49" s="1703">
        <v>79850</v>
      </c>
      <c r="AE49" s="1704">
        <f t="shared" si="7"/>
        <v>31940000</v>
      </c>
      <c r="AF49" s="1705"/>
      <c r="AG49" s="1716">
        <v>87390.56</v>
      </c>
      <c r="AH49" s="1701">
        <f t="shared" si="8"/>
        <v>34956224</v>
      </c>
      <c r="AI49" s="1699"/>
      <c r="AJ49" s="1703">
        <v>90000</v>
      </c>
      <c r="AK49" s="1704">
        <f t="shared" si="1"/>
        <v>36000000</v>
      </c>
      <c r="AL49" s="1705"/>
      <c r="AM49" s="1713">
        <v>25000</v>
      </c>
      <c r="AN49" s="1704">
        <f t="shared" si="9"/>
        <v>10000000</v>
      </c>
      <c r="AO49" s="1707" t="s">
        <v>1138</v>
      </c>
      <c r="AP49" s="1717" t="s">
        <v>1151</v>
      </c>
      <c r="AQ49" s="1709"/>
      <c r="AR49" s="1710">
        <v>25000</v>
      </c>
      <c r="AS49" s="1711">
        <f t="shared" si="10"/>
        <v>10000000</v>
      </c>
      <c r="AT49" s="1709"/>
      <c r="AU49" s="1710">
        <v>0</v>
      </c>
      <c r="AV49" s="1711">
        <f t="shared" si="11"/>
        <v>0</v>
      </c>
      <c r="AW49" s="1710"/>
      <c r="AX49" s="1711">
        <f t="shared" si="12"/>
        <v>0</v>
      </c>
      <c r="AY49" s="1712"/>
    </row>
    <row r="50" spans="3:51" ht="147" x14ac:dyDescent="0.3">
      <c r="D50" s="1695">
        <v>8</v>
      </c>
      <c r="E50" s="1696" t="s">
        <v>1153</v>
      </c>
      <c r="F50" s="1697" t="s">
        <v>1137</v>
      </c>
      <c r="G50" s="1698">
        <v>50</v>
      </c>
      <c r="H50" s="1699">
        <v>80000</v>
      </c>
      <c r="I50" s="1702"/>
      <c r="J50" s="1701">
        <f t="shared" si="2"/>
        <v>0</v>
      </c>
      <c r="K50" s="1699"/>
      <c r="L50" s="1702"/>
      <c r="M50" s="1701"/>
      <c r="N50" s="1699"/>
      <c r="O50" s="1702"/>
      <c r="P50" s="1701"/>
      <c r="Q50" s="1699"/>
      <c r="R50" s="1702"/>
      <c r="S50" s="1701"/>
      <c r="T50" s="1699"/>
      <c r="U50" s="1702"/>
      <c r="V50" s="1701"/>
      <c r="W50" s="1699"/>
      <c r="X50" s="1703">
        <v>35000</v>
      </c>
      <c r="Y50" s="1704">
        <f t="shared" si="5"/>
        <v>1750000</v>
      </c>
      <c r="Z50" s="1705"/>
      <c r="AA50" s="1703"/>
      <c r="AB50" s="1704"/>
      <c r="AC50" s="1705"/>
      <c r="AD50" s="1703"/>
      <c r="AE50" s="1704"/>
      <c r="AF50" s="1705"/>
      <c r="AG50" s="1716">
        <v>40192.639999999999</v>
      </c>
      <c r="AH50" s="1701">
        <f t="shared" si="8"/>
        <v>2009632</v>
      </c>
      <c r="AI50" s="1699"/>
      <c r="AJ50" s="1703"/>
      <c r="AK50" s="1704">
        <f t="shared" si="1"/>
        <v>0</v>
      </c>
      <c r="AL50" s="1705"/>
      <c r="AM50" s="1713">
        <v>35000</v>
      </c>
      <c r="AN50" s="1704">
        <f t="shared" si="9"/>
        <v>1750000</v>
      </c>
      <c r="AO50" s="1707" t="s">
        <v>1127</v>
      </c>
      <c r="AP50" s="1717" t="s">
        <v>1151</v>
      </c>
      <c r="AQ50" s="1709"/>
      <c r="AR50" s="1710"/>
      <c r="AS50" s="1711">
        <f t="shared" si="10"/>
        <v>0</v>
      </c>
      <c r="AT50" s="1709"/>
      <c r="AU50" s="1710">
        <f>AM50</f>
        <v>35000</v>
      </c>
      <c r="AV50" s="1711">
        <f t="shared" si="11"/>
        <v>1750000</v>
      </c>
      <c r="AW50" s="1710"/>
      <c r="AX50" s="1711">
        <f t="shared" si="12"/>
        <v>0</v>
      </c>
      <c r="AY50" s="1712"/>
    </row>
    <row r="51" spans="3:51" ht="35.4" customHeight="1" x14ac:dyDescent="0.3">
      <c r="C51" s="1718"/>
      <c r="D51" s="1695">
        <v>9</v>
      </c>
      <c r="E51" s="1696" t="s">
        <v>1154</v>
      </c>
      <c r="F51" s="1719" t="s">
        <v>12</v>
      </c>
      <c r="G51" s="1698">
        <v>50</v>
      </c>
      <c r="H51" s="1699">
        <v>14000</v>
      </c>
      <c r="I51" s="1720">
        <v>3200</v>
      </c>
      <c r="J51" s="1721">
        <f t="shared" si="2"/>
        <v>160000</v>
      </c>
      <c r="K51" s="1699"/>
      <c r="L51" s="1702"/>
      <c r="M51" s="1701"/>
      <c r="N51" s="1699"/>
      <c r="O51" s="1702"/>
      <c r="P51" s="1701"/>
      <c r="Q51" s="1699"/>
      <c r="R51" s="1702"/>
      <c r="S51" s="1701"/>
      <c r="T51" s="1699"/>
      <c r="U51" s="1702"/>
      <c r="V51" s="1701"/>
      <c r="W51" s="1699"/>
      <c r="X51" s="1702"/>
      <c r="Y51" s="1701"/>
      <c r="Z51" s="1699"/>
      <c r="AA51" s="1702"/>
      <c r="AB51" s="1701"/>
      <c r="AC51" s="1699"/>
      <c r="AD51" s="1702"/>
      <c r="AE51" s="1701"/>
      <c r="AF51" s="1699"/>
      <c r="AG51" s="1702"/>
      <c r="AH51" s="1701">
        <f t="shared" si="8"/>
        <v>0</v>
      </c>
      <c r="AI51" s="1699"/>
      <c r="AJ51" s="1703"/>
      <c r="AK51" s="1704">
        <f t="shared" si="1"/>
        <v>0</v>
      </c>
      <c r="AL51" s="1705"/>
      <c r="AM51" s="1713">
        <v>3200</v>
      </c>
      <c r="AN51" s="1704">
        <f t="shared" si="9"/>
        <v>160000</v>
      </c>
      <c r="AO51" s="1707" t="s">
        <v>1155</v>
      </c>
      <c r="AP51" s="1722"/>
      <c r="AQ51" s="1709"/>
      <c r="AR51" s="1710"/>
      <c r="AS51" s="1711">
        <f t="shared" si="10"/>
        <v>0</v>
      </c>
      <c r="AT51" s="1709"/>
      <c r="AU51" s="1710">
        <v>0</v>
      </c>
      <c r="AV51" s="1711">
        <f t="shared" si="11"/>
        <v>0</v>
      </c>
      <c r="AW51" s="1710">
        <f>AM51</f>
        <v>3200</v>
      </c>
      <c r="AX51" s="1711">
        <f t="shared" si="12"/>
        <v>160000</v>
      </c>
      <c r="AY51" s="1712"/>
    </row>
    <row r="52" spans="3:51" ht="78" customHeight="1" x14ac:dyDescent="0.35">
      <c r="D52" s="1686"/>
      <c r="E52" s="1696" t="s">
        <v>1156</v>
      </c>
      <c r="F52" s="1719" t="s">
        <v>12</v>
      </c>
      <c r="G52" s="1698">
        <v>360</v>
      </c>
      <c r="H52" s="1715">
        <v>34939.760000000002</v>
      </c>
      <c r="I52" s="1720">
        <v>42000</v>
      </c>
      <c r="J52" s="1721">
        <f t="shared" si="2"/>
        <v>15120000</v>
      </c>
      <c r="K52" s="1699"/>
      <c r="L52" s="1702"/>
      <c r="M52" s="1701"/>
      <c r="N52" s="1699"/>
      <c r="O52" s="1702"/>
      <c r="P52" s="1701"/>
      <c r="Q52" s="1699"/>
      <c r="R52" s="1702"/>
      <c r="S52" s="1701"/>
      <c r="T52" s="1699"/>
      <c r="U52" s="1716">
        <v>34939.760000000002</v>
      </c>
      <c r="V52" s="1701">
        <f>U52*G52</f>
        <v>12578313.600000001</v>
      </c>
      <c r="W52" s="1699"/>
      <c r="X52" s="1702"/>
      <c r="Y52" s="1701"/>
      <c r="Z52" s="1699"/>
      <c r="AA52" s="1702"/>
      <c r="AB52" s="1701"/>
      <c r="AC52" s="1699"/>
      <c r="AD52" s="1702"/>
      <c r="AE52" s="1701"/>
      <c r="AF52" s="1699"/>
      <c r="AG52" s="1723">
        <v>35464</v>
      </c>
      <c r="AH52" s="1701">
        <f>AG52*G52</f>
        <v>12767040</v>
      </c>
      <c r="AI52" s="1699"/>
      <c r="AJ52" s="1703"/>
      <c r="AK52" s="1704">
        <f t="shared" si="1"/>
        <v>0</v>
      </c>
      <c r="AL52" s="1705"/>
      <c r="AM52" s="1713">
        <v>35464</v>
      </c>
      <c r="AN52" s="1704">
        <f t="shared" si="9"/>
        <v>12767040</v>
      </c>
      <c r="AO52" s="1707" t="s">
        <v>1157</v>
      </c>
      <c r="AP52" s="1717" t="s">
        <v>1158</v>
      </c>
      <c r="AQ52" s="1709"/>
      <c r="AR52" s="1710">
        <f>37000*1.12</f>
        <v>41440.000000000007</v>
      </c>
      <c r="AS52" s="1711">
        <f t="shared" si="10"/>
        <v>14918400.000000002</v>
      </c>
      <c r="AT52" s="1709"/>
      <c r="AU52" s="1710">
        <f>I52</f>
        <v>42000</v>
      </c>
      <c r="AV52" s="1711">
        <f>(AU52*G52)/2</f>
        <v>7560000</v>
      </c>
      <c r="AW52" s="1710">
        <f>AU52</f>
        <v>42000</v>
      </c>
      <c r="AX52" s="1711">
        <f>(AW52*G52)/2</f>
        <v>7560000</v>
      </c>
      <c r="AY52" s="1712"/>
    </row>
    <row r="53" spans="3:51" ht="78" customHeight="1" x14ac:dyDescent="0.35">
      <c r="D53" s="1686"/>
      <c r="E53" s="1696" t="s">
        <v>292</v>
      </c>
      <c r="F53" s="1696" t="s">
        <v>298</v>
      </c>
      <c r="G53" s="1698">
        <v>9</v>
      </c>
      <c r="H53" s="1724">
        <v>0</v>
      </c>
      <c r="I53" s="1725"/>
      <c r="J53" s="1721"/>
      <c r="K53" s="1699"/>
      <c r="L53" s="1702"/>
      <c r="M53" s="1701"/>
      <c r="N53" s="1699"/>
      <c r="O53" s="1702"/>
      <c r="P53" s="1701"/>
      <c r="Q53" s="1699"/>
      <c r="R53" s="1702"/>
      <c r="S53" s="1701"/>
      <c r="T53" s="1699"/>
      <c r="U53" s="1716"/>
      <c r="V53" s="1701"/>
      <c r="W53" s="1699"/>
      <c r="X53" s="1702"/>
      <c r="Y53" s="1701"/>
      <c r="Z53" s="1699"/>
      <c r="AA53" s="1702"/>
      <c r="AB53" s="1701"/>
      <c r="AC53" s="1699"/>
      <c r="AD53" s="1702"/>
      <c r="AE53" s="1701"/>
      <c r="AF53" s="1699"/>
      <c r="AG53" s="1723"/>
      <c r="AH53" s="1701"/>
      <c r="AI53" s="1699"/>
      <c r="AJ53" s="1703"/>
      <c r="AK53" s="1704">
        <f t="shared" si="1"/>
        <v>0</v>
      </c>
      <c r="AL53" s="1705"/>
      <c r="AM53" s="1713"/>
      <c r="AN53" s="1704"/>
      <c r="AO53" s="1707" t="s">
        <v>1155</v>
      </c>
      <c r="AP53" s="1717"/>
      <c r="AQ53" s="1709"/>
      <c r="AR53" s="1710"/>
      <c r="AS53" s="1711">
        <f t="shared" si="10"/>
        <v>0</v>
      </c>
      <c r="AT53" s="1709"/>
      <c r="AU53" s="1710"/>
      <c r="AV53" s="1711"/>
      <c r="AW53" s="1710"/>
      <c r="AX53" s="1711"/>
      <c r="AY53" s="1712"/>
    </row>
    <row r="54" spans="3:51" ht="39" customHeight="1" x14ac:dyDescent="0.35">
      <c r="D54" s="1686"/>
      <c r="E54" s="1726"/>
      <c r="F54" s="1726"/>
      <c r="G54" s="1701"/>
      <c r="H54" s="1699"/>
      <c r="I54" s="1702" t="s">
        <v>10</v>
      </c>
      <c r="J54" s="1701">
        <f>SUM(J43:J52)</f>
        <v>62292000.100000001</v>
      </c>
      <c r="K54" s="1699"/>
      <c r="L54" s="1702" t="s">
        <v>10</v>
      </c>
      <c r="M54" s="1701">
        <f>SUM(M43:M52)</f>
        <v>50097020</v>
      </c>
      <c r="N54" s="1699"/>
      <c r="O54" s="1702" t="s">
        <v>10</v>
      </c>
      <c r="P54" s="1701">
        <f>SUM(P43:P52)</f>
        <v>4020000</v>
      </c>
      <c r="Q54" s="1699"/>
      <c r="R54" s="1702" t="s">
        <v>10</v>
      </c>
      <c r="S54" s="1701">
        <f>SUM(S43:S52)</f>
        <v>830000</v>
      </c>
      <c r="T54" s="1699"/>
      <c r="U54" s="1702"/>
      <c r="V54" s="1727">
        <f>SUM(V43:V52)</f>
        <v>64258876.600000001</v>
      </c>
      <c r="W54" s="1699"/>
      <c r="X54" s="1702"/>
      <c r="Y54" s="1727">
        <f>SUM(Y43:Y52)</f>
        <v>52225347</v>
      </c>
      <c r="Z54" s="1699"/>
      <c r="AA54" s="1702"/>
      <c r="AB54" s="1727">
        <f>SUM(AB43:AB52)</f>
        <v>15960000</v>
      </c>
      <c r="AC54" s="1699"/>
      <c r="AD54" s="1702"/>
      <c r="AE54" s="1727">
        <f>SUM(AE43:AE52)</f>
        <v>47670000</v>
      </c>
      <c r="AF54" s="1699"/>
      <c r="AG54" s="1702"/>
      <c r="AH54" s="1727">
        <f>SUM(AH43:AH52)</f>
        <v>65541152</v>
      </c>
      <c r="AI54" s="1699"/>
      <c r="AJ54" s="1702"/>
      <c r="AK54" s="1727">
        <f>SUM(AK43:AK53)</f>
        <v>48547500</v>
      </c>
      <c r="AL54" s="1699"/>
      <c r="AM54" s="1702"/>
      <c r="AN54" s="1727">
        <f>SUM(AN43:AN53)</f>
        <v>33827040</v>
      </c>
      <c r="AO54" s="1726"/>
      <c r="AP54" s="1722"/>
      <c r="AQ54" s="1709"/>
      <c r="AR54" s="1710"/>
      <c r="AS54" s="1728">
        <f>SUM(AS43:AS53)</f>
        <v>31758400</v>
      </c>
      <c r="AT54" s="1709"/>
      <c r="AU54" s="1710"/>
      <c r="AV54" s="1728">
        <f>SUM(AV43:AV52)</f>
        <v>12130000.1</v>
      </c>
      <c r="AW54" s="1720"/>
      <c r="AX54" s="1728">
        <f>SUM(AX43:AX52)</f>
        <v>7720000</v>
      </c>
      <c r="AY54" s="1729">
        <f>SUM(AS54:AX54)</f>
        <v>51608400.100000001</v>
      </c>
    </row>
    <row r="55" spans="3:51" ht="39" customHeight="1" x14ac:dyDescent="0.35">
      <c r="D55" s="1686"/>
      <c r="E55" s="1726"/>
      <c r="F55" s="1726"/>
      <c r="G55" s="1701">
        <v>1.1200000000000001</v>
      </c>
      <c r="H55" s="1699"/>
      <c r="I55" s="1702"/>
      <c r="J55" s="1701">
        <f>J54*$G$77</f>
        <v>0</v>
      </c>
      <c r="K55" s="1699"/>
      <c r="L55" s="1702"/>
      <c r="M55" s="1701">
        <f>M54*$G$77</f>
        <v>0</v>
      </c>
      <c r="N55" s="1699"/>
      <c r="O55" s="1702"/>
      <c r="P55" s="1701">
        <f>P54*$G$77</f>
        <v>0</v>
      </c>
      <c r="Q55" s="1699"/>
      <c r="R55" s="1702"/>
      <c r="S55" s="1701">
        <f>S54*$G$77</f>
        <v>0</v>
      </c>
      <c r="T55" s="1699"/>
      <c r="U55" s="1702"/>
      <c r="V55" s="1701">
        <f>V54*$G$77</f>
        <v>0</v>
      </c>
      <c r="W55" s="1699"/>
      <c r="X55" s="1702"/>
      <c r="Y55" s="1701">
        <f>Y54*$G$77</f>
        <v>0</v>
      </c>
      <c r="Z55" s="1699"/>
      <c r="AA55" s="1702"/>
      <c r="AB55" s="1701">
        <f>AB54*$G$77</f>
        <v>0</v>
      </c>
      <c r="AC55" s="1699"/>
      <c r="AD55" s="1702"/>
      <c r="AE55" s="1701">
        <f>AE54*$G$77</f>
        <v>0</v>
      </c>
      <c r="AF55" s="1699"/>
      <c r="AG55" s="1702"/>
      <c r="AH55" s="1701">
        <f>AH54*$G$77</f>
        <v>0</v>
      </c>
      <c r="AI55" s="1699"/>
      <c r="AJ55" s="1702"/>
      <c r="AK55" s="1701">
        <f>AK54*$G$77</f>
        <v>0</v>
      </c>
      <c r="AL55" s="1699"/>
      <c r="AM55" s="1702"/>
      <c r="AN55" s="1701">
        <f>AN54*$G$77</f>
        <v>0</v>
      </c>
      <c r="AO55" s="1726"/>
      <c r="AP55" s="1722"/>
      <c r="AQ55" s="1709"/>
      <c r="AR55" s="1710"/>
      <c r="AS55" s="1699">
        <f>AS54*$G$77</f>
        <v>0</v>
      </c>
      <c r="AT55" s="1709"/>
      <c r="AU55" s="1710"/>
      <c r="AV55" s="1699">
        <f>AV54*$G$77</f>
        <v>0</v>
      </c>
      <c r="AW55" s="1702"/>
      <c r="AX55" s="1699">
        <f>AX54*$G$77</f>
        <v>0</v>
      </c>
      <c r="AY55" s="1730">
        <f>AY54*$G$77</f>
        <v>0</v>
      </c>
    </row>
    <row r="56" spans="3:51" ht="43.95" customHeight="1" thickBot="1" x14ac:dyDescent="0.4">
      <c r="D56" s="1731"/>
      <c r="E56" s="1732"/>
      <c r="F56" s="1732"/>
      <c r="G56" s="1733"/>
      <c r="H56" s="1734"/>
      <c r="I56" s="1735"/>
      <c r="J56" s="1732"/>
      <c r="K56" s="1734"/>
      <c r="L56" s="1735"/>
      <c r="M56" s="1736"/>
      <c r="N56" s="1734"/>
      <c r="O56" s="1735"/>
      <c r="P56" s="1732"/>
      <c r="Q56" s="1734"/>
      <c r="R56" s="1735"/>
      <c r="S56" s="1732"/>
      <c r="T56" s="1734"/>
      <c r="U56" s="1735"/>
      <c r="V56" s="1732"/>
      <c r="W56" s="1734"/>
      <c r="X56" s="1735"/>
      <c r="Y56" s="1732"/>
      <c r="Z56" s="1734"/>
      <c r="AA56" s="1735"/>
      <c r="AB56" s="1732"/>
      <c r="AC56" s="1734"/>
      <c r="AD56" s="1735"/>
      <c r="AE56" s="1732"/>
      <c r="AF56" s="1734"/>
      <c r="AG56" s="1735"/>
      <c r="AH56" s="1732"/>
      <c r="AI56" s="1734"/>
      <c r="AJ56" s="2146" t="s">
        <v>1159</v>
      </c>
      <c r="AK56" s="2147"/>
      <c r="AL56" s="2148"/>
      <c r="AM56" s="1735"/>
      <c r="AN56" s="1732"/>
      <c r="AO56" s="1732"/>
      <c r="AP56" s="1734"/>
      <c r="AQ56" s="1709"/>
      <c r="AR56" s="1737"/>
      <c r="AS56" s="1738"/>
      <c r="AT56" s="1709"/>
      <c r="AU56" s="1739"/>
      <c r="AV56" s="1740"/>
      <c r="AW56" s="1741"/>
      <c r="AX56" s="1742"/>
      <c r="AY56" s="1743"/>
    </row>
    <row r="57" spans="3:51" ht="20.399999999999999" x14ac:dyDescent="0.3">
      <c r="E57" s="1744"/>
      <c r="F57" s="1744"/>
      <c r="G57" s="1745"/>
      <c r="H57" s="1744"/>
      <c r="I57" s="1744"/>
      <c r="J57" s="1744"/>
      <c r="K57" s="1744"/>
      <c r="L57" s="1744"/>
      <c r="M57" s="1744"/>
      <c r="N57" s="1744"/>
      <c r="O57" s="1744"/>
      <c r="P57" s="1744"/>
      <c r="Q57" s="1744"/>
      <c r="R57" s="1744"/>
      <c r="S57" s="1744"/>
      <c r="T57" s="1744"/>
      <c r="U57" s="1744"/>
      <c r="V57" s="1744"/>
      <c r="W57" s="1744"/>
      <c r="X57" s="1744"/>
      <c r="Y57" s="1744"/>
      <c r="Z57" s="1744"/>
      <c r="AA57" s="1744"/>
      <c r="AB57" s="1744"/>
      <c r="AC57" s="1744"/>
      <c r="AD57" s="1744"/>
      <c r="AE57" s="1744"/>
      <c r="AF57" s="1744"/>
      <c r="AG57" s="1744"/>
      <c r="AH57" s="1744"/>
      <c r="AI57" s="1744"/>
      <c r="AJ57" s="1744"/>
      <c r="AK57" s="1744"/>
      <c r="AL57" s="1744"/>
      <c r="AM57" s="1744"/>
      <c r="AN57" s="1744"/>
      <c r="AO57" s="1744"/>
      <c r="AP57" s="1744"/>
      <c r="AQ57" s="1744"/>
      <c r="AR57" s="1746"/>
      <c r="AS57" s="1744"/>
      <c r="AT57" s="1744"/>
      <c r="AU57" s="1744"/>
      <c r="AV57" s="1744"/>
      <c r="AW57" s="1744"/>
      <c r="AX57" s="1744"/>
      <c r="AY57" s="1744"/>
    </row>
    <row r="58" spans="3:51" ht="20.399999999999999" x14ac:dyDescent="0.3">
      <c r="E58" s="1744"/>
      <c r="F58" s="1744"/>
      <c r="G58" s="175"/>
      <c r="H58" s="1744"/>
      <c r="I58" s="1744"/>
      <c r="J58" s="1744"/>
      <c r="K58" s="1744"/>
      <c r="L58" s="1744"/>
      <c r="M58" s="1744"/>
      <c r="N58" s="1744"/>
      <c r="O58" s="1744"/>
      <c r="P58" s="1744"/>
      <c r="Q58" s="1744"/>
      <c r="R58" s="1744"/>
      <c r="S58" s="1744"/>
      <c r="T58" s="1744"/>
      <c r="U58" s="1744"/>
      <c r="V58" s="1744"/>
      <c r="W58" s="1744"/>
      <c r="X58" s="1744"/>
      <c r="Y58" s="1744"/>
      <c r="Z58" s="1744"/>
      <c r="AA58" s="1744"/>
      <c r="AB58" s="1744"/>
      <c r="AC58" s="1744"/>
      <c r="AD58" s="1744"/>
      <c r="AE58" s="1744"/>
      <c r="AF58" s="1744"/>
      <c r="AG58" s="1744"/>
      <c r="AH58" s="1744"/>
      <c r="AI58" s="1744"/>
      <c r="AJ58" s="1744"/>
      <c r="AK58" s="1744"/>
      <c r="AL58" s="1744"/>
      <c r="AM58" s="1744"/>
      <c r="AN58" s="1744"/>
      <c r="AO58" s="1744"/>
      <c r="AP58" s="1744"/>
      <c r="AQ58" s="1744"/>
      <c r="AR58" s="1746"/>
      <c r="AS58" s="1744"/>
      <c r="AT58" s="1744"/>
      <c r="AU58" s="1744"/>
      <c r="AV58" s="1744"/>
      <c r="AW58" s="1744"/>
      <c r="AX58" s="1744"/>
      <c r="AY58" s="1744"/>
    </row>
    <row r="59" spans="3:51" ht="20.399999999999999" x14ac:dyDescent="0.3">
      <c r="E59" s="1744"/>
      <c r="F59" s="1744"/>
      <c r="G59" s="175"/>
      <c r="H59" s="1744"/>
      <c r="I59" s="1744"/>
      <c r="J59" s="1744"/>
      <c r="K59" s="1744"/>
      <c r="L59" s="1744"/>
      <c r="M59" s="1744"/>
      <c r="N59" s="1744"/>
      <c r="O59" s="1744"/>
      <c r="P59" s="1744"/>
      <c r="Q59" s="1744"/>
      <c r="R59" s="1744"/>
      <c r="S59" s="1744"/>
      <c r="T59" s="1744"/>
      <c r="U59" s="1744"/>
      <c r="V59" s="1744"/>
      <c r="W59" s="1744"/>
      <c r="X59" s="1744"/>
      <c r="Y59" s="1744"/>
      <c r="Z59" s="1744"/>
      <c r="AA59" s="1744"/>
      <c r="AB59" s="1744"/>
      <c r="AC59" s="1744"/>
      <c r="AD59" s="1744"/>
      <c r="AE59" s="1744"/>
      <c r="AF59" s="1744"/>
      <c r="AG59" s="1744"/>
      <c r="AH59" s="1744"/>
      <c r="AI59" s="1744"/>
      <c r="AJ59" s="1744"/>
      <c r="AK59" s="1744"/>
      <c r="AL59" s="1744"/>
      <c r="AM59" s="1744"/>
      <c r="AN59" s="1744"/>
      <c r="AO59" s="1744"/>
      <c r="AP59" s="1744"/>
      <c r="AQ59" s="1744"/>
      <c r="AR59" s="1746"/>
      <c r="AS59" s="1744"/>
      <c r="AT59" s="1744"/>
      <c r="AU59" s="1744"/>
      <c r="AV59" s="1744"/>
      <c r="AW59" s="1744"/>
      <c r="AX59" s="1744"/>
      <c r="AY59" s="1744"/>
    </row>
    <row r="60" spans="3:51" x14ac:dyDescent="0.3"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</row>
    <row r="61" spans="3:51" x14ac:dyDescent="0.3"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</row>
    <row r="62" spans="3:51" x14ac:dyDescent="0.3"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</row>
    <row r="63" spans="3:51" x14ac:dyDescent="0.3"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</row>
    <row r="64" spans="3:51" x14ac:dyDescent="0.3"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</row>
  </sheetData>
  <mergeCells count="37">
    <mergeCell ref="AR41:AS41"/>
    <mergeCell ref="AU41:AV41"/>
    <mergeCell ref="AW41:AX41"/>
    <mergeCell ref="AJ56:AL56"/>
    <mergeCell ref="AA41:AC41"/>
    <mergeCell ref="AD41:AF41"/>
    <mergeCell ref="AG41:AI41"/>
    <mergeCell ref="AJ41:AL41"/>
    <mergeCell ref="AM41:AO41"/>
    <mergeCell ref="W13:X13"/>
    <mergeCell ref="W14:X14"/>
    <mergeCell ref="S13:T13"/>
    <mergeCell ref="S37:T37"/>
    <mergeCell ref="E9:V9"/>
    <mergeCell ref="U11:V11"/>
    <mergeCell ref="W11:X11"/>
    <mergeCell ref="I10:V10"/>
    <mergeCell ref="U37:V38"/>
    <mergeCell ref="Q13:R14"/>
    <mergeCell ref="Q11:R11"/>
    <mergeCell ref="S11:T11"/>
    <mergeCell ref="X41:Z41"/>
    <mergeCell ref="I13:L14"/>
    <mergeCell ref="I12:J12"/>
    <mergeCell ref="I11:L11"/>
    <mergeCell ref="M11:P11"/>
    <mergeCell ref="M12:N12"/>
    <mergeCell ref="M13:P14"/>
    <mergeCell ref="J37:K38"/>
    <mergeCell ref="N37:O38"/>
    <mergeCell ref="I41:K41"/>
    <mergeCell ref="L41:N41"/>
    <mergeCell ref="O41:Q41"/>
    <mergeCell ref="R41:T41"/>
    <mergeCell ref="U41:W41"/>
    <mergeCell ref="J39:K39"/>
    <mergeCell ref="U13:V1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D8:S56"/>
  <sheetViews>
    <sheetView topLeftCell="A7" workbookViewId="0">
      <selection activeCell="K27" sqref="K27"/>
    </sheetView>
  </sheetViews>
  <sheetFormatPr baseColWidth="10" defaultColWidth="11.44140625" defaultRowHeight="14.4" x14ac:dyDescent="0.3"/>
  <cols>
    <col min="1" max="4" width="11.44140625" style="40"/>
    <col min="5" max="5" width="46" style="40" customWidth="1"/>
    <col min="6" max="6" width="11.44140625" style="40"/>
    <col min="7" max="8" width="11.5546875" style="40" bestFit="1" customWidth="1"/>
    <col min="9" max="9" width="12.5546875" style="40" bestFit="1" customWidth="1"/>
    <col min="10" max="10" width="14.33203125" style="40" customWidth="1"/>
    <col min="11" max="11" width="24.44140625" style="40" customWidth="1"/>
    <col min="12" max="12" width="17.5546875" style="40" bestFit="1" customWidth="1"/>
    <col min="13" max="13" width="22.109375" style="40" customWidth="1"/>
    <col min="14" max="14" width="17" style="40" customWidth="1"/>
    <col min="15" max="15" width="19.109375" style="40" customWidth="1"/>
    <col min="16" max="16" width="20" style="40" customWidth="1"/>
    <col min="17" max="17" width="21.33203125" style="40" customWidth="1"/>
    <col min="18" max="16384" width="11.44140625" style="40"/>
  </cols>
  <sheetData>
    <row r="8" spans="4:19" ht="15.75" thickBot="1" x14ac:dyDescent="0.3">
      <c r="H8" s="43"/>
      <c r="I8" s="43"/>
    </row>
    <row r="9" spans="4:19" ht="24" thickBot="1" x14ac:dyDescent="0.4">
      <c r="E9" s="2149" t="s">
        <v>933</v>
      </c>
      <c r="F9" s="2150"/>
      <c r="G9" s="2150"/>
      <c r="H9" s="2150"/>
      <c r="I9" s="2150"/>
      <c r="J9" s="2150"/>
      <c r="K9" s="2150"/>
      <c r="L9" s="2150"/>
      <c r="M9" s="2150"/>
      <c r="N9" s="2150"/>
      <c r="O9" s="2151"/>
    </row>
    <row r="10" spans="4:19" ht="15.75" thickBot="1" x14ac:dyDescent="0.3">
      <c r="E10" s="469"/>
      <c r="F10" s="43"/>
      <c r="G10" s="43"/>
      <c r="H10" s="43"/>
      <c r="I10" s="2"/>
      <c r="J10" s="2127" t="s">
        <v>105</v>
      </c>
      <c r="K10" s="2127"/>
      <c r="L10" s="1864"/>
      <c r="M10" s="1864"/>
      <c r="N10" s="1864"/>
      <c r="O10" s="1865"/>
    </row>
    <row r="11" spans="4:19" ht="15" x14ac:dyDescent="0.25">
      <c r="E11" s="469"/>
      <c r="F11" s="43"/>
      <c r="G11" s="43"/>
      <c r="H11" s="43"/>
      <c r="I11" s="43"/>
      <c r="J11" s="1836" t="s">
        <v>0</v>
      </c>
      <c r="K11" s="1923"/>
      <c r="L11" s="1836" t="s">
        <v>0</v>
      </c>
      <c r="M11" s="1837"/>
      <c r="N11" s="1923" t="s">
        <v>0</v>
      </c>
      <c r="O11" s="1837"/>
      <c r="P11" s="1838"/>
      <c r="Q11" s="1838"/>
    </row>
    <row r="12" spans="4:19" ht="19.5" thickBot="1" x14ac:dyDescent="0.35">
      <c r="E12" s="469"/>
      <c r="F12" s="43"/>
      <c r="G12" s="43"/>
      <c r="H12" s="43"/>
      <c r="I12" s="43"/>
      <c r="J12" s="229" t="s">
        <v>3</v>
      </c>
      <c r="K12" s="171" t="s">
        <v>4</v>
      </c>
      <c r="L12" s="231" t="s">
        <v>1</v>
      </c>
      <c r="M12" s="232" t="s">
        <v>2</v>
      </c>
      <c r="N12" s="230" t="s">
        <v>22</v>
      </c>
      <c r="O12" s="230" t="s">
        <v>4</v>
      </c>
      <c r="P12" s="492"/>
      <c r="Q12" s="491"/>
    </row>
    <row r="13" spans="4:19" x14ac:dyDescent="0.3">
      <c r="E13" s="469"/>
      <c r="F13" s="43"/>
      <c r="G13" s="43"/>
      <c r="H13" s="43"/>
      <c r="I13" s="43"/>
      <c r="J13" s="1857" t="s">
        <v>106</v>
      </c>
      <c r="K13" s="1955"/>
      <c r="L13" s="1857"/>
      <c r="M13" s="1858"/>
      <c r="N13" s="1845"/>
      <c r="O13" s="1842"/>
      <c r="P13" s="1838"/>
      <c r="Q13" s="1838"/>
    </row>
    <row r="14" spans="4:19" ht="15" thickBot="1" x14ac:dyDescent="0.35">
      <c r="E14" s="469"/>
      <c r="F14" s="43"/>
      <c r="G14" s="43"/>
      <c r="H14" s="43"/>
      <c r="I14" s="43"/>
      <c r="J14" s="1857"/>
      <c r="K14" s="1955"/>
      <c r="L14" s="1843"/>
      <c r="M14" s="1844"/>
      <c r="N14" s="1847"/>
      <c r="O14" s="1844"/>
      <c r="P14" s="1838"/>
      <c r="Q14" s="1838"/>
      <c r="R14" s="1849" t="s">
        <v>32</v>
      </c>
      <c r="S14" s="1846"/>
    </row>
    <row r="15" spans="4:19" x14ac:dyDescent="0.3">
      <c r="D15" s="494" t="s">
        <v>5</v>
      </c>
      <c r="E15" s="500" t="s">
        <v>6</v>
      </c>
      <c r="F15" s="496" t="s">
        <v>7</v>
      </c>
      <c r="G15" s="496" t="s">
        <v>8</v>
      </c>
      <c r="H15" s="555"/>
      <c r="I15" s="556"/>
      <c r="J15" s="494" t="s">
        <v>9</v>
      </c>
      <c r="K15" s="495" t="s">
        <v>10</v>
      </c>
      <c r="L15" s="496" t="s">
        <v>9</v>
      </c>
      <c r="M15" s="495" t="s">
        <v>10</v>
      </c>
      <c r="N15" s="496" t="s">
        <v>9</v>
      </c>
      <c r="O15" s="495" t="s">
        <v>10</v>
      </c>
      <c r="P15" s="43"/>
      <c r="Q15" s="43"/>
      <c r="R15" s="1850"/>
      <c r="S15" s="1848"/>
    </row>
    <row r="16" spans="4:19" ht="15" thickBot="1" x14ac:dyDescent="0.35">
      <c r="D16" s="497">
        <v>1</v>
      </c>
      <c r="E16" s="557" t="s">
        <v>300</v>
      </c>
      <c r="F16" s="491" t="s">
        <v>304</v>
      </c>
      <c r="G16" s="226">
        <v>300</v>
      </c>
      <c r="H16" s="43"/>
      <c r="I16" s="2"/>
      <c r="J16" s="214">
        <v>2600</v>
      </c>
      <c r="K16" s="213">
        <f>G16*J16</f>
        <v>780000</v>
      </c>
      <c r="L16" s="226"/>
      <c r="M16" s="213">
        <f>G16*L16</f>
        <v>0</v>
      </c>
      <c r="N16" s="491"/>
      <c r="O16" s="493"/>
      <c r="P16" s="43"/>
      <c r="Q16" s="43"/>
      <c r="R16" s="499"/>
      <c r="S16" s="499"/>
    </row>
    <row r="17" spans="4:19" ht="33" customHeight="1" thickBot="1" x14ac:dyDescent="0.35">
      <c r="D17" s="497">
        <v>2</v>
      </c>
      <c r="E17" s="557" t="s">
        <v>301</v>
      </c>
      <c r="F17" s="491" t="s">
        <v>304</v>
      </c>
      <c r="G17" s="226">
        <v>5</v>
      </c>
      <c r="H17" s="6"/>
      <c r="I17" s="5"/>
      <c r="J17" s="554">
        <v>250000</v>
      </c>
      <c r="K17" s="213">
        <f t="shared" ref="K17:K20" si="0">G17*J17</f>
        <v>1250000</v>
      </c>
      <c r="L17" s="552"/>
      <c r="M17" s="215"/>
      <c r="N17" s="16"/>
      <c r="O17" s="228"/>
      <c r="P17" s="16"/>
      <c r="Q17" s="16"/>
      <c r="R17" s="35">
        <v>3558.69</v>
      </c>
      <c r="S17" s="47">
        <f>+R17*O17</f>
        <v>0</v>
      </c>
    </row>
    <row r="18" spans="4:19" ht="53.25" customHeight="1" x14ac:dyDescent="0.3">
      <c r="D18" s="497">
        <v>3</v>
      </c>
      <c r="E18" s="557" t="s">
        <v>302</v>
      </c>
      <c r="F18" s="491" t="s">
        <v>304</v>
      </c>
      <c r="G18" s="226">
        <v>100</v>
      </c>
      <c r="H18" s="6"/>
      <c r="I18" s="5"/>
      <c r="J18" s="554">
        <v>200</v>
      </c>
      <c r="K18" s="213">
        <f t="shared" si="0"/>
        <v>20000</v>
      </c>
      <c r="L18" s="1961"/>
      <c r="M18" s="1827"/>
      <c r="N18" s="1961"/>
      <c r="O18" s="1827"/>
      <c r="P18" s="6"/>
      <c r="Q18" s="6"/>
      <c r="R18" s="48" t="s">
        <v>10</v>
      </c>
      <c r="S18" s="49">
        <f>SUM(S17:S17)</f>
        <v>0</v>
      </c>
    </row>
    <row r="19" spans="4:19" ht="33.75" customHeight="1" x14ac:dyDescent="0.3">
      <c r="D19" s="497">
        <v>4</v>
      </c>
      <c r="E19" s="557" t="s">
        <v>303</v>
      </c>
      <c r="F19" s="491" t="s">
        <v>305</v>
      </c>
      <c r="G19" s="226">
        <v>200</v>
      </c>
      <c r="H19" s="6"/>
      <c r="I19" s="5"/>
      <c r="J19" s="554">
        <v>6000</v>
      </c>
      <c r="K19" s="213">
        <f t="shared" si="0"/>
        <v>1200000</v>
      </c>
      <c r="L19" s="1830"/>
      <c r="M19" s="1829"/>
      <c r="N19" s="1830"/>
      <c r="O19" s="1829"/>
      <c r="P19" s="6"/>
      <c r="Q19" s="6"/>
      <c r="R19" s="1860" t="s">
        <v>24</v>
      </c>
      <c r="S19" s="1861"/>
    </row>
    <row r="20" spans="4:19" ht="19.5" customHeight="1" thickBot="1" x14ac:dyDescent="0.35">
      <c r="D20" s="498">
        <v>5</v>
      </c>
      <c r="E20" s="558" t="s">
        <v>240</v>
      </c>
      <c r="F20" s="171" t="s">
        <v>306</v>
      </c>
      <c r="G20" s="251">
        <v>1</v>
      </c>
      <c r="H20" s="35"/>
      <c r="I20" s="9"/>
      <c r="J20" s="553">
        <v>40000</v>
      </c>
      <c r="K20" s="221">
        <f t="shared" si="0"/>
        <v>40000</v>
      </c>
      <c r="L20" s="35"/>
      <c r="M20" s="9"/>
      <c r="N20" s="35"/>
      <c r="O20" s="9"/>
      <c r="P20" s="6"/>
      <c r="Q20" s="6"/>
      <c r="R20" s="1862"/>
      <c r="S20" s="1863"/>
    </row>
    <row r="21" spans="4:19" ht="18.600000000000001" thickBot="1" x14ac:dyDescent="0.35">
      <c r="D21" s="3"/>
      <c r="E21" s="209"/>
      <c r="F21" s="216"/>
      <c r="G21" s="6"/>
      <c r="H21" s="4"/>
      <c r="I21" s="4"/>
      <c r="J21" s="553" t="s">
        <v>10</v>
      </c>
      <c r="K21" s="250">
        <f>SUM(K16:K20)</f>
        <v>3290000</v>
      </c>
      <c r="L21" s="553" t="s">
        <v>10</v>
      </c>
      <c r="M21" s="249">
        <f>M20</f>
        <v>0</v>
      </c>
      <c r="N21" s="6"/>
      <c r="O21" s="6"/>
      <c r="P21" s="6"/>
      <c r="Q21" s="6"/>
    </row>
    <row r="22" spans="4:19" x14ac:dyDescent="0.3">
      <c r="D22" s="3"/>
      <c r="E22" s="211"/>
      <c r="F22" s="175"/>
      <c r="G22" s="4"/>
      <c r="H22" s="4"/>
      <c r="I22" s="4"/>
      <c r="J22" s="4"/>
      <c r="K22" s="4"/>
      <c r="L22" s="4"/>
      <c r="M22" s="4"/>
      <c r="N22" s="4"/>
      <c r="O22" s="4"/>
      <c r="P22" s="6"/>
      <c r="Q22" s="6"/>
    </row>
    <row r="23" spans="4:19" x14ac:dyDescent="0.3">
      <c r="D23" s="3"/>
      <c r="E23" s="211"/>
      <c r="G23" s="4">
        <v>300</v>
      </c>
      <c r="H23" s="4"/>
      <c r="I23" s="4"/>
      <c r="J23" s="4">
        <v>6000</v>
      </c>
      <c r="K23" s="4">
        <f>J23*G23</f>
        <v>1800000</v>
      </c>
      <c r="L23" s="4"/>
      <c r="M23" s="4"/>
      <c r="N23" s="4"/>
      <c r="O23" s="4"/>
      <c r="P23" s="4"/>
      <c r="Q23" s="4"/>
    </row>
    <row r="24" spans="4:19" ht="15.75" customHeight="1" x14ac:dyDescent="0.3">
      <c r="D24" s="3"/>
      <c r="E24" s="21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4:19" ht="15.75" customHeight="1" x14ac:dyDescent="0.3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4:19" ht="15.75" customHeight="1" x14ac:dyDescent="0.3"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4:19" ht="15.75" customHeight="1" x14ac:dyDescent="0.3"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4:19" ht="15.75" customHeight="1" x14ac:dyDescent="0.3"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4:19" ht="15.75" customHeight="1" x14ac:dyDescent="0.3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4:19" ht="15.75" customHeight="1" x14ac:dyDescent="0.3"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4:19" ht="15.75" customHeight="1" x14ac:dyDescent="0.3"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4:19" ht="15.75" customHeight="1" x14ac:dyDescent="0.3">
      <c r="G32" s="4"/>
      <c r="H32" s="4"/>
      <c r="I32" s="4"/>
      <c r="J32" s="6"/>
      <c r="K32" s="6"/>
      <c r="L32" s="6"/>
      <c r="M32" s="6"/>
      <c r="N32" s="6"/>
      <c r="O32" s="6"/>
      <c r="P32" s="4"/>
      <c r="Q32" s="4"/>
    </row>
    <row r="33" spans="6:19" ht="15.75" customHeight="1" x14ac:dyDescent="0.3">
      <c r="G33" s="4"/>
      <c r="H33" s="4"/>
      <c r="I33" s="4"/>
      <c r="J33" s="1906"/>
      <c r="K33" s="1906"/>
      <c r="L33" s="1906"/>
      <c r="M33" s="1906"/>
      <c r="N33" s="1906"/>
      <c r="O33" s="1906"/>
      <c r="P33" s="4"/>
      <c r="Q33" s="4"/>
    </row>
    <row r="34" spans="6:19" ht="15.75" customHeight="1" x14ac:dyDescent="0.3">
      <c r="G34" s="4"/>
      <c r="H34" s="4"/>
      <c r="I34" s="4"/>
      <c r="J34" s="1838"/>
      <c r="K34" s="1838"/>
      <c r="L34" s="1838"/>
      <c r="M34" s="1838"/>
      <c r="N34" s="1838"/>
      <c r="O34" s="1838"/>
      <c r="P34" s="4"/>
      <c r="Q34" s="4"/>
    </row>
    <row r="35" spans="6:19" ht="15.75" customHeight="1" x14ac:dyDescent="0.35">
      <c r="G35" s="4"/>
      <c r="H35" s="4"/>
      <c r="I35" s="4"/>
      <c r="J35" s="491"/>
      <c r="K35" s="492"/>
      <c r="L35" s="492"/>
      <c r="M35" s="491"/>
      <c r="N35" s="492"/>
      <c r="O35" s="491"/>
      <c r="P35" s="4"/>
      <c r="Q35" s="4"/>
    </row>
    <row r="36" spans="6:19" ht="18" x14ac:dyDescent="0.35">
      <c r="G36" s="4"/>
      <c r="H36" s="4"/>
      <c r="I36" s="4"/>
      <c r="J36" s="1835"/>
      <c r="K36" s="1835"/>
      <c r="L36" s="1859"/>
      <c r="M36" s="1859"/>
      <c r="N36" s="1859"/>
      <c r="O36" s="1859"/>
      <c r="P36" s="4"/>
      <c r="Q36" s="4"/>
    </row>
    <row r="37" spans="6:19" ht="29.25" customHeight="1" x14ac:dyDescent="0.3">
      <c r="G37" s="4"/>
      <c r="H37" s="4"/>
      <c r="I37" s="4"/>
      <c r="J37" s="1835"/>
      <c r="K37" s="1835"/>
      <c r="L37" s="1835"/>
      <c r="M37" s="1835"/>
      <c r="N37" s="1835"/>
      <c r="O37" s="1835"/>
      <c r="P37" s="43"/>
      <c r="Q37" s="43"/>
      <c r="R37" s="43"/>
      <c r="S37" s="43"/>
    </row>
    <row r="38" spans="6:19" x14ac:dyDescent="0.3">
      <c r="G38" s="4"/>
      <c r="H38" s="4"/>
      <c r="I38" s="4"/>
      <c r="J38" s="25"/>
      <c r="K38" s="25"/>
      <c r="L38" s="25"/>
      <c r="M38" s="25"/>
      <c r="N38" s="25"/>
      <c r="O38" s="25"/>
      <c r="P38" s="43"/>
      <c r="Q38" s="43"/>
      <c r="R38" s="43"/>
      <c r="S38" s="43"/>
    </row>
    <row r="39" spans="6:19" x14ac:dyDescent="0.3">
      <c r="F39" s="33"/>
      <c r="G39" s="34"/>
      <c r="H39" s="34"/>
      <c r="I39" s="34"/>
      <c r="J39" s="6"/>
      <c r="K39" s="25"/>
      <c r="L39" s="50"/>
      <c r="M39" s="25"/>
      <c r="N39" s="25"/>
      <c r="O39" s="25"/>
      <c r="P39" s="43"/>
      <c r="Q39" s="43"/>
      <c r="R39" s="43"/>
      <c r="S39" s="43"/>
    </row>
    <row r="40" spans="6:19" x14ac:dyDescent="0.3">
      <c r="F40" s="33"/>
      <c r="G40" s="34"/>
      <c r="H40" s="4"/>
      <c r="I40" s="4"/>
      <c r="J40" s="6"/>
      <c r="K40" s="25"/>
      <c r="L40" s="25"/>
      <c r="M40" s="25"/>
      <c r="N40" s="25"/>
      <c r="O40" s="25"/>
      <c r="P40" s="43"/>
      <c r="Q40" s="43"/>
      <c r="R40" s="43"/>
      <c r="S40" s="43"/>
    </row>
    <row r="41" spans="6:19" x14ac:dyDescent="0.3">
      <c r="F41" s="33"/>
      <c r="G41" s="34"/>
      <c r="H41" s="4"/>
      <c r="I41" s="4"/>
      <c r="J41" s="6"/>
      <c r="K41" s="25"/>
      <c r="L41" s="25"/>
      <c r="M41" s="25"/>
      <c r="N41" s="25"/>
      <c r="O41" s="25"/>
      <c r="P41" s="43"/>
      <c r="Q41" s="43"/>
      <c r="R41" s="43"/>
      <c r="S41" s="43"/>
    </row>
    <row r="42" spans="6:19" x14ac:dyDescent="0.3">
      <c r="F42" s="33"/>
      <c r="G42" s="34"/>
      <c r="H42" s="4"/>
      <c r="I42" s="4"/>
      <c r="J42" s="6"/>
      <c r="K42" s="25"/>
      <c r="L42" s="25"/>
      <c r="M42" s="25"/>
      <c r="N42" s="25"/>
      <c r="O42" s="25"/>
      <c r="P42" s="43"/>
      <c r="Q42" s="43"/>
      <c r="R42" s="43"/>
      <c r="S42" s="43"/>
    </row>
    <row r="43" spans="6:19" x14ac:dyDescent="0.3">
      <c r="F43" s="33"/>
      <c r="G43" s="34"/>
      <c r="H43" s="4"/>
      <c r="I43" s="4"/>
      <c r="J43" s="6"/>
      <c r="K43" s="25"/>
      <c r="L43" s="25"/>
      <c r="M43" s="25"/>
      <c r="N43" s="25"/>
      <c r="O43" s="25"/>
      <c r="P43" s="43"/>
      <c r="Q43" s="43"/>
      <c r="R43" s="43"/>
      <c r="S43" s="43"/>
    </row>
    <row r="44" spans="6:19" x14ac:dyDescent="0.3">
      <c r="G44" s="4"/>
      <c r="H44" s="4"/>
      <c r="I44" s="4"/>
      <c r="J44" s="6"/>
      <c r="K44" s="6"/>
      <c r="L44" s="6"/>
      <c r="M44" s="6"/>
      <c r="N44" s="6"/>
      <c r="O44" s="6"/>
      <c r="P44" s="43"/>
      <c r="Q44" s="43"/>
      <c r="R44" s="43"/>
      <c r="S44" s="43"/>
    </row>
    <row r="45" spans="6:19" ht="18" x14ac:dyDescent="0.35">
      <c r="G45" s="4"/>
      <c r="H45" s="4"/>
      <c r="I45" s="4"/>
      <c r="J45" s="6"/>
      <c r="K45" s="36"/>
      <c r="L45" s="51"/>
      <c r="M45" s="52"/>
      <c r="N45" s="51"/>
      <c r="O45" s="53"/>
      <c r="Q45" s="37"/>
      <c r="R45" s="43"/>
      <c r="S45" s="43"/>
    </row>
    <row r="46" spans="6:19" x14ac:dyDescent="0.3">
      <c r="J46" s="43"/>
      <c r="K46" s="43"/>
      <c r="L46" s="43"/>
      <c r="M46" s="43"/>
      <c r="N46" s="43"/>
      <c r="O46" s="43"/>
    </row>
    <row r="47" spans="6:19" x14ac:dyDescent="0.3">
      <c r="J47" s="43"/>
      <c r="K47" s="43"/>
      <c r="L47" s="43"/>
      <c r="M47" s="43"/>
      <c r="N47" s="43"/>
      <c r="O47" s="43"/>
    </row>
    <row r="48" spans="6:19" ht="15.6" x14ac:dyDescent="0.3">
      <c r="J48" s="43"/>
      <c r="K48" s="43"/>
      <c r="L48" s="1834"/>
      <c r="M48" s="1834"/>
      <c r="N48" s="43"/>
      <c r="O48" s="43"/>
    </row>
    <row r="49" spans="10:15" x14ac:dyDescent="0.3">
      <c r="J49" s="43"/>
      <c r="K49" s="43"/>
      <c r="L49" s="43"/>
      <c r="M49" s="43"/>
      <c r="N49" s="43"/>
      <c r="O49" s="43"/>
    </row>
    <row r="50" spans="10:15" ht="15.6" x14ac:dyDescent="0.3">
      <c r="J50" s="43"/>
      <c r="K50" s="43"/>
      <c r="L50" s="1834"/>
      <c r="M50" s="1834"/>
      <c r="N50" s="43"/>
      <c r="O50" s="43"/>
    </row>
    <row r="51" spans="10:15" x14ac:dyDescent="0.3">
      <c r="J51" s="43"/>
      <c r="K51" s="43"/>
      <c r="L51" s="43"/>
      <c r="M51" s="43"/>
      <c r="N51" s="43"/>
      <c r="O51" s="43"/>
    </row>
    <row r="52" spans="10:15" x14ac:dyDescent="0.3">
      <c r="J52" s="43"/>
      <c r="K52" s="43"/>
      <c r="L52" s="43"/>
      <c r="M52" s="43"/>
      <c r="N52" s="43"/>
      <c r="O52" s="43"/>
    </row>
    <row r="53" spans="10:15" x14ac:dyDescent="0.3">
      <c r="J53" s="43"/>
      <c r="K53" s="43"/>
      <c r="L53" s="43"/>
      <c r="M53" s="43"/>
      <c r="N53" s="43"/>
      <c r="O53" s="43"/>
    </row>
    <row r="54" spans="10:15" x14ac:dyDescent="0.3">
      <c r="J54" s="43"/>
      <c r="K54" s="43"/>
      <c r="L54" s="43"/>
      <c r="M54" s="43"/>
      <c r="N54" s="43"/>
      <c r="O54" s="43"/>
    </row>
    <row r="55" spans="10:15" x14ac:dyDescent="0.3">
      <c r="J55" s="43"/>
      <c r="K55" s="43"/>
      <c r="L55" s="43"/>
      <c r="M55" s="43"/>
      <c r="N55" s="43"/>
      <c r="O55" s="43"/>
    </row>
    <row r="56" spans="10:15" x14ac:dyDescent="0.3">
      <c r="J56" s="43"/>
      <c r="K56" s="43"/>
      <c r="L56" s="43"/>
      <c r="M56" s="43"/>
      <c r="N56" s="43"/>
      <c r="O56" s="43"/>
    </row>
  </sheetData>
  <mergeCells count="25">
    <mergeCell ref="L48:M48"/>
    <mergeCell ref="L50:M50"/>
    <mergeCell ref="J34:K34"/>
    <mergeCell ref="L34:M34"/>
    <mergeCell ref="N34:O34"/>
    <mergeCell ref="J36:K37"/>
    <mergeCell ref="L36:O36"/>
    <mergeCell ref="L37:M37"/>
    <mergeCell ref="N37:O37"/>
    <mergeCell ref="L18:M19"/>
    <mergeCell ref="N18:O19"/>
    <mergeCell ref="R19:S20"/>
    <mergeCell ref="J33:O33"/>
    <mergeCell ref="J13:K14"/>
    <mergeCell ref="L13:M14"/>
    <mergeCell ref="N13:O14"/>
    <mergeCell ref="P13:Q13"/>
    <mergeCell ref="P14:Q14"/>
    <mergeCell ref="R14:S15"/>
    <mergeCell ref="P11:Q11"/>
    <mergeCell ref="E9:O9"/>
    <mergeCell ref="J10:O10"/>
    <mergeCell ref="J11:K11"/>
    <mergeCell ref="L11:M11"/>
    <mergeCell ref="N11:O1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FF0000"/>
  </sheetPr>
  <dimension ref="D8:S33"/>
  <sheetViews>
    <sheetView tabSelected="1" topLeftCell="A19" workbookViewId="0">
      <selection activeCell="G25" sqref="G25"/>
    </sheetView>
  </sheetViews>
  <sheetFormatPr baseColWidth="10" defaultColWidth="11.44140625" defaultRowHeight="14.4" x14ac:dyDescent="0.3"/>
  <cols>
    <col min="1" max="4" width="11.44140625" style="40"/>
    <col min="5" max="5" width="46" style="40" customWidth="1"/>
    <col min="6" max="6" width="11.44140625" style="40"/>
    <col min="7" max="8" width="11.5546875" style="40" bestFit="1" customWidth="1"/>
    <col min="9" max="9" width="17.5546875" style="40" bestFit="1" customWidth="1"/>
    <col min="10" max="10" width="14.33203125" style="40" customWidth="1"/>
    <col min="11" max="11" width="24.44140625" style="40" customWidth="1"/>
    <col min="12" max="12" width="17.5546875" style="40" bestFit="1" customWidth="1"/>
    <col min="13" max="13" width="22.109375" style="40" customWidth="1"/>
    <col min="14" max="14" width="17" style="40" customWidth="1"/>
    <col min="15" max="15" width="19.109375" style="40" customWidth="1"/>
    <col min="16" max="16" width="20" style="40" customWidth="1"/>
    <col min="17" max="17" width="21.33203125" style="40" customWidth="1"/>
    <col min="18" max="16384" width="11.44140625" style="40"/>
  </cols>
  <sheetData>
    <row r="8" spans="4:19" ht="15" x14ac:dyDescent="0.25">
      <c r="H8" s="43"/>
      <c r="I8" s="43"/>
    </row>
    <row r="9" spans="4:19" ht="24" thickBot="1" x14ac:dyDescent="0.4">
      <c r="E9" s="2062" t="s">
        <v>1161</v>
      </c>
      <c r="F9" s="2062"/>
      <c r="G9" s="2062"/>
      <c r="H9" s="2062"/>
      <c r="I9" s="2062"/>
      <c r="J9" s="2062"/>
      <c r="K9" s="2062"/>
      <c r="L9" s="2062"/>
      <c r="M9" s="2062"/>
      <c r="N9" s="2062"/>
      <c r="O9" s="2062"/>
    </row>
    <row r="10" spans="4:19" ht="15.75" thickBot="1" x14ac:dyDescent="0.3">
      <c r="E10" s="43"/>
      <c r="F10" s="43"/>
      <c r="G10" s="43"/>
      <c r="H10" s="43"/>
      <c r="I10" s="43"/>
      <c r="J10" s="2152" t="s">
        <v>105</v>
      </c>
      <c r="K10" s="2127"/>
      <c r="L10" s="2127"/>
      <c r="M10" s="2127"/>
      <c r="N10" s="2127"/>
      <c r="O10" s="2153"/>
    </row>
    <row r="11" spans="4:19" ht="15.75" thickBot="1" x14ac:dyDescent="0.3">
      <c r="E11" s="43"/>
      <c r="F11" s="43"/>
      <c r="G11" s="43"/>
      <c r="H11" s="43"/>
      <c r="I11" s="43"/>
      <c r="J11" s="1908" t="s">
        <v>0</v>
      </c>
      <c r="K11" s="1909"/>
      <c r="L11" s="1908" t="s">
        <v>0</v>
      </c>
      <c r="M11" s="1909"/>
      <c r="N11" s="1908" t="s">
        <v>0</v>
      </c>
      <c r="O11" s="1909"/>
      <c r="P11" s="1838"/>
      <c r="Q11" s="1838"/>
    </row>
    <row r="12" spans="4:19" ht="19.5" thickBot="1" x14ac:dyDescent="0.35">
      <c r="E12" s="43"/>
      <c r="F12" s="43"/>
      <c r="G12" s="43"/>
      <c r="H12" s="43"/>
      <c r="I12" s="43"/>
      <c r="J12" s="563" t="s">
        <v>3</v>
      </c>
      <c r="K12" s="300" t="s">
        <v>4</v>
      </c>
      <c r="L12" s="564" t="s">
        <v>1</v>
      </c>
      <c r="M12" s="565" t="s">
        <v>2</v>
      </c>
      <c r="N12" s="550" t="s">
        <v>22</v>
      </c>
      <c r="O12" s="551" t="s">
        <v>4</v>
      </c>
      <c r="P12" s="548"/>
      <c r="Q12" s="547"/>
    </row>
    <row r="13" spans="4:19" x14ac:dyDescent="0.3">
      <c r="E13" s="43"/>
      <c r="F13" s="43"/>
      <c r="G13" s="43"/>
      <c r="H13" s="43"/>
      <c r="I13" s="43"/>
      <c r="J13" s="1857" t="s">
        <v>311</v>
      </c>
      <c r="K13" s="1858"/>
      <c r="L13" s="1857"/>
      <c r="M13" s="1858"/>
      <c r="N13" s="1857"/>
      <c r="O13" s="1858"/>
      <c r="P13" s="1838"/>
      <c r="Q13" s="1838"/>
    </row>
    <row r="14" spans="4:19" ht="15" thickBot="1" x14ac:dyDescent="0.35">
      <c r="E14" s="43"/>
      <c r="F14" s="43"/>
      <c r="G14" s="43"/>
      <c r="H14" s="43"/>
      <c r="I14" s="43"/>
      <c r="J14" s="1951"/>
      <c r="K14" s="1953"/>
      <c r="L14" s="1951"/>
      <c r="M14" s="1953"/>
      <c r="N14" s="1951"/>
      <c r="O14" s="1953"/>
      <c r="P14" s="1838"/>
      <c r="Q14" s="1838"/>
      <c r="R14" s="1849" t="s">
        <v>32</v>
      </c>
      <c r="S14" s="1846"/>
    </row>
    <row r="15" spans="4:19" ht="15" thickBot="1" x14ac:dyDescent="0.35">
      <c r="D15" s="293" t="s">
        <v>5</v>
      </c>
      <c r="E15" s="570" t="s">
        <v>6</v>
      </c>
      <c r="F15" s="301" t="s">
        <v>7</v>
      </c>
      <c r="G15" s="301" t="s">
        <v>8</v>
      </c>
      <c r="H15" s="224"/>
      <c r="I15" s="225"/>
      <c r="J15" s="564" t="s">
        <v>9</v>
      </c>
      <c r="K15" s="300" t="s">
        <v>10</v>
      </c>
      <c r="L15" s="549" t="s">
        <v>9</v>
      </c>
      <c r="M15" s="549" t="s">
        <v>10</v>
      </c>
      <c r="N15" s="564" t="s">
        <v>9</v>
      </c>
      <c r="O15" s="300" t="s">
        <v>10</v>
      </c>
      <c r="P15" s="43"/>
      <c r="Q15" s="43"/>
      <c r="R15" s="1850"/>
      <c r="S15" s="1848"/>
    </row>
    <row r="16" spans="4:19" ht="51" customHeight="1" thickBot="1" x14ac:dyDescent="0.35">
      <c r="D16" s="569">
        <v>1</v>
      </c>
      <c r="E16" s="571" t="s">
        <v>313</v>
      </c>
      <c r="F16" s="251" t="s">
        <v>304</v>
      </c>
      <c r="G16" s="251">
        <v>8</v>
      </c>
      <c r="H16" s="35"/>
      <c r="I16" s="9"/>
      <c r="J16" s="561">
        <v>78500</v>
      </c>
      <c r="K16" s="221">
        <f>G16*J16</f>
        <v>628000</v>
      </c>
      <c r="L16" s="552"/>
      <c r="M16" s="227"/>
      <c r="N16" s="32"/>
      <c r="O16" s="31"/>
      <c r="P16" s="16"/>
      <c r="Q16" s="16"/>
      <c r="R16" s="35">
        <v>3558.69</v>
      </c>
      <c r="S16" s="47">
        <f>+R16*O16</f>
        <v>0</v>
      </c>
    </row>
    <row r="17" spans="4:17" ht="18.600000000000001" thickBot="1" x14ac:dyDescent="0.35">
      <c r="D17" s="3"/>
      <c r="E17" s="209"/>
      <c r="F17" s="216"/>
      <c r="G17" s="6"/>
      <c r="H17" s="4"/>
      <c r="I17" s="4"/>
      <c r="J17" s="567" t="s">
        <v>10</v>
      </c>
      <c r="K17" s="250">
        <f>SUM(K16:K16)</f>
        <v>628000</v>
      </c>
      <c r="L17" s="567" t="s">
        <v>10</v>
      </c>
      <c r="M17" s="250"/>
      <c r="N17" s="13"/>
      <c r="O17" s="566"/>
      <c r="P17" s="6"/>
      <c r="Q17" s="6"/>
    </row>
    <row r="18" spans="4:17" x14ac:dyDescent="0.3">
      <c r="D18" s="3"/>
      <c r="E18" s="211"/>
      <c r="F18" s="175"/>
      <c r="G18" s="4"/>
      <c r="H18" s="4"/>
      <c r="I18" s="4"/>
      <c r="J18" s="14" t="s">
        <v>310</v>
      </c>
      <c r="K18" s="568"/>
      <c r="L18" s="4"/>
      <c r="M18" s="4"/>
      <c r="N18" s="4"/>
      <c r="O18" s="4"/>
      <c r="P18" s="6"/>
      <c r="Q18" s="6"/>
    </row>
    <row r="19" spans="4:17" x14ac:dyDescent="0.3">
      <c r="D19" s="3"/>
      <c r="E19" s="211"/>
      <c r="G19" s="4"/>
      <c r="H19" s="4"/>
      <c r="I19" s="4"/>
      <c r="J19" s="7"/>
      <c r="K19" s="5"/>
      <c r="L19" s="4"/>
      <c r="M19" s="4"/>
      <c r="N19" s="4"/>
      <c r="O19" s="4"/>
      <c r="P19" s="4"/>
      <c r="Q19" s="4"/>
    </row>
    <row r="20" spans="4:17" ht="15.75" customHeight="1" x14ac:dyDescent="0.3">
      <c r="D20" s="3"/>
      <c r="E20" s="211"/>
      <c r="G20" s="4"/>
      <c r="H20" s="4"/>
      <c r="I20" s="4"/>
      <c r="J20" s="7"/>
      <c r="K20" s="5"/>
      <c r="L20" s="4"/>
      <c r="M20" s="4"/>
      <c r="N20" s="4"/>
      <c r="O20" s="4"/>
      <c r="P20" s="4"/>
      <c r="Q20" s="4"/>
    </row>
    <row r="21" spans="4:17" ht="15.75" customHeight="1" thickBot="1" x14ac:dyDescent="0.35">
      <c r="G21" s="4"/>
      <c r="H21" s="4"/>
      <c r="I21" s="4"/>
      <c r="J21" s="8"/>
      <c r="K21" s="9"/>
      <c r="L21" s="4"/>
      <c r="M21" s="4"/>
      <c r="N21" s="4"/>
      <c r="O21" s="4"/>
      <c r="P21" s="4"/>
      <c r="Q21" s="4"/>
    </row>
    <row r="22" spans="4:17" ht="15.75" customHeight="1" x14ac:dyDescent="0.3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4:17" ht="15.75" customHeight="1" x14ac:dyDescent="0.3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4:17" ht="54" customHeight="1" x14ac:dyDescent="0.3">
      <c r="E24" s="143"/>
      <c r="F24" s="1408" t="s">
        <v>7</v>
      </c>
      <c r="G24" s="1408" t="s">
        <v>8</v>
      </c>
      <c r="H24" s="1429" t="s">
        <v>9</v>
      </c>
      <c r="I24" s="1429" t="s">
        <v>10</v>
      </c>
      <c r="J24" s="4"/>
      <c r="K24" s="4"/>
      <c r="L24" s="4"/>
      <c r="M24" s="4"/>
      <c r="N24" s="4"/>
      <c r="O24" s="4"/>
      <c r="P24" s="4"/>
      <c r="Q24" s="4"/>
    </row>
    <row r="25" spans="4:17" ht="54" customHeight="1" thickBot="1" x14ac:dyDescent="0.35">
      <c r="E25" s="558" t="s">
        <v>924</v>
      </c>
      <c r="F25" s="66" t="s">
        <v>19</v>
      </c>
      <c r="G25" s="1428">
        <v>1</v>
      </c>
      <c r="H25" s="1428">
        <v>380000</v>
      </c>
      <c r="I25" s="1428">
        <f>H25*G25</f>
        <v>380000</v>
      </c>
      <c r="J25" s="4"/>
      <c r="K25" s="4"/>
      <c r="L25" s="4"/>
      <c r="M25" s="4"/>
      <c r="N25" s="4"/>
      <c r="O25" s="4"/>
      <c r="P25" s="4"/>
      <c r="Q25" s="4"/>
    </row>
    <row r="26" spans="4:17" ht="67.2" customHeight="1" thickBot="1" x14ac:dyDescent="0.35">
      <c r="E26" s="558" t="s">
        <v>925</v>
      </c>
      <c r="F26" s="66" t="s">
        <v>19</v>
      </c>
      <c r="G26" s="1428">
        <v>3</v>
      </c>
      <c r="H26" s="1428">
        <v>480000</v>
      </c>
      <c r="I26" s="1428">
        <f t="shared" ref="I26:I27" si="0">H26*G26</f>
        <v>1440000</v>
      </c>
      <c r="J26" s="4"/>
      <c r="K26" s="4"/>
      <c r="L26" s="4"/>
      <c r="M26" s="4"/>
      <c r="N26" s="4"/>
      <c r="O26" s="4"/>
      <c r="P26" s="4"/>
      <c r="Q26" s="4"/>
    </row>
    <row r="27" spans="4:17" ht="54" customHeight="1" thickBot="1" x14ac:dyDescent="0.35">
      <c r="E27" s="558" t="s">
        <v>923</v>
      </c>
      <c r="F27" s="66" t="s">
        <v>19</v>
      </c>
      <c r="G27" s="1428">
        <v>23</v>
      </c>
      <c r="H27" s="1428">
        <v>650000</v>
      </c>
      <c r="I27" s="1430">
        <f t="shared" si="0"/>
        <v>14950000</v>
      </c>
      <c r="J27" s="4"/>
      <c r="K27" s="4"/>
      <c r="L27" s="4"/>
      <c r="M27" s="4"/>
      <c r="N27" s="4"/>
      <c r="O27" s="4"/>
      <c r="P27" s="4"/>
      <c r="Q27" s="4"/>
    </row>
    <row r="28" spans="4:17" ht="18.600000000000001" thickBot="1" x14ac:dyDescent="0.4">
      <c r="I28" s="780">
        <f>SUM(I25:I27)</f>
        <v>16770000</v>
      </c>
      <c r="J28" s="43"/>
      <c r="K28" s="43"/>
      <c r="L28" s="1834"/>
      <c r="M28" s="1834"/>
      <c r="N28" s="43"/>
      <c r="O28" s="43"/>
    </row>
    <row r="29" spans="4:17" x14ac:dyDescent="0.3">
      <c r="J29" s="43"/>
      <c r="K29" s="43"/>
      <c r="L29" s="43"/>
      <c r="M29" s="43"/>
      <c r="N29" s="43"/>
      <c r="O29" s="43"/>
    </row>
    <row r="30" spans="4:17" x14ac:dyDescent="0.3">
      <c r="E30" s="1432" t="s">
        <v>928</v>
      </c>
      <c r="J30" s="43"/>
      <c r="K30" s="43"/>
      <c r="L30" s="43"/>
      <c r="M30" s="43"/>
      <c r="N30" s="43"/>
      <c r="O30" s="43"/>
    </row>
    <row r="31" spans="4:17" ht="15" thickBot="1" x14ac:dyDescent="0.35">
      <c r="J31" s="43"/>
      <c r="K31" s="43"/>
      <c r="L31" s="43"/>
      <c r="M31" s="43"/>
      <c r="N31" s="43"/>
      <c r="O31" s="43"/>
    </row>
    <row r="32" spans="4:17" ht="29.4" thickBot="1" x14ac:dyDescent="0.4">
      <c r="E32" s="1431" t="s">
        <v>927</v>
      </c>
      <c r="F32" s="33" t="s">
        <v>19</v>
      </c>
      <c r="G32" s="33">
        <v>16</v>
      </c>
      <c r="H32" s="1653">
        <v>135000</v>
      </c>
      <c r="I32" s="780">
        <f>H32*G32</f>
        <v>2160000</v>
      </c>
      <c r="J32" s="43"/>
      <c r="K32" s="43"/>
      <c r="L32" s="43"/>
      <c r="M32" s="43"/>
      <c r="N32" s="43"/>
      <c r="O32" s="43"/>
    </row>
    <row r="33" spans="5:5" x14ac:dyDescent="0.3">
      <c r="E33" s="40" t="s">
        <v>926</v>
      </c>
    </row>
  </sheetData>
  <mergeCells count="13">
    <mergeCell ref="L28:M28"/>
    <mergeCell ref="R14:S15"/>
    <mergeCell ref="E9:O9"/>
    <mergeCell ref="J10:O10"/>
    <mergeCell ref="J11:K11"/>
    <mergeCell ref="L11:M11"/>
    <mergeCell ref="N11:O11"/>
    <mergeCell ref="P11:Q11"/>
    <mergeCell ref="J13:K14"/>
    <mergeCell ref="L13:M14"/>
    <mergeCell ref="N13:O14"/>
    <mergeCell ref="P13:Q13"/>
    <mergeCell ref="P14:Q14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D8:S52"/>
  <sheetViews>
    <sheetView topLeftCell="A4" workbookViewId="0">
      <selection activeCell="E23" sqref="E23"/>
    </sheetView>
  </sheetViews>
  <sheetFormatPr baseColWidth="10" defaultColWidth="11.44140625" defaultRowHeight="14.4" x14ac:dyDescent="0.3"/>
  <cols>
    <col min="1" max="4" width="11.44140625" style="40"/>
    <col min="5" max="5" width="46" style="40" customWidth="1"/>
    <col min="6" max="6" width="11.44140625" style="40"/>
    <col min="7" max="8" width="11.5546875" style="40" bestFit="1" customWidth="1"/>
    <col min="9" max="9" width="12.5546875" style="40" bestFit="1" customWidth="1"/>
    <col min="10" max="10" width="14.33203125" style="40" customWidth="1"/>
    <col min="11" max="11" width="24.44140625" style="40" customWidth="1"/>
    <col min="12" max="12" width="17.5546875" style="40" bestFit="1" customWidth="1"/>
    <col min="13" max="13" width="22.109375" style="40" customWidth="1"/>
    <col min="14" max="14" width="17" style="40" customWidth="1"/>
    <col min="15" max="15" width="19.109375" style="40" customWidth="1"/>
    <col min="16" max="16" width="20" style="40" customWidth="1"/>
    <col min="17" max="17" width="21.33203125" style="40" customWidth="1"/>
    <col min="18" max="16384" width="11.44140625" style="40"/>
  </cols>
  <sheetData>
    <row r="8" spans="4:19" ht="15" x14ac:dyDescent="0.25">
      <c r="H8" s="43"/>
      <c r="I8" s="43"/>
    </row>
    <row r="9" spans="4:19" ht="24" thickBot="1" x14ac:dyDescent="0.4">
      <c r="E9" s="2062" t="s">
        <v>312</v>
      </c>
      <c r="F9" s="2062"/>
      <c r="G9" s="2062"/>
      <c r="H9" s="2062"/>
      <c r="I9" s="2062"/>
      <c r="J9" s="2062"/>
      <c r="K9" s="2062"/>
      <c r="L9" s="2062"/>
      <c r="M9" s="2062"/>
      <c r="N9" s="2062"/>
      <c r="O9" s="2062"/>
    </row>
    <row r="10" spans="4:19" ht="15.75" thickBot="1" x14ac:dyDescent="0.3">
      <c r="E10" s="43"/>
      <c r="F10" s="43"/>
      <c r="G10" s="43"/>
      <c r="H10" s="43"/>
      <c r="I10" s="43"/>
      <c r="J10" s="2152" t="s">
        <v>105</v>
      </c>
      <c r="K10" s="2127"/>
      <c r="L10" s="2127"/>
      <c r="M10" s="2127"/>
      <c r="N10" s="2127"/>
      <c r="O10" s="2153"/>
    </row>
    <row r="11" spans="4:19" ht="15.75" thickBot="1" x14ac:dyDescent="0.3">
      <c r="E11" s="43"/>
      <c r="F11" s="43"/>
      <c r="G11" s="43"/>
      <c r="H11" s="43"/>
      <c r="I11" s="43"/>
      <c r="J11" s="1908" t="s">
        <v>0</v>
      </c>
      <c r="K11" s="1909"/>
      <c r="L11" s="1908" t="s">
        <v>0</v>
      </c>
      <c r="M11" s="1909"/>
      <c r="N11" s="1908" t="s">
        <v>0</v>
      </c>
      <c r="O11" s="1909"/>
      <c r="P11" s="1838"/>
      <c r="Q11" s="1838"/>
    </row>
    <row r="12" spans="4:19" ht="19.5" thickBot="1" x14ac:dyDescent="0.35">
      <c r="E12" s="43"/>
      <c r="F12" s="43"/>
      <c r="G12" s="43"/>
      <c r="H12" s="43"/>
      <c r="I12" s="43"/>
      <c r="J12" s="563" t="s">
        <v>3</v>
      </c>
      <c r="K12" s="300" t="s">
        <v>4</v>
      </c>
      <c r="L12" s="564" t="s">
        <v>1</v>
      </c>
      <c r="M12" s="565" t="s">
        <v>2</v>
      </c>
      <c r="N12" s="550" t="s">
        <v>22</v>
      </c>
      <c r="O12" s="551" t="s">
        <v>4</v>
      </c>
      <c r="P12" s="548"/>
      <c r="Q12" s="547"/>
    </row>
    <row r="13" spans="4:19" x14ac:dyDescent="0.3">
      <c r="E13" s="43"/>
      <c r="F13" s="43"/>
      <c r="G13" s="43"/>
      <c r="H13" s="43"/>
      <c r="I13" s="43"/>
      <c r="J13" s="1857" t="s">
        <v>311</v>
      </c>
      <c r="K13" s="1858"/>
      <c r="L13" s="1857"/>
      <c r="M13" s="1858"/>
      <c r="N13" s="1857"/>
      <c r="O13" s="1858"/>
      <c r="P13" s="1838"/>
      <c r="Q13" s="1838"/>
    </row>
    <row r="14" spans="4:19" ht="15" thickBot="1" x14ac:dyDescent="0.35">
      <c r="E14" s="43"/>
      <c r="F14" s="43"/>
      <c r="G14" s="43"/>
      <c r="H14" s="43"/>
      <c r="I14" s="43"/>
      <c r="J14" s="1951"/>
      <c r="K14" s="1953"/>
      <c r="L14" s="1951"/>
      <c r="M14" s="1953"/>
      <c r="N14" s="1951"/>
      <c r="O14" s="1953"/>
      <c r="P14" s="1838"/>
      <c r="Q14" s="1838"/>
      <c r="R14" s="1849" t="s">
        <v>32</v>
      </c>
      <c r="S14" s="1846"/>
    </row>
    <row r="15" spans="4:19" ht="15" thickBot="1" x14ac:dyDescent="0.35">
      <c r="D15" s="293" t="s">
        <v>5</v>
      </c>
      <c r="E15" s="570" t="s">
        <v>6</v>
      </c>
      <c r="F15" s="301" t="s">
        <v>7</v>
      </c>
      <c r="G15" s="301" t="s">
        <v>8</v>
      </c>
      <c r="H15" s="224"/>
      <c r="I15" s="225"/>
      <c r="J15" s="564" t="s">
        <v>9</v>
      </c>
      <c r="K15" s="300" t="s">
        <v>10</v>
      </c>
      <c r="L15" s="549" t="s">
        <v>9</v>
      </c>
      <c r="M15" s="549" t="s">
        <v>10</v>
      </c>
      <c r="N15" s="564" t="s">
        <v>9</v>
      </c>
      <c r="O15" s="300" t="s">
        <v>10</v>
      </c>
      <c r="P15" s="43"/>
      <c r="Q15" s="43"/>
      <c r="R15" s="1850"/>
      <c r="S15" s="1848"/>
    </row>
    <row r="16" spans="4:19" ht="51" customHeight="1" thickBot="1" x14ac:dyDescent="0.35">
      <c r="D16" s="569">
        <v>1</v>
      </c>
      <c r="E16" s="571" t="s">
        <v>309</v>
      </c>
      <c r="F16" s="251" t="s">
        <v>11</v>
      </c>
      <c r="G16" s="251">
        <v>134</v>
      </c>
      <c r="H16" s="35"/>
      <c r="I16" s="9"/>
      <c r="J16" s="561">
        <v>18903.39</v>
      </c>
      <c r="K16" s="221">
        <f>G16*J16</f>
        <v>2533054.2599999998</v>
      </c>
      <c r="L16" s="552"/>
      <c r="M16" s="227"/>
      <c r="N16" s="32"/>
      <c r="O16" s="31"/>
      <c r="P16" s="16"/>
      <c r="Q16" s="16"/>
      <c r="R16" s="35">
        <v>3558.69</v>
      </c>
      <c r="S16" s="47">
        <f>+R16*O16</f>
        <v>0</v>
      </c>
    </row>
    <row r="17" spans="4:17" ht="18.600000000000001" thickBot="1" x14ac:dyDescent="0.35">
      <c r="D17" s="3"/>
      <c r="E17" s="209"/>
      <c r="F17" s="216"/>
      <c r="G17" s="6"/>
      <c r="H17" s="4"/>
      <c r="I17" s="4"/>
      <c r="J17" s="567" t="s">
        <v>10</v>
      </c>
      <c r="K17" s="250">
        <f>SUM(K16:K16)</f>
        <v>2533054.2599999998</v>
      </c>
      <c r="L17" s="567" t="s">
        <v>10</v>
      </c>
      <c r="M17" s="250"/>
      <c r="N17" s="13"/>
      <c r="O17" s="566"/>
      <c r="P17" s="6"/>
      <c r="Q17" s="6"/>
    </row>
    <row r="18" spans="4:17" x14ac:dyDescent="0.3">
      <c r="D18" s="3"/>
      <c r="E18" s="211"/>
      <c r="F18" s="175"/>
      <c r="G18" s="4"/>
      <c r="H18" s="4"/>
      <c r="I18" s="4"/>
      <c r="J18" s="14" t="s">
        <v>310</v>
      </c>
      <c r="K18" s="568"/>
      <c r="L18" s="4"/>
      <c r="M18" s="4"/>
      <c r="N18" s="4"/>
      <c r="O18" s="4"/>
      <c r="P18" s="6"/>
      <c r="Q18" s="6"/>
    </row>
    <row r="19" spans="4:17" x14ac:dyDescent="0.3">
      <c r="D19" s="3"/>
      <c r="E19" s="211"/>
      <c r="G19" s="4"/>
      <c r="H19" s="4"/>
      <c r="I19" s="4"/>
      <c r="J19" s="7"/>
      <c r="K19" s="5"/>
      <c r="L19" s="4"/>
      <c r="M19" s="4"/>
      <c r="N19" s="4"/>
      <c r="O19" s="4"/>
      <c r="P19" s="4"/>
      <c r="Q19" s="4"/>
    </row>
    <row r="20" spans="4:17" ht="15.75" customHeight="1" x14ac:dyDescent="0.3">
      <c r="D20" s="3"/>
      <c r="E20" s="211"/>
      <c r="G20" s="4"/>
      <c r="H20" s="4"/>
      <c r="I20" s="4"/>
      <c r="J20" s="7"/>
      <c r="K20" s="5"/>
      <c r="L20" s="4"/>
      <c r="M20" s="4"/>
      <c r="N20" s="4"/>
      <c r="O20" s="4"/>
      <c r="P20" s="4"/>
      <c r="Q20" s="4"/>
    </row>
    <row r="21" spans="4:17" ht="15.75" customHeight="1" thickBot="1" x14ac:dyDescent="0.35">
      <c r="G21" s="4"/>
      <c r="H21" s="4"/>
      <c r="I21" s="4"/>
      <c r="J21" s="8"/>
      <c r="K21" s="9"/>
      <c r="L21" s="4"/>
      <c r="M21" s="4"/>
      <c r="N21" s="4"/>
      <c r="O21" s="4"/>
      <c r="P21" s="4"/>
      <c r="Q21" s="4"/>
    </row>
    <row r="22" spans="4:17" ht="15.75" customHeight="1" x14ac:dyDescent="0.3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4:17" ht="15.75" customHeight="1" x14ac:dyDescent="0.3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4:17" ht="15.75" customHeight="1" x14ac:dyDescent="0.3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4:17" ht="15.75" customHeight="1" x14ac:dyDescent="0.3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4:17" ht="15.75" customHeight="1" x14ac:dyDescent="0.3"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4:17" ht="15.75" customHeight="1" x14ac:dyDescent="0.3"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4:17" ht="15.75" customHeight="1" x14ac:dyDescent="0.3">
      <c r="G28" s="4"/>
      <c r="H28" s="4"/>
      <c r="I28" s="4"/>
      <c r="J28" s="6"/>
      <c r="K28" s="6"/>
      <c r="L28" s="6"/>
      <c r="M28" s="6"/>
      <c r="N28" s="6"/>
      <c r="O28" s="6"/>
      <c r="P28" s="4"/>
      <c r="Q28" s="4"/>
    </row>
    <row r="29" spans="4:17" ht="15.75" customHeight="1" x14ac:dyDescent="0.3">
      <c r="G29" s="4"/>
      <c r="H29" s="4"/>
      <c r="I29" s="4"/>
      <c r="J29" s="1906"/>
      <c r="K29" s="1906"/>
      <c r="L29" s="1906"/>
      <c r="M29" s="1906"/>
      <c r="N29" s="1906"/>
      <c r="O29" s="1906"/>
      <c r="P29" s="4"/>
      <c r="Q29" s="4"/>
    </row>
    <row r="30" spans="4:17" ht="15.75" customHeight="1" x14ac:dyDescent="0.3">
      <c r="G30" s="4"/>
      <c r="H30" s="4"/>
      <c r="I30" s="4"/>
      <c r="J30" s="1838"/>
      <c r="K30" s="1838"/>
      <c r="L30" s="1838"/>
      <c r="M30" s="1838"/>
      <c r="N30" s="1838"/>
      <c r="O30" s="1838"/>
      <c r="P30" s="4"/>
      <c r="Q30" s="4"/>
    </row>
    <row r="31" spans="4:17" ht="15.75" customHeight="1" x14ac:dyDescent="0.35">
      <c r="G31" s="4"/>
      <c r="H31" s="4"/>
      <c r="I31" s="4"/>
      <c r="J31" s="547"/>
      <c r="K31" s="548"/>
      <c r="L31" s="548"/>
      <c r="M31" s="547"/>
      <c r="N31" s="548"/>
      <c r="O31" s="547"/>
      <c r="P31" s="4"/>
      <c r="Q31" s="4"/>
    </row>
    <row r="32" spans="4:17" ht="18" x14ac:dyDescent="0.35">
      <c r="G32" s="4"/>
      <c r="H32" s="4"/>
      <c r="I32" s="4"/>
      <c r="J32" s="1835"/>
      <c r="K32" s="1835"/>
      <c r="L32" s="1859"/>
      <c r="M32" s="1859"/>
      <c r="N32" s="1859"/>
      <c r="O32" s="1859"/>
      <c r="P32" s="4"/>
      <c r="Q32" s="4"/>
    </row>
    <row r="33" spans="6:19" ht="29.25" customHeight="1" x14ac:dyDescent="0.3">
      <c r="G33" s="4"/>
      <c r="H33" s="4"/>
      <c r="I33" s="4"/>
      <c r="J33" s="1835"/>
      <c r="K33" s="1835"/>
      <c r="L33" s="1835"/>
      <c r="M33" s="1835"/>
      <c r="N33" s="1835"/>
      <c r="O33" s="1835"/>
      <c r="P33" s="43"/>
      <c r="Q33" s="43"/>
      <c r="R33" s="43"/>
      <c r="S33" s="43"/>
    </row>
    <row r="34" spans="6:19" x14ac:dyDescent="0.3">
      <c r="G34" s="4"/>
      <c r="H34" s="4"/>
      <c r="I34" s="4"/>
      <c r="J34" s="25"/>
      <c r="K34" s="25"/>
      <c r="L34" s="25"/>
      <c r="M34" s="25"/>
      <c r="N34" s="25"/>
      <c r="O34" s="25"/>
      <c r="P34" s="43"/>
      <c r="Q34" s="43"/>
      <c r="R34" s="43"/>
      <c r="S34" s="43"/>
    </row>
    <row r="35" spans="6:19" x14ac:dyDescent="0.3">
      <c r="F35" s="33"/>
      <c r="G35" s="34"/>
      <c r="H35" s="34"/>
      <c r="I35" s="34"/>
      <c r="J35" s="6"/>
      <c r="K35" s="25"/>
      <c r="L35" s="50"/>
      <c r="M35" s="25"/>
      <c r="N35" s="25"/>
      <c r="O35" s="25"/>
      <c r="P35" s="43"/>
      <c r="Q35" s="43"/>
      <c r="R35" s="43"/>
      <c r="S35" s="43"/>
    </row>
    <row r="36" spans="6:19" x14ac:dyDescent="0.3">
      <c r="F36" s="33"/>
      <c r="G36" s="34"/>
      <c r="H36" s="4"/>
      <c r="I36" s="4"/>
      <c r="J36" s="6"/>
      <c r="K36" s="25"/>
      <c r="L36" s="25"/>
      <c r="M36" s="25"/>
      <c r="N36" s="25"/>
      <c r="O36" s="25"/>
      <c r="P36" s="43"/>
      <c r="Q36" s="43"/>
      <c r="R36" s="43"/>
      <c r="S36" s="43"/>
    </row>
    <row r="37" spans="6:19" x14ac:dyDescent="0.3">
      <c r="F37" s="33"/>
      <c r="G37" s="34"/>
      <c r="H37" s="4"/>
      <c r="I37" s="4"/>
      <c r="J37" s="6"/>
      <c r="K37" s="25"/>
      <c r="L37" s="25"/>
      <c r="M37" s="25"/>
      <c r="N37" s="25"/>
      <c r="O37" s="25"/>
      <c r="P37" s="43"/>
      <c r="Q37" s="43"/>
      <c r="R37" s="43"/>
      <c r="S37" s="43"/>
    </row>
    <row r="38" spans="6:19" x14ac:dyDescent="0.3">
      <c r="F38" s="33"/>
      <c r="G38" s="34"/>
      <c r="H38" s="4"/>
      <c r="I38" s="4"/>
      <c r="J38" s="6"/>
      <c r="K38" s="25"/>
      <c r="L38" s="25"/>
      <c r="M38" s="25"/>
      <c r="N38" s="25"/>
      <c r="O38" s="25"/>
      <c r="P38" s="43"/>
      <c r="Q38" s="43"/>
      <c r="R38" s="43"/>
      <c r="S38" s="43"/>
    </row>
    <row r="39" spans="6:19" x14ac:dyDescent="0.3">
      <c r="F39" s="33"/>
      <c r="G39" s="34"/>
      <c r="H39" s="4"/>
      <c r="I39" s="4"/>
      <c r="J39" s="6"/>
      <c r="K39" s="25"/>
      <c r="L39" s="25"/>
      <c r="M39" s="25"/>
      <c r="N39" s="25"/>
      <c r="O39" s="25"/>
      <c r="P39" s="43"/>
      <c r="Q39" s="43"/>
      <c r="R39" s="43"/>
      <c r="S39" s="43"/>
    </row>
    <row r="40" spans="6:19" x14ac:dyDescent="0.3">
      <c r="G40" s="4"/>
      <c r="H40" s="4"/>
      <c r="I40" s="4"/>
      <c r="J40" s="6"/>
      <c r="K40" s="6"/>
      <c r="L40" s="6"/>
      <c r="M40" s="6"/>
      <c r="N40" s="6"/>
      <c r="O40" s="6"/>
      <c r="P40" s="43"/>
      <c r="Q40" s="43"/>
      <c r="R40" s="43"/>
      <c r="S40" s="43"/>
    </row>
    <row r="41" spans="6:19" ht="18" x14ac:dyDescent="0.35">
      <c r="G41" s="4"/>
      <c r="H41" s="4"/>
      <c r="I41" s="4"/>
      <c r="J41" s="6"/>
      <c r="K41" s="36"/>
      <c r="L41" s="51"/>
      <c r="M41" s="52"/>
      <c r="N41" s="51"/>
      <c r="O41" s="53"/>
      <c r="Q41" s="37"/>
      <c r="R41" s="43"/>
      <c r="S41" s="43"/>
    </row>
    <row r="42" spans="6:19" x14ac:dyDescent="0.3">
      <c r="J42" s="43"/>
      <c r="K42" s="43"/>
      <c r="L42" s="43"/>
      <c r="M42" s="43"/>
      <c r="N42" s="43"/>
      <c r="O42" s="43"/>
    </row>
    <row r="43" spans="6:19" x14ac:dyDescent="0.3">
      <c r="J43" s="43"/>
      <c r="K43" s="43"/>
      <c r="L43" s="43"/>
      <c r="M43" s="43"/>
      <c r="N43" s="43"/>
      <c r="O43" s="43"/>
    </row>
    <row r="44" spans="6:19" ht="15.6" x14ac:dyDescent="0.3">
      <c r="J44" s="43"/>
      <c r="K44" s="43"/>
      <c r="L44" s="1834"/>
      <c r="M44" s="1834"/>
      <c r="N44" s="43"/>
      <c r="O44" s="43"/>
    </row>
    <row r="45" spans="6:19" x14ac:dyDescent="0.3">
      <c r="J45" s="43"/>
      <c r="K45" s="43"/>
      <c r="L45" s="43"/>
      <c r="M45" s="43"/>
      <c r="N45" s="43"/>
      <c r="O45" s="43"/>
    </row>
    <row r="46" spans="6:19" ht="15.6" x14ac:dyDescent="0.3">
      <c r="J46" s="43"/>
      <c r="K46" s="43"/>
      <c r="L46" s="1834"/>
      <c r="M46" s="1834"/>
      <c r="N46" s="43"/>
      <c r="O46" s="43"/>
    </row>
    <row r="47" spans="6:19" x14ac:dyDescent="0.3">
      <c r="J47" s="43"/>
      <c r="K47" s="43"/>
      <c r="L47" s="43"/>
      <c r="M47" s="43"/>
      <c r="N47" s="43"/>
      <c r="O47" s="43"/>
    </row>
    <row r="48" spans="6:19" x14ac:dyDescent="0.3">
      <c r="J48" s="43"/>
      <c r="K48" s="43"/>
      <c r="L48" s="43"/>
      <c r="M48" s="43"/>
      <c r="N48" s="43"/>
      <c r="O48" s="43"/>
    </row>
    <row r="49" spans="10:15" x14ac:dyDescent="0.3">
      <c r="J49" s="43"/>
      <c r="K49" s="43"/>
      <c r="L49" s="43"/>
      <c r="M49" s="43"/>
      <c r="N49" s="43"/>
      <c r="O49" s="43"/>
    </row>
    <row r="50" spans="10:15" x14ac:dyDescent="0.3">
      <c r="J50" s="43"/>
      <c r="K50" s="43"/>
      <c r="L50" s="43"/>
      <c r="M50" s="43"/>
      <c r="N50" s="43"/>
      <c r="O50" s="43"/>
    </row>
    <row r="51" spans="10:15" x14ac:dyDescent="0.3">
      <c r="J51" s="43"/>
      <c r="K51" s="43"/>
      <c r="L51" s="43"/>
      <c r="M51" s="43"/>
      <c r="N51" s="43"/>
      <c r="O51" s="43"/>
    </row>
    <row r="52" spans="10:15" x14ac:dyDescent="0.3">
      <c r="J52" s="43"/>
      <c r="K52" s="43"/>
      <c r="L52" s="43"/>
      <c r="M52" s="43"/>
      <c r="N52" s="43"/>
      <c r="O52" s="43"/>
    </row>
  </sheetData>
  <mergeCells count="22">
    <mergeCell ref="R14:S15"/>
    <mergeCell ref="E9:O9"/>
    <mergeCell ref="J10:O10"/>
    <mergeCell ref="J11:K11"/>
    <mergeCell ref="L11:M11"/>
    <mergeCell ref="N11:O11"/>
    <mergeCell ref="P11:Q11"/>
    <mergeCell ref="J13:K14"/>
    <mergeCell ref="L13:M14"/>
    <mergeCell ref="N13:O14"/>
    <mergeCell ref="P13:Q13"/>
    <mergeCell ref="P14:Q14"/>
    <mergeCell ref="L46:M46"/>
    <mergeCell ref="J29:O29"/>
    <mergeCell ref="J30:K30"/>
    <mergeCell ref="L30:M30"/>
    <mergeCell ref="N30:O30"/>
    <mergeCell ref="J32:K33"/>
    <mergeCell ref="L32:O32"/>
    <mergeCell ref="L33:M33"/>
    <mergeCell ref="N33:O33"/>
    <mergeCell ref="L44:M44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FF0000"/>
  </sheetPr>
  <dimension ref="D8:S66"/>
  <sheetViews>
    <sheetView topLeftCell="A10" workbookViewId="0">
      <selection activeCell="J22" sqref="J22"/>
    </sheetView>
  </sheetViews>
  <sheetFormatPr baseColWidth="10" defaultColWidth="11.44140625" defaultRowHeight="14.4" x14ac:dyDescent="0.3"/>
  <cols>
    <col min="1" max="4" width="11.44140625" style="40"/>
    <col min="5" max="5" width="46" style="40" customWidth="1"/>
    <col min="6" max="6" width="11.44140625" style="40"/>
    <col min="7" max="8" width="11.5546875" style="40" bestFit="1" customWidth="1"/>
    <col min="9" max="9" width="12.5546875" style="40" bestFit="1" customWidth="1"/>
    <col min="10" max="10" width="25.88671875" style="40" customWidth="1"/>
    <col min="11" max="11" width="24.44140625" style="40" customWidth="1"/>
    <col min="12" max="12" width="17.5546875" style="40" bestFit="1" customWidth="1"/>
    <col min="13" max="13" width="17.5546875" style="40" customWidth="1"/>
    <col min="14" max="14" width="17" style="40" customWidth="1"/>
    <col min="15" max="15" width="19.109375" style="40" customWidth="1"/>
    <col min="16" max="16" width="20" style="40" customWidth="1"/>
    <col min="17" max="17" width="21.33203125" style="40" customWidth="1"/>
    <col min="18" max="16384" width="11.44140625" style="40"/>
  </cols>
  <sheetData>
    <row r="8" spans="4:19" ht="15" x14ac:dyDescent="0.25">
      <c r="H8" s="43"/>
      <c r="I8" s="43"/>
    </row>
    <row r="9" spans="4:19" ht="24" thickBot="1" x14ac:dyDescent="0.4">
      <c r="E9" s="1947" t="s">
        <v>909</v>
      </c>
      <c r="F9" s="1947"/>
      <c r="G9" s="1947"/>
      <c r="H9" s="1947"/>
      <c r="I9" s="1947"/>
      <c r="J9" s="1947"/>
      <c r="K9" s="1947"/>
      <c r="L9" s="1947"/>
      <c r="M9" s="1947"/>
      <c r="N9" s="1947"/>
      <c r="O9" s="1947"/>
    </row>
    <row r="10" spans="4:19" ht="15.75" thickBot="1" x14ac:dyDescent="0.3">
      <c r="I10" s="2"/>
      <c r="J10" s="1896" t="s">
        <v>21</v>
      </c>
      <c r="K10" s="1864"/>
      <c r="L10" s="1864"/>
      <c r="M10" s="1864"/>
      <c r="N10" s="1864"/>
      <c r="O10" s="1865"/>
    </row>
    <row r="11" spans="4:19" ht="15" x14ac:dyDescent="0.25">
      <c r="I11" s="43"/>
      <c r="J11" s="1836" t="s">
        <v>0</v>
      </c>
      <c r="K11" s="1837"/>
      <c r="L11" s="1838" t="s">
        <v>0</v>
      </c>
      <c r="M11" s="1839"/>
      <c r="N11" s="1840" t="s">
        <v>0</v>
      </c>
      <c r="O11" s="1837"/>
      <c r="P11" s="1838"/>
      <c r="Q11" s="1838"/>
    </row>
    <row r="12" spans="4:19" ht="18.75" x14ac:dyDescent="0.3">
      <c r="I12" s="43"/>
      <c r="J12" s="992" t="s">
        <v>1</v>
      </c>
      <c r="K12" s="203" t="s">
        <v>2</v>
      </c>
      <c r="L12" s="993" t="s">
        <v>1</v>
      </c>
      <c r="M12" s="195" t="s">
        <v>2</v>
      </c>
      <c r="N12" s="195" t="s">
        <v>3</v>
      </c>
      <c r="O12" s="46" t="s">
        <v>4</v>
      </c>
      <c r="P12" s="170"/>
      <c r="Q12" s="167"/>
    </row>
    <row r="13" spans="4:19" x14ac:dyDescent="0.3">
      <c r="I13" s="43"/>
      <c r="J13" s="1841" t="s">
        <v>515</v>
      </c>
      <c r="K13" s="1842"/>
      <c r="L13" s="1845"/>
      <c r="M13" s="1846"/>
      <c r="N13" s="1849"/>
      <c r="O13" s="1842"/>
      <c r="P13" s="1838"/>
      <c r="Q13" s="1838"/>
    </row>
    <row r="14" spans="4:19" ht="15" thickBot="1" x14ac:dyDescent="0.35">
      <c r="I14" s="43"/>
      <c r="J14" s="1857"/>
      <c r="K14" s="1858"/>
      <c r="L14" s="1955"/>
      <c r="M14" s="1956"/>
      <c r="N14" s="1957"/>
      <c r="O14" s="1858"/>
      <c r="P14" s="1838"/>
      <c r="Q14" s="1838"/>
      <c r="R14" s="1849" t="s">
        <v>32</v>
      </c>
      <c r="S14" s="1846"/>
    </row>
    <row r="15" spans="4:19" ht="15" thickBot="1" x14ac:dyDescent="0.35">
      <c r="D15" s="222" t="s">
        <v>5</v>
      </c>
      <c r="E15" s="767" t="s">
        <v>6</v>
      </c>
      <c r="F15" s="224" t="s">
        <v>7</v>
      </c>
      <c r="G15" s="225" t="s">
        <v>8</v>
      </c>
      <c r="H15" s="43"/>
      <c r="I15" s="43"/>
      <c r="J15" s="994" t="s">
        <v>9</v>
      </c>
      <c r="K15" s="996" t="s">
        <v>10</v>
      </c>
      <c r="L15" s="995" t="s">
        <v>9</v>
      </c>
      <c r="M15" s="996" t="s">
        <v>10</v>
      </c>
      <c r="N15" s="994" t="s">
        <v>9</v>
      </c>
      <c r="O15" s="996" t="s">
        <v>10</v>
      </c>
      <c r="P15" s="43"/>
      <c r="Q15" s="43"/>
      <c r="R15" s="1850"/>
      <c r="S15" s="1848"/>
    </row>
    <row r="16" spans="4:19" ht="36.75" customHeight="1" x14ac:dyDescent="0.3">
      <c r="D16" s="204">
        <v>1</v>
      </c>
      <c r="E16" s="209" t="s">
        <v>508</v>
      </c>
      <c r="F16" s="216" t="s">
        <v>509</v>
      </c>
      <c r="G16" s="213">
        <v>1</v>
      </c>
      <c r="H16" s="43"/>
      <c r="I16" s="43"/>
      <c r="J16" s="214">
        <v>180000</v>
      </c>
      <c r="K16" s="213">
        <f>G16*J16</f>
        <v>180000</v>
      </c>
      <c r="L16" s="991"/>
      <c r="M16" s="990"/>
      <c r="N16" s="989"/>
      <c r="O16" s="990"/>
      <c r="P16" s="43"/>
      <c r="Q16" s="43"/>
      <c r="R16" s="168"/>
      <c r="S16" s="168"/>
    </row>
    <row r="17" spans="4:19" ht="36.75" customHeight="1" x14ac:dyDescent="0.3">
      <c r="D17" s="204">
        <v>2</v>
      </c>
      <c r="E17" s="209" t="s">
        <v>510</v>
      </c>
      <c r="F17" s="216" t="s">
        <v>511</v>
      </c>
      <c r="G17" s="213">
        <v>1</v>
      </c>
      <c r="H17" s="43"/>
      <c r="I17" s="43"/>
      <c r="J17" s="214">
        <v>120000</v>
      </c>
      <c r="K17" s="213">
        <f t="shared" ref="K17:K21" si="0">G17*J17</f>
        <v>120000</v>
      </c>
      <c r="L17" s="991"/>
      <c r="M17" s="990"/>
      <c r="N17" s="989"/>
      <c r="O17" s="990"/>
      <c r="P17" s="43"/>
      <c r="Q17" s="43"/>
      <c r="R17" s="168"/>
      <c r="S17" s="168"/>
    </row>
    <row r="18" spans="4:19" ht="36.75" customHeight="1" x14ac:dyDescent="0.3">
      <c r="D18" s="204">
        <v>3</v>
      </c>
      <c r="E18" s="209" t="s">
        <v>512</v>
      </c>
      <c r="F18" s="216" t="s">
        <v>509</v>
      </c>
      <c r="G18" s="213">
        <v>1</v>
      </c>
      <c r="H18" s="43"/>
      <c r="I18" s="43"/>
      <c r="J18" s="214">
        <v>350000</v>
      </c>
      <c r="K18" s="213">
        <f t="shared" si="0"/>
        <v>350000</v>
      </c>
      <c r="L18" s="991"/>
      <c r="M18" s="990"/>
      <c r="N18" s="989"/>
      <c r="O18" s="990"/>
      <c r="P18" s="43"/>
      <c r="Q18" s="43"/>
      <c r="R18" s="168"/>
      <c r="S18" s="168"/>
    </row>
    <row r="19" spans="4:19" ht="36.75" customHeight="1" x14ac:dyDescent="0.3">
      <c r="D19" s="204">
        <v>4</v>
      </c>
      <c r="E19" s="209" t="s">
        <v>513</v>
      </c>
      <c r="F19" s="216" t="s">
        <v>509</v>
      </c>
      <c r="G19" s="217">
        <v>1</v>
      </c>
      <c r="H19" s="43"/>
      <c r="I19" s="43"/>
      <c r="J19" s="214">
        <v>160000</v>
      </c>
      <c r="K19" s="213">
        <f t="shared" si="0"/>
        <v>160000</v>
      </c>
      <c r="L19" s="991"/>
      <c r="M19" s="990"/>
      <c r="N19" s="989"/>
      <c r="O19" s="990"/>
      <c r="P19" s="43"/>
      <c r="Q19" s="43"/>
      <c r="R19" s="168"/>
      <c r="S19" s="168"/>
    </row>
    <row r="20" spans="4:19" ht="36.75" customHeight="1" x14ac:dyDescent="0.3">
      <c r="D20" s="204">
        <v>5</v>
      </c>
      <c r="E20" s="209" t="s">
        <v>932</v>
      </c>
      <c r="F20" s="216" t="s">
        <v>509</v>
      </c>
      <c r="G20" s="217">
        <v>1</v>
      </c>
      <c r="H20" s="43"/>
      <c r="I20" s="43"/>
      <c r="J20" s="214">
        <v>350000</v>
      </c>
      <c r="K20" s="213">
        <f t="shared" si="0"/>
        <v>350000</v>
      </c>
      <c r="L20" s="991"/>
      <c r="M20" s="990"/>
      <c r="N20" s="989"/>
      <c r="O20" s="990"/>
      <c r="P20" s="43"/>
      <c r="Q20" s="43"/>
      <c r="R20" s="168"/>
      <c r="S20" s="168"/>
    </row>
    <row r="21" spans="4:19" ht="43.2" x14ac:dyDescent="0.3">
      <c r="D21" s="1401">
        <v>6</v>
      </c>
      <c r="E21" s="209" t="s">
        <v>409</v>
      </c>
      <c r="F21" s="216" t="s">
        <v>12</v>
      </c>
      <c r="G21" s="217">
        <v>50</v>
      </c>
      <c r="H21" s="43"/>
      <c r="I21" s="43"/>
      <c r="J21" s="214">
        <v>25000</v>
      </c>
      <c r="K21" s="213">
        <f t="shared" si="0"/>
        <v>1250000</v>
      </c>
      <c r="L21" s="991"/>
      <c r="M21" s="990"/>
      <c r="N21" s="989"/>
      <c r="O21" s="990"/>
      <c r="P21" s="43"/>
      <c r="Q21" s="43"/>
      <c r="R21" s="168"/>
      <c r="S21" s="168"/>
    </row>
    <row r="22" spans="4:19" x14ac:dyDescent="0.3">
      <c r="D22" s="204"/>
      <c r="E22" s="209"/>
      <c r="F22" s="216"/>
      <c r="G22" s="217"/>
      <c r="H22" s="43"/>
      <c r="I22" s="43"/>
      <c r="J22" s="214"/>
      <c r="K22" s="213"/>
      <c r="L22" s="991"/>
      <c r="M22" s="990"/>
      <c r="N22" s="989"/>
      <c r="O22" s="990"/>
      <c r="P22" s="43"/>
      <c r="Q22" s="43"/>
      <c r="R22" s="168"/>
      <c r="S22" s="168"/>
    </row>
    <row r="23" spans="4:19" x14ac:dyDescent="0.3">
      <c r="D23" s="204"/>
      <c r="E23" s="209"/>
      <c r="F23" s="216"/>
      <c r="G23" s="217"/>
      <c r="H23" s="43"/>
      <c r="I23" s="43"/>
      <c r="J23" s="214"/>
      <c r="K23" s="213"/>
      <c r="L23" s="991"/>
      <c r="M23" s="990"/>
      <c r="N23" s="989"/>
      <c r="O23" s="990"/>
      <c r="P23" s="43"/>
      <c r="Q23" s="43"/>
      <c r="R23" s="168"/>
      <c r="S23" s="168"/>
    </row>
    <row r="24" spans="4:19" x14ac:dyDescent="0.3">
      <c r="D24" s="204"/>
      <c r="E24" s="209"/>
      <c r="F24" s="216"/>
      <c r="G24" s="217"/>
      <c r="H24" s="43"/>
      <c r="I24" s="43"/>
      <c r="J24" s="214"/>
      <c r="K24" s="213"/>
      <c r="L24" s="991"/>
      <c r="M24" s="990"/>
      <c r="N24" s="989"/>
      <c r="O24" s="990"/>
      <c r="P24" s="43"/>
      <c r="Q24" s="43"/>
      <c r="R24" s="168"/>
      <c r="S24" s="168"/>
    </row>
    <row r="25" spans="4:19" x14ac:dyDescent="0.3">
      <c r="D25" s="204"/>
      <c r="E25" s="209"/>
      <c r="F25" s="216"/>
      <c r="G25" s="217"/>
      <c r="H25" s="43"/>
      <c r="I25" s="43"/>
      <c r="J25" s="214"/>
      <c r="K25" s="213"/>
      <c r="L25" s="991"/>
      <c r="M25" s="990"/>
      <c r="N25" s="989"/>
      <c r="O25" s="990"/>
      <c r="P25" s="43"/>
      <c r="Q25" s="43"/>
      <c r="R25" s="168"/>
      <c r="S25" s="168"/>
    </row>
    <row r="26" spans="4:19" ht="15" thickBot="1" x14ac:dyDescent="0.35">
      <c r="D26" s="218"/>
      <c r="E26" s="219"/>
      <c r="F26" s="220"/>
      <c r="G26" s="221"/>
      <c r="H26" s="43"/>
      <c r="I26" s="43"/>
      <c r="J26" s="214"/>
      <c r="K26" s="213"/>
      <c r="L26" s="991"/>
      <c r="M26" s="990"/>
      <c r="N26" s="991"/>
      <c r="O26" s="990"/>
      <c r="P26" s="43"/>
      <c r="Q26" s="43"/>
      <c r="R26" s="168"/>
      <c r="S26" s="168"/>
    </row>
    <row r="27" spans="4:19" ht="18.600000000000001" thickBot="1" x14ac:dyDescent="0.35">
      <c r="D27" s="3"/>
      <c r="E27" s="211"/>
      <c r="F27" s="175"/>
      <c r="G27" s="212"/>
      <c r="H27" s="4"/>
      <c r="I27" s="4"/>
      <c r="J27" s="13" t="s">
        <v>10</v>
      </c>
      <c r="K27" s="215">
        <f>SUM(K16:K26)</f>
        <v>2410000</v>
      </c>
      <c r="L27" s="11"/>
      <c r="M27" s="187"/>
      <c r="N27" s="12"/>
      <c r="O27" s="182"/>
      <c r="P27" s="16"/>
      <c r="Q27" s="16"/>
      <c r="R27" s="35">
        <v>3558.69</v>
      </c>
      <c r="S27" s="47">
        <f>+R27*O27</f>
        <v>0</v>
      </c>
    </row>
    <row r="28" spans="4:19" ht="34.5" customHeight="1" x14ac:dyDescent="0.3">
      <c r="D28" s="3"/>
      <c r="E28" s="211"/>
      <c r="F28" s="175"/>
      <c r="G28" s="4"/>
      <c r="H28" s="4"/>
      <c r="I28" s="4"/>
      <c r="J28" s="1826" t="s">
        <v>514</v>
      </c>
      <c r="K28" s="1827"/>
      <c r="L28" s="1961"/>
      <c r="M28" s="1827"/>
      <c r="N28" s="1826"/>
      <c r="O28" s="1827"/>
      <c r="P28" s="6"/>
      <c r="Q28" s="6"/>
      <c r="R28" s="48" t="s">
        <v>10</v>
      </c>
      <c r="S28" s="49">
        <f>SUM(S27:S27)</f>
        <v>0</v>
      </c>
    </row>
    <row r="29" spans="4:19" ht="33.75" customHeight="1" thickBot="1" x14ac:dyDescent="0.35">
      <c r="D29" s="3"/>
      <c r="E29" s="211"/>
      <c r="F29" s="175"/>
      <c r="G29" s="4"/>
      <c r="H29" s="4"/>
      <c r="I29" s="4"/>
      <c r="J29" s="1833"/>
      <c r="K29" s="1832"/>
      <c r="L29" s="1831"/>
      <c r="M29" s="1832"/>
      <c r="N29" s="1833"/>
      <c r="O29" s="1832"/>
      <c r="P29" s="6"/>
      <c r="Q29" s="6"/>
      <c r="R29" s="1860" t="s">
        <v>24</v>
      </c>
      <c r="S29" s="1861"/>
    </row>
    <row r="30" spans="4:19" ht="23.25" customHeight="1" x14ac:dyDescent="0.3">
      <c r="D30" s="3"/>
      <c r="E30" s="211"/>
      <c r="F30" s="175"/>
      <c r="G30" s="4"/>
      <c r="H30" s="4"/>
      <c r="I30" s="4"/>
      <c r="J30" s="1830"/>
      <c r="K30" s="1830"/>
      <c r="L30" s="4"/>
      <c r="M30" s="4"/>
      <c r="N30" s="6"/>
      <c r="O30" s="6"/>
      <c r="P30" s="6"/>
      <c r="Q30" s="6"/>
      <c r="R30" s="1862"/>
      <c r="S30" s="1863"/>
    </row>
    <row r="31" spans="4:19" x14ac:dyDescent="0.3">
      <c r="D31" s="3"/>
      <c r="E31" s="211"/>
      <c r="F31" s="175"/>
      <c r="G31" s="4"/>
      <c r="H31" s="4"/>
      <c r="I31" s="4"/>
      <c r="J31" s="4"/>
      <c r="K31" s="4"/>
      <c r="L31" s="4"/>
      <c r="M31" s="4"/>
      <c r="N31" s="6"/>
      <c r="O31" s="6"/>
      <c r="P31" s="6"/>
      <c r="Q31" s="6"/>
    </row>
    <row r="32" spans="4:19" x14ac:dyDescent="0.3">
      <c r="D32" s="3"/>
      <c r="E32" s="211"/>
      <c r="F32" s="175"/>
      <c r="G32" s="4"/>
      <c r="H32" s="4"/>
      <c r="I32" s="4"/>
      <c r="J32" s="4"/>
      <c r="K32" s="4"/>
      <c r="L32" s="4"/>
      <c r="M32" s="4"/>
      <c r="N32" s="4"/>
      <c r="O32" s="4"/>
      <c r="P32" s="6"/>
      <c r="Q32" s="6"/>
    </row>
    <row r="33" spans="4:19" x14ac:dyDescent="0.3">
      <c r="D33" s="3"/>
      <c r="E33" s="21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4:19" ht="15.75" customHeight="1" x14ac:dyDescent="0.3">
      <c r="D34" s="3"/>
      <c r="E34" s="21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4:19" ht="15.75" customHeight="1" x14ac:dyDescent="0.3"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4:19" ht="15.75" customHeight="1" x14ac:dyDescent="0.3">
      <c r="E36" s="3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4:19" ht="15.75" customHeight="1" x14ac:dyDescent="0.3"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4:19" ht="15.75" customHeight="1" x14ac:dyDescent="0.3"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4:19" ht="15.75" customHeight="1" x14ac:dyDescent="0.3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4:19" ht="15.75" customHeight="1" x14ac:dyDescent="0.3"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4:19" ht="15.75" customHeight="1" x14ac:dyDescent="0.3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4:19" ht="15.75" customHeight="1" x14ac:dyDescent="0.3">
      <c r="G42" s="4"/>
      <c r="H42" s="4"/>
      <c r="I42" s="4"/>
      <c r="J42" s="6"/>
      <c r="K42" s="6"/>
      <c r="L42" s="6"/>
      <c r="M42" s="6"/>
      <c r="N42" s="6"/>
      <c r="O42" s="6"/>
      <c r="P42" s="4"/>
      <c r="Q42" s="4"/>
    </row>
    <row r="43" spans="4:19" ht="15.75" customHeight="1" x14ac:dyDescent="0.3">
      <c r="G43" s="4"/>
      <c r="H43" s="4"/>
      <c r="I43" s="4"/>
      <c r="J43" s="1906"/>
      <c r="K43" s="1906"/>
      <c r="L43" s="1906"/>
      <c r="M43" s="1906"/>
      <c r="N43" s="1906"/>
      <c r="O43" s="1906"/>
      <c r="P43" s="4"/>
      <c r="Q43" s="4"/>
    </row>
    <row r="44" spans="4:19" ht="15.75" customHeight="1" x14ac:dyDescent="0.3">
      <c r="G44" s="4"/>
      <c r="H44" s="4"/>
      <c r="I44" s="4"/>
      <c r="J44" s="1838"/>
      <c r="K44" s="1838"/>
      <c r="L44" s="1838"/>
      <c r="M44" s="1838"/>
      <c r="N44" s="1838"/>
      <c r="O44" s="1838"/>
      <c r="P44" s="4"/>
      <c r="Q44" s="4"/>
    </row>
    <row r="45" spans="4:19" ht="15.75" customHeight="1" x14ac:dyDescent="0.35">
      <c r="G45" s="4"/>
      <c r="H45" s="4"/>
      <c r="I45" s="4"/>
      <c r="J45" s="167"/>
      <c r="K45" s="170"/>
      <c r="L45" s="170"/>
      <c r="M45" s="167"/>
      <c r="N45" s="170"/>
      <c r="O45" s="167"/>
      <c r="P45" s="4"/>
      <c r="Q45" s="4"/>
    </row>
    <row r="46" spans="4:19" ht="18" x14ac:dyDescent="0.35">
      <c r="G46" s="4"/>
      <c r="H46" s="4"/>
      <c r="I46" s="4"/>
      <c r="J46" s="1835"/>
      <c r="K46" s="1835"/>
      <c r="L46" s="1859"/>
      <c r="M46" s="1859"/>
      <c r="N46" s="1859"/>
      <c r="O46" s="1859"/>
      <c r="P46" s="4"/>
      <c r="Q46" s="4"/>
    </row>
    <row r="47" spans="4:19" ht="29.25" customHeight="1" x14ac:dyDescent="0.3">
      <c r="G47" s="4"/>
      <c r="H47" s="4"/>
      <c r="I47" s="4"/>
      <c r="J47" s="1835"/>
      <c r="K47" s="1835"/>
      <c r="L47" s="1835"/>
      <c r="M47" s="1835"/>
      <c r="N47" s="1835"/>
      <c r="O47" s="1835"/>
      <c r="P47" s="43"/>
      <c r="Q47" s="43"/>
      <c r="R47" s="43"/>
      <c r="S47" s="43"/>
    </row>
    <row r="48" spans="4:19" x14ac:dyDescent="0.3">
      <c r="G48" s="4"/>
      <c r="H48" s="4"/>
      <c r="I48" s="4"/>
      <c r="J48" s="25"/>
      <c r="K48" s="25"/>
      <c r="L48" s="25"/>
      <c r="M48" s="25"/>
      <c r="N48" s="25"/>
      <c r="O48" s="25"/>
      <c r="P48" s="43"/>
      <c r="Q48" s="43"/>
      <c r="R48" s="43"/>
      <c r="S48" s="43"/>
    </row>
    <row r="49" spans="6:19" x14ac:dyDescent="0.3">
      <c r="F49" s="33"/>
      <c r="G49" s="34"/>
      <c r="H49" s="34"/>
      <c r="I49" s="34"/>
      <c r="J49" s="6"/>
      <c r="K49" s="25"/>
      <c r="L49" s="50"/>
      <c r="M49" s="25"/>
      <c r="N49" s="25"/>
      <c r="O49" s="25"/>
      <c r="P49" s="43"/>
      <c r="Q49" s="43"/>
      <c r="R49" s="43"/>
      <c r="S49" s="43"/>
    </row>
    <row r="50" spans="6:19" x14ac:dyDescent="0.3">
      <c r="F50" s="33"/>
      <c r="G50" s="34"/>
      <c r="H50" s="4"/>
      <c r="I50" s="4"/>
      <c r="J50" s="6"/>
      <c r="K50" s="25"/>
      <c r="L50" s="25"/>
      <c r="M50" s="25"/>
      <c r="N50" s="25"/>
      <c r="O50" s="25"/>
      <c r="P50" s="43"/>
      <c r="Q50" s="43"/>
      <c r="R50" s="43"/>
      <c r="S50" s="43"/>
    </row>
    <row r="51" spans="6:19" x14ac:dyDescent="0.3">
      <c r="F51" s="33"/>
      <c r="G51" s="34"/>
      <c r="H51" s="4"/>
      <c r="I51" s="4"/>
      <c r="J51" s="6"/>
      <c r="K51" s="25"/>
      <c r="L51" s="25"/>
      <c r="M51" s="25"/>
      <c r="N51" s="25"/>
      <c r="O51" s="25"/>
      <c r="P51" s="43"/>
      <c r="Q51" s="43"/>
      <c r="R51" s="43"/>
      <c r="S51" s="43"/>
    </row>
    <row r="52" spans="6:19" x14ac:dyDescent="0.3">
      <c r="F52" s="33"/>
      <c r="G52" s="34"/>
      <c r="H52" s="4"/>
      <c r="I52" s="4"/>
      <c r="J52" s="6"/>
      <c r="K52" s="25"/>
      <c r="L52" s="25"/>
      <c r="M52" s="25"/>
      <c r="N52" s="25"/>
      <c r="O52" s="25"/>
      <c r="P52" s="43"/>
      <c r="Q52" s="43"/>
      <c r="R52" s="43"/>
      <c r="S52" s="43"/>
    </row>
    <row r="53" spans="6:19" x14ac:dyDescent="0.3">
      <c r="F53" s="33"/>
      <c r="G53" s="34"/>
      <c r="H53" s="4"/>
      <c r="I53" s="4"/>
      <c r="J53" s="6"/>
      <c r="K53" s="25"/>
      <c r="L53" s="25"/>
      <c r="M53" s="25"/>
      <c r="N53" s="25"/>
      <c r="O53" s="25"/>
      <c r="P53" s="43"/>
      <c r="Q53" s="43"/>
      <c r="R53" s="43"/>
      <c r="S53" s="43"/>
    </row>
    <row r="54" spans="6:19" x14ac:dyDescent="0.3">
      <c r="G54" s="4"/>
      <c r="H54" s="4"/>
      <c r="I54" s="4"/>
      <c r="J54" s="6"/>
      <c r="K54" s="6"/>
      <c r="L54" s="6"/>
      <c r="M54" s="6"/>
      <c r="N54" s="6"/>
      <c r="O54" s="6"/>
      <c r="P54" s="43"/>
      <c r="Q54" s="43"/>
      <c r="R54" s="43"/>
      <c r="S54" s="43"/>
    </row>
    <row r="55" spans="6:19" ht="18" x14ac:dyDescent="0.35">
      <c r="G55" s="4"/>
      <c r="H55" s="4"/>
      <c r="I55" s="4"/>
      <c r="J55" s="6"/>
      <c r="K55" s="36"/>
      <c r="L55" s="51"/>
      <c r="M55" s="52"/>
      <c r="N55" s="51"/>
      <c r="O55" s="53"/>
      <c r="Q55" s="37"/>
      <c r="R55" s="43"/>
      <c r="S55" s="43"/>
    </row>
    <row r="56" spans="6:19" x14ac:dyDescent="0.3">
      <c r="J56" s="43"/>
      <c r="K56" s="43"/>
      <c r="L56" s="43"/>
      <c r="M56" s="43"/>
      <c r="N56" s="43"/>
      <c r="O56" s="43"/>
    </row>
    <row r="57" spans="6:19" x14ac:dyDescent="0.3">
      <c r="J57" s="43"/>
      <c r="K57" s="43"/>
      <c r="L57" s="43"/>
      <c r="M57" s="43"/>
      <c r="N57" s="43"/>
      <c r="O57" s="43"/>
    </row>
    <row r="58" spans="6:19" ht="15.6" x14ac:dyDescent="0.3">
      <c r="J58" s="43"/>
      <c r="K58" s="43"/>
      <c r="L58" s="1834"/>
      <c r="M58" s="1834"/>
      <c r="N58" s="43"/>
      <c r="O58" s="43"/>
    </row>
    <row r="59" spans="6:19" x14ac:dyDescent="0.3">
      <c r="J59" s="43"/>
      <c r="K59" s="43"/>
      <c r="L59" s="43"/>
      <c r="M59" s="43"/>
      <c r="N59" s="43"/>
      <c r="O59" s="43"/>
    </row>
    <row r="60" spans="6:19" ht="15.6" x14ac:dyDescent="0.3">
      <c r="J60" s="43"/>
      <c r="K60" s="43"/>
      <c r="L60" s="1834"/>
      <c r="M60" s="1834"/>
      <c r="N60" s="43"/>
      <c r="O60" s="43"/>
    </row>
    <row r="61" spans="6:19" x14ac:dyDescent="0.3">
      <c r="J61" s="43"/>
      <c r="K61" s="43"/>
      <c r="L61" s="43"/>
      <c r="M61" s="43"/>
      <c r="N61" s="43"/>
      <c r="O61" s="43"/>
    </row>
    <row r="62" spans="6:19" x14ac:dyDescent="0.3">
      <c r="J62" s="43"/>
      <c r="K62" s="43"/>
      <c r="L62" s="43"/>
      <c r="M62" s="43"/>
      <c r="N62" s="43"/>
      <c r="O62" s="43"/>
    </row>
    <row r="63" spans="6:19" x14ac:dyDescent="0.3">
      <c r="J63" s="43"/>
      <c r="K63" s="43"/>
      <c r="L63" s="43"/>
      <c r="M63" s="43"/>
      <c r="N63" s="43"/>
      <c r="O63" s="43"/>
    </row>
    <row r="64" spans="6:19" x14ac:dyDescent="0.3">
      <c r="J64" s="43"/>
      <c r="K64" s="43"/>
      <c r="L64" s="43"/>
      <c r="M64" s="43"/>
      <c r="N64" s="43"/>
      <c r="O64" s="43"/>
    </row>
    <row r="65" spans="10:15" x14ac:dyDescent="0.3">
      <c r="J65" s="43"/>
      <c r="K65" s="43"/>
      <c r="L65" s="43"/>
      <c r="M65" s="43"/>
      <c r="N65" s="43"/>
      <c r="O65" s="43"/>
    </row>
    <row r="66" spans="10:15" x14ac:dyDescent="0.3">
      <c r="J66" s="43"/>
      <c r="K66" s="43"/>
      <c r="L66" s="43"/>
      <c r="M66" s="43"/>
      <c r="N66" s="43"/>
      <c r="O66" s="43"/>
    </row>
  </sheetData>
  <mergeCells count="27">
    <mergeCell ref="R14:S15"/>
    <mergeCell ref="E9:O9"/>
    <mergeCell ref="J10:O10"/>
    <mergeCell ref="J11:K11"/>
    <mergeCell ref="L11:M11"/>
    <mergeCell ref="N11:O11"/>
    <mergeCell ref="P11:Q11"/>
    <mergeCell ref="J13:K14"/>
    <mergeCell ref="L13:M14"/>
    <mergeCell ref="N13:O14"/>
    <mergeCell ref="P13:Q13"/>
    <mergeCell ref="P14:Q14"/>
    <mergeCell ref="R29:S30"/>
    <mergeCell ref="J30:K30"/>
    <mergeCell ref="L58:M58"/>
    <mergeCell ref="L60:M60"/>
    <mergeCell ref="J44:K44"/>
    <mergeCell ref="L44:M44"/>
    <mergeCell ref="N44:O44"/>
    <mergeCell ref="J46:K47"/>
    <mergeCell ref="L46:O46"/>
    <mergeCell ref="L47:M47"/>
    <mergeCell ref="N47:O47"/>
    <mergeCell ref="J43:O43"/>
    <mergeCell ref="J28:K29"/>
    <mergeCell ref="L28:M29"/>
    <mergeCell ref="N28:O29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FF0000"/>
  </sheetPr>
  <dimension ref="D8:S44"/>
  <sheetViews>
    <sheetView topLeftCell="A7" workbookViewId="0">
      <selection activeCell="I29" sqref="I29"/>
    </sheetView>
  </sheetViews>
  <sheetFormatPr baseColWidth="10" defaultColWidth="11.44140625" defaultRowHeight="14.4" x14ac:dyDescent="0.3"/>
  <cols>
    <col min="1" max="4" width="11.44140625" style="40"/>
    <col min="5" max="5" width="46" style="40" customWidth="1"/>
    <col min="6" max="6" width="11.44140625" style="40"/>
    <col min="7" max="8" width="11.5546875" style="40" bestFit="1" customWidth="1"/>
    <col min="9" max="9" width="12.5546875" style="40" bestFit="1" customWidth="1"/>
    <col min="10" max="10" width="14.33203125" style="40" customWidth="1"/>
    <col min="11" max="11" width="24.44140625" style="40" customWidth="1"/>
    <col min="12" max="12" width="17.5546875" style="40" bestFit="1" customWidth="1"/>
    <col min="13" max="13" width="17.5546875" style="40" customWidth="1"/>
    <col min="14" max="14" width="17" style="40" customWidth="1"/>
    <col min="15" max="15" width="19.109375" style="40" customWidth="1"/>
    <col min="16" max="16" width="20" style="40" customWidth="1"/>
    <col min="17" max="17" width="21.33203125" style="40" customWidth="1"/>
    <col min="18" max="16384" width="11.44140625" style="40"/>
  </cols>
  <sheetData>
    <row r="8" spans="4:19" ht="15" x14ac:dyDescent="0.25">
      <c r="H8" s="43"/>
      <c r="I8" s="43"/>
    </row>
    <row r="9" spans="4:19" ht="24" thickBot="1" x14ac:dyDescent="0.4">
      <c r="E9" s="898" t="s">
        <v>420</v>
      </c>
      <c r="F9" s="898"/>
      <c r="G9" s="898"/>
      <c r="H9" s="898"/>
      <c r="I9" s="898"/>
      <c r="J9" s="898"/>
      <c r="K9" s="898"/>
      <c r="L9" s="898"/>
      <c r="M9" s="898"/>
      <c r="N9" s="898"/>
      <c r="O9" s="898"/>
    </row>
    <row r="10" spans="4:19" ht="29.25" customHeight="1" thickBot="1" x14ac:dyDescent="0.3">
      <c r="I10" s="2"/>
      <c r="J10" s="1896" t="s">
        <v>21</v>
      </c>
      <c r="K10" s="1864"/>
      <c r="L10" s="1864"/>
      <c r="M10" s="1864"/>
      <c r="N10" s="1864"/>
      <c r="O10" s="1865"/>
    </row>
    <row r="11" spans="4:19" ht="18.75" customHeight="1" x14ac:dyDescent="0.25">
      <c r="I11" s="43"/>
      <c r="J11" s="1836" t="s">
        <v>0</v>
      </c>
      <c r="K11" s="1837"/>
      <c r="L11" s="1838" t="s">
        <v>0</v>
      </c>
      <c r="M11" s="1839"/>
      <c r="N11" s="1840" t="s">
        <v>0</v>
      </c>
      <c r="O11" s="1837"/>
      <c r="P11" s="1838"/>
      <c r="Q11" s="1838"/>
    </row>
    <row r="12" spans="4:19" ht="18.75" x14ac:dyDescent="0.3">
      <c r="I12" s="43"/>
      <c r="J12" s="202" t="s">
        <v>1</v>
      </c>
      <c r="K12" s="195" t="s">
        <v>3</v>
      </c>
      <c r="L12" s="794" t="s">
        <v>1</v>
      </c>
      <c r="M12" s="195" t="s">
        <v>2</v>
      </c>
      <c r="N12" s="794" t="s">
        <v>22</v>
      </c>
      <c r="O12" s="46" t="s">
        <v>4</v>
      </c>
      <c r="P12" s="792"/>
      <c r="Q12" s="787"/>
    </row>
    <row r="13" spans="4:19" x14ac:dyDescent="0.3">
      <c r="I13" s="43"/>
      <c r="J13" s="1841" t="s">
        <v>422</v>
      </c>
      <c r="K13" s="1842"/>
      <c r="L13" s="1845"/>
      <c r="M13" s="1846"/>
      <c r="N13" s="1849"/>
      <c r="O13" s="1846"/>
      <c r="P13" s="1838"/>
      <c r="Q13" s="1838"/>
    </row>
    <row r="14" spans="4:19" ht="15" thickBot="1" x14ac:dyDescent="0.35">
      <c r="I14" s="43"/>
      <c r="J14" s="1843"/>
      <c r="K14" s="1844"/>
      <c r="L14" s="1847"/>
      <c r="M14" s="1848"/>
      <c r="N14" s="1850"/>
      <c r="O14" s="1848"/>
      <c r="P14" s="1838"/>
      <c r="Q14" s="1838"/>
      <c r="R14" s="1849" t="s">
        <v>32</v>
      </c>
      <c r="S14" s="1846"/>
    </row>
    <row r="15" spans="4:19" x14ac:dyDescent="0.3">
      <c r="D15" s="40" t="s">
        <v>5</v>
      </c>
      <c r="E15" s="3" t="s">
        <v>6</v>
      </c>
      <c r="F15" s="40" t="s">
        <v>7</v>
      </c>
      <c r="G15" s="40" t="s">
        <v>8</v>
      </c>
      <c r="H15" s="43"/>
      <c r="I15" s="43"/>
      <c r="J15" s="791" t="s">
        <v>9</v>
      </c>
      <c r="K15" s="790" t="s">
        <v>10</v>
      </c>
      <c r="L15" s="793" t="s">
        <v>9</v>
      </c>
      <c r="M15" s="789" t="s">
        <v>10</v>
      </c>
      <c r="N15" s="788" t="s">
        <v>9</v>
      </c>
      <c r="O15" s="789" t="s">
        <v>10</v>
      </c>
      <c r="P15" s="43"/>
      <c r="Q15" s="43"/>
      <c r="R15" s="1850"/>
      <c r="S15" s="1848"/>
    </row>
    <row r="16" spans="4:19" ht="26.25" customHeight="1" thickBot="1" x14ac:dyDescent="0.35">
      <c r="D16" s="3">
        <v>1</v>
      </c>
      <c r="E16" s="1" t="s">
        <v>421</v>
      </c>
      <c r="F16" s="175" t="s">
        <v>19</v>
      </c>
      <c r="G16" s="176">
        <v>9</v>
      </c>
      <c r="H16" s="177"/>
      <c r="I16" s="177"/>
      <c r="J16" s="179">
        <v>1550.97</v>
      </c>
      <c r="K16" s="178">
        <f>J16*G16</f>
        <v>13958.73</v>
      </c>
      <c r="L16" s="177"/>
      <c r="M16" s="178"/>
      <c r="N16" s="179"/>
      <c r="O16" s="178"/>
      <c r="P16" s="6"/>
      <c r="Q16" s="6"/>
      <c r="R16" s="7"/>
      <c r="S16" s="6">
        <f>+R16*O16</f>
        <v>0</v>
      </c>
    </row>
    <row r="17" spans="4:19" ht="15" thickBot="1" x14ac:dyDescent="0.35">
      <c r="D17" s="3"/>
      <c r="F17" s="175"/>
      <c r="G17" s="176"/>
      <c r="H17" s="4"/>
      <c r="I17" s="4"/>
      <c r="J17" s="14" t="s">
        <v>10</v>
      </c>
      <c r="K17" s="192">
        <f>SUM(K16:K16)</f>
        <v>13958.73</v>
      </c>
      <c r="L17" s="11"/>
      <c r="M17" s="187">
        <f>SUM(M16:M16)</f>
        <v>0</v>
      </c>
      <c r="N17" s="12"/>
      <c r="O17" s="182">
        <f>SUM(O16:O16)</f>
        <v>0</v>
      </c>
      <c r="P17" s="16"/>
      <c r="Q17" s="16"/>
      <c r="R17" s="35">
        <v>3558.69</v>
      </c>
      <c r="S17" s="47">
        <f>+R17*O17</f>
        <v>0</v>
      </c>
    </row>
    <row r="18" spans="4:19" ht="15" customHeight="1" x14ac:dyDescent="0.3">
      <c r="G18" s="4"/>
      <c r="H18" s="4"/>
      <c r="I18" s="4"/>
      <c r="J18" s="1826"/>
      <c r="K18" s="1827"/>
      <c r="L18" s="1830"/>
      <c r="M18" s="1829"/>
      <c r="N18" s="1826"/>
      <c r="O18" s="1827"/>
      <c r="P18" s="6"/>
      <c r="Q18" s="6"/>
      <c r="R18" s="48" t="s">
        <v>10</v>
      </c>
      <c r="S18" s="49">
        <f>SUM(S16:S17)</f>
        <v>0</v>
      </c>
    </row>
    <row r="19" spans="4:19" ht="52.5" customHeight="1" thickBot="1" x14ac:dyDescent="0.35">
      <c r="G19" s="4"/>
      <c r="H19" s="4"/>
      <c r="I19" s="4"/>
      <c r="J19" s="1828"/>
      <c r="K19" s="1829"/>
      <c r="L19" s="1831"/>
      <c r="M19" s="1832"/>
      <c r="N19" s="1833"/>
      <c r="O19" s="1832"/>
      <c r="P19" s="6"/>
      <c r="Q19" s="6"/>
      <c r="R19" s="1860" t="s">
        <v>24</v>
      </c>
      <c r="S19" s="1861"/>
    </row>
    <row r="20" spans="4:19" ht="30" customHeight="1" thickBot="1" x14ac:dyDescent="0.35">
      <c r="G20" s="4"/>
      <c r="H20" s="4"/>
      <c r="I20" s="4"/>
      <c r="J20" s="1833"/>
      <c r="K20" s="1832"/>
      <c r="L20" s="4"/>
      <c r="M20" s="4"/>
      <c r="N20" s="6"/>
      <c r="O20" s="6"/>
      <c r="P20" s="6"/>
      <c r="Q20" s="6"/>
      <c r="R20" s="1862"/>
      <c r="S20" s="1863"/>
    </row>
    <row r="21" spans="4:19" x14ac:dyDescent="0.3">
      <c r="G21" s="4"/>
      <c r="H21" s="4"/>
      <c r="I21" s="4"/>
      <c r="J21" s="4"/>
      <c r="K21" s="4"/>
      <c r="L21" s="4"/>
      <c r="M21" s="4"/>
      <c r="N21" s="6"/>
      <c r="O21" s="6"/>
      <c r="P21" s="6"/>
      <c r="Q21" s="6"/>
    </row>
    <row r="22" spans="4:19" x14ac:dyDescent="0.3">
      <c r="G22" s="4"/>
      <c r="H22" s="4"/>
      <c r="I22" s="4"/>
      <c r="J22" s="4"/>
      <c r="K22" s="4"/>
      <c r="L22" s="4"/>
      <c r="M22" s="4"/>
      <c r="N22" s="4"/>
      <c r="O22" s="4"/>
      <c r="P22" s="6"/>
      <c r="Q22" s="6"/>
    </row>
    <row r="23" spans="4:19" ht="15.75" customHeight="1" x14ac:dyDescent="0.35">
      <c r="G23" s="4"/>
      <c r="H23" s="4"/>
      <c r="I23" s="4"/>
      <c r="J23" s="787"/>
      <c r="K23" s="792"/>
      <c r="L23" s="792"/>
      <c r="M23" s="787"/>
      <c r="N23" s="792"/>
      <c r="O23" s="787"/>
      <c r="P23" s="4"/>
      <c r="Q23" s="4"/>
    </row>
    <row r="24" spans="4:19" ht="18" x14ac:dyDescent="0.35">
      <c r="G24" s="4"/>
      <c r="H24" s="4"/>
      <c r="I24" s="4"/>
      <c r="J24" s="1835"/>
      <c r="K24" s="1835"/>
      <c r="L24" s="1859"/>
      <c r="M24" s="1859"/>
      <c r="N24" s="1859"/>
      <c r="O24" s="1859"/>
      <c r="P24" s="4"/>
      <c r="Q24" s="4"/>
    </row>
    <row r="25" spans="4:19" ht="29.25" customHeight="1" x14ac:dyDescent="0.3">
      <c r="G25" s="4"/>
      <c r="H25" s="4"/>
      <c r="I25" s="4"/>
      <c r="J25" s="1835"/>
      <c r="K25" s="1835"/>
      <c r="L25" s="1835"/>
      <c r="M25" s="1835"/>
      <c r="N25" s="1835"/>
      <c r="O25" s="1835"/>
      <c r="P25" s="43"/>
      <c r="Q25" s="43"/>
      <c r="R25" s="43"/>
      <c r="S25" s="43"/>
    </row>
    <row r="26" spans="4:19" x14ac:dyDescent="0.3">
      <c r="G26" s="4"/>
      <c r="H26" s="4"/>
      <c r="I26" s="4"/>
      <c r="J26" s="25"/>
      <c r="K26" s="25"/>
      <c r="L26" s="25"/>
      <c r="M26" s="25"/>
      <c r="N26" s="25"/>
      <c r="O26" s="25"/>
      <c r="P26" s="43"/>
      <c r="Q26" s="43"/>
      <c r="R26" s="43"/>
      <c r="S26" s="43"/>
    </row>
    <row r="27" spans="4:19" x14ac:dyDescent="0.3">
      <c r="F27" s="33"/>
      <c r="G27" s="34"/>
      <c r="H27" s="34"/>
      <c r="I27" s="34"/>
      <c r="J27" s="6"/>
      <c r="K27" s="25"/>
      <c r="L27" s="50"/>
      <c r="M27" s="25"/>
      <c r="N27" s="25"/>
      <c r="O27" s="25"/>
      <c r="P27" s="43"/>
      <c r="Q27" s="43"/>
      <c r="R27" s="43"/>
      <c r="S27" s="43"/>
    </row>
    <row r="28" spans="4:19" x14ac:dyDescent="0.3">
      <c r="F28" s="33"/>
      <c r="G28" s="34"/>
      <c r="H28" s="4"/>
      <c r="I28" s="4"/>
      <c r="J28" s="6"/>
      <c r="K28" s="25"/>
      <c r="L28" s="25"/>
      <c r="M28" s="25"/>
      <c r="N28" s="25"/>
      <c r="O28" s="25"/>
      <c r="P28" s="43"/>
      <c r="Q28" s="43"/>
      <c r="R28" s="43"/>
      <c r="S28" s="43"/>
    </row>
    <row r="29" spans="4:19" x14ac:dyDescent="0.3">
      <c r="F29" s="33"/>
      <c r="G29" s="34"/>
      <c r="H29" s="4"/>
      <c r="I29" s="4"/>
      <c r="J29" s="6"/>
      <c r="K29" s="25"/>
      <c r="L29" s="25"/>
      <c r="M29" s="25"/>
      <c r="N29" s="25"/>
      <c r="O29" s="25"/>
      <c r="P29" s="43"/>
      <c r="Q29" s="43"/>
      <c r="R29" s="43"/>
      <c r="S29" s="43"/>
    </row>
    <row r="30" spans="4:19" x14ac:dyDescent="0.3">
      <c r="F30" s="33"/>
      <c r="G30" s="34"/>
      <c r="H30" s="4"/>
      <c r="I30" s="4"/>
      <c r="J30" s="6"/>
      <c r="K30" s="25"/>
      <c r="L30" s="25"/>
      <c r="M30" s="25"/>
      <c r="N30" s="25"/>
      <c r="O30" s="25"/>
      <c r="P30" s="43"/>
      <c r="Q30" s="43"/>
      <c r="R30" s="43"/>
      <c r="S30" s="43"/>
    </row>
    <row r="31" spans="4:19" x14ac:dyDescent="0.3">
      <c r="F31" s="33"/>
      <c r="G31" s="34"/>
      <c r="H31" s="4"/>
      <c r="I31" s="4"/>
      <c r="J31" s="6"/>
      <c r="K31" s="25"/>
      <c r="L31" s="25"/>
      <c r="M31" s="25"/>
      <c r="N31" s="25"/>
      <c r="O31" s="25"/>
      <c r="P31" s="43"/>
      <c r="Q31" s="43"/>
      <c r="R31" s="43"/>
      <c r="S31" s="43"/>
    </row>
    <row r="32" spans="4:19" x14ac:dyDescent="0.3">
      <c r="G32" s="4"/>
      <c r="H32" s="4"/>
      <c r="I32" s="4"/>
      <c r="J32" s="6"/>
      <c r="K32" s="6"/>
      <c r="L32" s="6"/>
      <c r="M32" s="6"/>
      <c r="N32" s="6"/>
      <c r="O32" s="6"/>
      <c r="P32" s="43"/>
      <c r="Q32" s="43"/>
      <c r="R32" s="43"/>
      <c r="S32" s="43"/>
    </row>
    <row r="33" spans="7:19" ht="18" x14ac:dyDescent="0.35">
      <c r="G33" s="4"/>
      <c r="H33" s="4"/>
      <c r="I33" s="4"/>
      <c r="J33" s="6"/>
      <c r="K33" s="36"/>
      <c r="L33" s="51"/>
      <c r="M33" s="52"/>
      <c r="N33" s="51"/>
      <c r="O33" s="53"/>
      <c r="Q33" s="37"/>
      <c r="R33" s="43"/>
      <c r="S33" s="43"/>
    </row>
    <row r="34" spans="7:19" x14ac:dyDescent="0.3">
      <c r="J34" s="43"/>
      <c r="K34" s="43"/>
      <c r="L34" s="43"/>
      <c r="M34" s="43"/>
      <c r="N34" s="43"/>
      <c r="O34" s="43"/>
    </row>
    <row r="35" spans="7:19" x14ac:dyDescent="0.3">
      <c r="J35" s="43"/>
      <c r="K35" s="43"/>
      <c r="L35" s="43"/>
      <c r="M35" s="43"/>
      <c r="N35" s="43"/>
      <c r="O35" s="43"/>
    </row>
    <row r="36" spans="7:19" ht="15.6" x14ac:dyDescent="0.3">
      <c r="J36" s="43"/>
      <c r="K36" s="43"/>
      <c r="L36" s="1834"/>
      <c r="M36" s="1834"/>
      <c r="N36" s="43"/>
      <c r="O36" s="43"/>
    </row>
    <row r="37" spans="7:19" x14ac:dyDescent="0.3">
      <c r="J37" s="43"/>
      <c r="K37" s="43"/>
      <c r="L37" s="43"/>
      <c r="M37" s="43"/>
      <c r="N37" s="43"/>
      <c r="O37" s="43"/>
    </row>
    <row r="38" spans="7:19" ht="15.6" x14ac:dyDescent="0.3">
      <c r="J38" s="43"/>
      <c r="K38" s="43"/>
      <c r="L38" s="1834"/>
      <c r="M38" s="1834"/>
      <c r="N38" s="43"/>
      <c r="O38" s="43"/>
    </row>
    <row r="39" spans="7:19" x14ac:dyDescent="0.3">
      <c r="J39" s="43"/>
      <c r="K39" s="43"/>
      <c r="L39" s="43"/>
      <c r="M39" s="43"/>
      <c r="N39" s="43"/>
      <c r="O39" s="43"/>
    </row>
    <row r="40" spans="7:19" x14ac:dyDescent="0.3">
      <c r="J40" s="43"/>
      <c r="K40" s="43"/>
      <c r="L40" s="43"/>
      <c r="M40" s="43"/>
      <c r="N40" s="43"/>
      <c r="O40" s="43"/>
    </row>
    <row r="41" spans="7:19" x14ac:dyDescent="0.3">
      <c r="J41" s="43"/>
      <c r="K41" s="43"/>
      <c r="L41" s="43"/>
      <c r="M41" s="43"/>
      <c r="N41" s="43"/>
      <c r="O41" s="43"/>
    </row>
    <row r="42" spans="7:19" x14ac:dyDescent="0.3">
      <c r="J42" s="43"/>
      <c r="K42" s="43"/>
      <c r="L42" s="43"/>
      <c r="M42" s="43"/>
      <c r="N42" s="43"/>
      <c r="O42" s="43"/>
    </row>
    <row r="43" spans="7:19" x14ac:dyDescent="0.3">
      <c r="J43" s="43"/>
      <c r="K43" s="43"/>
      <c r="L43" s="43"/>
      <c r="M43" s="43"/>
      <c r="N43" s="43"/>
      <c r="O43" s="43"/>
    </row>
    <row r="44" spans="7:19" x14ac:dyDescent="0.3">
      <c r="J44" s="43"/>
      <c r="K44" s="43"/>
      <c r="L44" s="43"/>
      <c r="M44" s="43"/>
      <c r="N44" s="43"/>
      <c r="O44" s="43"/>
    </row>
  </sheetData>
  <mergeCells count="22">
    <mergeCell ref="L36:M36"/>
    <mergeCell ref="L38:M38"/>
    <mergeCell ref="J24:K25"/>
    <mergeCell ref="L24:O24"/>
    <mergeCell ref="L25:M25"/>
    <mergeCell ref="N25:O25"/>
    <mergeCell ref="J18:K19"/>
    <mergeCell ref="L18:M19"/>
    <mergeCell ref="N18:O19"/>
    <mergeCell ref="R19:S20"/>
    <mergeCell ref="J20:K20"/>
    <mergeCell ref="R14:S15"/>
    <mergeCell ref="J10:O10"/>
    <mergeCell ref="J11:K11"/>
    <mergeCell ref="L11:M11"/>
    <mergeCell ref="N11:O11"/>
    <mergeCell ref="P11:Q11"/>
    <mergeCell ref="J13:K14"/>
    <mergeCell ref="L13:M14"/>
    <mergeCell ref="N13:O14"/>
    <mergeCell ref="P13:Q13"/>
    <mergeCell ref="P14:Q1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0000"/>
  </sheetPr>
  <dimension ref="D8:S56"/>
  <sheetViews>
    <sheetView topLeftCell="A31" workbookViewId="0">
      <selection activeCell="E17" sqref="E17"/>
    </sheetView>
  </sheetViews>
  <sheetFormatPr baseColWidth="10" defaultColWidth="11.44140625" defaultRowHeight="14.4" x14ac:dyDescent="0.3"/>
  <cols>
    <col min="1" max="4" width="11.44140625" style="40"/>
    <col min="5" max="5" width="46" style="40" customWidth="1"/>
    <col min="6" max="6" width="11.44140625" style="40"/>
    <col min="7" max="8" width="11.5546875" style="40" bestFit="1" customWidth="1"/>
    <col min="9" max="9" width="12.5546875" style="40" bestFit="1" customWidth="1"/>
    <col min="10" max="10" width="14.33203125" style="40" customWidth="1"/>
    <col min="11" max="11" width="24.44140625" style="40" customWidth="1"/>
    <col min="12" max="12" width="17.5546875" style="40" bestFit="1" customWidth="1"/>
    <col min="13" max="13" width="17.5546875" style="40" customWidth="1"/>
    <col min="14" max="14" width="17" style="40" customWidth="1"/>
    <col min="15" max="15" width="19.109375" style="40" customWidth="1"/>
    <col min="16" max="16" width="20" style="40" customWidth="1"/>
    <col min="17" max="17" width="21.33203125" style="40" customWidth="1"/>
    <col min="18" max="16384" width="11.44140625" style="40"/>
  </cols>
  <sheetData>
    <row r="8" spans="4:19" ht="15" x14ac:dyDescent="0.25">
      <c r="H8" s="43"/>
      <c r="I8" s="43"/>
    </row>
    <row r="9" spans="4:19" ht="23.25" x14ac:dyDescent="0.35">
      <c r="E9" s="1947" t="s">
        <v>408</v>
      </c>
      <c r="F9" s="1947"/>
      <c r="G9" s="1947"/>
      <c r="H9" s="1947"/>
      <c r="I9" s="1947"/>
      <c r="J9" s="1947"/>
      <c r="K9" s="1947"/>
      <c r="L9" s="1947"/>
      <c r="M9" s="1947"/>
      <c r="N9" s="1947"/>
      <c r="O9" s="1947"/>
    </row>
    <row r="10" spans="4:19" ht="24" thickBot="1" x14ac:dyDescent="0.4">
      <c r="E10" s="753"/>
      <c r="F10" s="753"/>
      <c r="G10" s="753"/>
      <c r="H10" s="753"/>
      <c r="I10" s="753"/>
      <c r="J10" s="753"/>
      <c r="K10" s="753"/>
      <c r="L10" s="753"/>
      <c r="M10" s="753"/>
      <c r="N10" s="753"/>
      <c r="O10" s="753"/>
    </row>
    <row r="11" spans="4:19" ht="15.75" thickBot="1" x14ac:dyDescent="0.3">
      <c r="I11" s="2"/>
      <c r="J11" s="1864" t="s">
        <v>21</v>
      </c>
      <c r="K11" s="1864"/>
      <c r="L11" s="1864"/>
      <c r="M11" s="1864"/>
      <c r="N11" s="1864"/>
      <c r="O11" s="1865"/>
    </row>
    <row r="12" spans="4:19" ht="15" x14ac:dyDescent="0.25">
      <c r="I12" s="43"/>
      <c r="J12" s="1836" t="s">
        <v>0</v>
      </c>
      <c r="K12" s="1837"/>
      <c r="L12" s="1838" t="s">
        <v>0</v>
      </c>
      <c r="M12" s="1839"/>
      <c r="N12" s="1840" t="s">
        <v>0</v>
      </c>
      <c r="O12" s="1837"/>
      <c r="P12" s="1838"/>
      <c r="Q12" s="1838"/>
    </row>
    <row r="13" spans="4:19" ht="19.5" thickBot="1" x14ac:dyDescent="0.35">
      <c r="I13" s="43"/>
      <c r="J13" s="768" t="s">
        <v>1</v>
      </c>
      <c r="K13" s="285" t="s">
        <v>2</v>
      </c>
      <c r="L13" s="761" t="s">
        <v>1</v>
      </c>
      <c r="M13" s="195" t="s">
        <v>2</v>
      </c>
      <c r="N13" s="195" t="s">
        <v>3</v>
      </c>
      <c r="O13" s="46" t="s">
        <v>4</v>
      </c>
      <c r="P13" s="758"/>
      <c r="Q13" s="754"/>
    </row>
    <row r="14" spans="4:19" x14ac:dyDescent="0.3">
      <c r="I14" s="43"/>
      <c r="J14" s="1826" t="s">
        <v>102</v>
      </c>
      <c r="K14" s="1827"/>
      <c r="L14" s="1845"/>
      <c r="M14" s="1846"/>
      <c r="N14" s="1849"/>
      <c r="O14" s="1846"/>
      <c r="P14" s="1838"/>
      <c r="Q14" s="1838"/>
    </row>
    <row r="15" spans="4:19" ht="15" thickBot="1" x14ac:dyDescent="0.35">
      <c r="I15" s="43"/>
      <c r="J15" s="2154"/>
      <c r="K15" s="2126"/>
      <c r="L15" s="1847"/>
      <c r="M15" s="1848"/>
      <c r="N15" s="1850"/>
      <c r="O15" s="1848"/>
      <c r="P15" s="1838"/>
      <c r="Q15" s="1838"/>
      <c r="R15" s="1849" t="s">
        <v>32</v>
      </c>
      <c r="S15" s="1846"/>
    </row>
    <row r="16" spans="4:19" x14ac:dyDescent="0.3">
      <c r="D16" s="755" t="s">
        <v>5</v>
      </c>
      <c r="E16" s="762" t="s">
        <v>6</v>
      </c>
      <c r="F16" s="759" t="s">
        <v>7</v>
      </c>
      <c r="G16" s="756" t="s">
        <v>8</v>
      </c>
      <c r="H16" s="43"/>
      <c r="I16" s="43"/>
      <c r="J16" s="777" t="s">
        <v>9</v>
      </c>
      <c r="K16" s="778" t="s">
        <v>10</v>
      </c>
      <c r="L16" s="759" t="s">
        <v>9</v>
      </c>
      <c r="M16" s="756" t="s">
        <v>10</v>
      </c>
      <c r="N16" s="755" t="s">
        <v>9</v>
      </c>
      <c r="O16" s="756" t="s">
        <v>10</v>
      </c>
      <c r="P16" s="43"/>
      <c r="Q16" s="43"/>
      <c r="R16" s="1850"/>
      <c r="S16" s="1848"/>
    </row>
    <row r="17" spans="4:19" ht="43.95" thickBot="1" x14ac:dyDescent="0.35">
      <c r="D17" s="760">
        <v>1</v>
      </c>
      <c r="E17" s="648" t="s">
        <v>409</v>
      </c>
      <c r="F17" s="220" t="s">
        <v>40</v>
      </c>
      <c r="G17" s="644">
        <v>100</v>
      </c>
      <c r="H17" s="177"/>
      <c r="I17" s="177"/>
      <c r="J17" s="179">
        <v>400</v>
      </c>
      <c r="K17" s="178">
        <f>J17*G17</f>
        <v>40000</v>
      </c>
      <c r="L17" s="177"/>
      <c r="M17" s="178"/>
      <c r="N17" s="179"/>
      <c r="O17" s="178"/>
      <c r="P17" s="6"/>
      <c r="Q17" s="6"/>
      <c r="R17" s="7"/>
      <c r="S17" s="6">
        <f>+R17*O17</f>
        <v>0</v>
      </c>
    </row>
    <row r="18" spans="4:19" ht="15.75" thickBot="1" x14ac:dyDescent="0.3">
      <c r="D18" s="3"/>
      <c r="F18" s="175"/>
      <c r="G18" s="176"/>
      <c r="H18" s="4"/>
      <c r="I18" s="4"/>
      <c r="J18" s="14" t="s">
        <v>10</v>
      </c>
      <c r="K18" s="192">
        <f>SUM(K17:K17)</f>
        <v>40000</v>
      </c>
      <c r="L18" s="11"/>
      <c r="M18" s="187">
        <f>SUM(M17:M17)</f>
        <v>0</v>
      </c>
      <c r="N18" s="12"/>
      <c r="O18" s="182">
        <f>SUM(O17:O17)</f>
        <v>0</v>
      </c>
      <c r="P18" s="16"/>
      <c r="Q18" s="16"/>
      <c r="R18" s="35">
        <v>3558.69</v>
      </c>
      <c r="S18" s="47">
        <f>+R18*O18</f>
        <v>0</v>
      </c>
    </row>
    <row r="19" spans="4:19" ht="15" customHeight="1" x14ac:dyDescent="0.3">
      <c r="G19" s="4"/>
      <c r="H19" s="4"/>
      <c r="I19" s="4"/>
      <c r="J19" s="1826" t="s">
        <v>412</v>
      </c>
      <c r="K19" s="1827"/>
      <c r="L19" s="1830"/>
      <c r="M19" s="1829"/>
      <c r="N19" s="1826"/>
      <c r="O19" s="1827"/>
      <c r="P19" s="6"/>
      <c r="Q19" s="6"/>
      <c r="R19" s="48" t="s">
        <v>10</v>
      </c>
      <c r="S19" s="49">
        <f>SUM(S17:S18)</f>
        <v>0</v>
      </c>
    </row>
    <row r="20" spans="4:19" ht="52.5" customHeight="1" thickBot="1" x14ac:dyDescent="0.35">
      <c r="G20" s="4"/>
      <c r="H20" s="4"/>
      <c r="I20" s="4"/>
      <c r="J20" s="1833"/>
      <c r="K20" s="1832"/>
      <c r="L20" s="1831"/>
      <c r="M20" s="1832"/>
      <c r="N20" s="1833"/>
      <c r="O20" s="1832"/>
      <c r="P20" s="6"/>
      <c r="Q20" s="6"/>
      <c r="R20" s="1860" t="s">
        <v>24</v>
      </c>
      <c r="S20" s="1861"/>
    </row>
    <row r="21" spans="4:19" ht="30" customHeight="1" x14ac:dyDescent="0.3">
      <c r="G21" s="4"/>
      <c r="H21" s="4"/>
      <c r="I21" s="4"/>
      <c r="J21" s="1830"/>
      <c r="K21" s="1830"/>
      <c r="L21" s="4"/>
      <c r="M21" s="4"/>
      <c r="N21" s="6"/>
      <c r="O21" s="6"/>
      <c r="P21" s="6"/>
      <c r="Q21" s="6"/>
      <c r="R21" s="1862"/>
      <c r="S21" s="1863"/>
    </row>
    <row r="22" spans="4:19" x14ac:dyDescent="0.3">
      <c r="G22" s="4"/>
      <c r="H22" s="4"/>
      <c r="I22" s="4"/>
      <c r="J22" s="4"/>
      <c r="K22" s="4"/>
      <c r="L22" s="4"/>
      <c r="M22" s="4"/>
      <c r="N22" s="6"/>
      <c r="O22" s="6"/>
      <c r="P22" s="6"/>
      <c r="Q22" s="6"/>
    </row>
    <row r="23" spans="4:19" ht="15" thickBot="1" x14ac:dyDescent="0.35">
      <c r="G23" s="4"/>
      <c r="H23" s="4"/>
      <c r="I23" s="4"/>
      <c r="J23" s="4"/>
      <c r="K23" s="4"/>
      <c r="L23" s="4"/>
      <c r="M23" s="4"/>
      <c r="N23" s="4"/>
      <c r="O23" s="4"/>
      <c r="P23" s="6"/>
      <c r="Q23" s="6"/>
    </row>
    <row r="24" spans="4:19" ht="15" thickBot="1" x14ac:dyDescent="0.35">
      <c r="I24" s="2"/>
      <c r="J24" s="2127" t="s">
        <v>17</v>
      </c>
      <c r="K24" s="2127"/>
      <c r="L24" s="1864"/>
      <c r="M24" s="1864"/>
      <c r="N24" s="1864"/>
      <c r="O24" s="1865"/>
      <c r="P24" s="4"/>
      <c r="Q24" s="4"/>
    </row>
    <row r="25" spans="4:19" ht="15.75" customHeight="1" x14ac:dyDescent="0.3">
      <c r="I25" s="43"/>
      <c r="J25" s="1836" t="s">
        <v>0</v>
      </c>
      <c r="K25" s="1837"/>
      <c r="L25" s="1838" t="s">
        <v>0</v>
      </c>
      <c r="M25" s="1839"/>
      <c r="N25" s="1840" t="s">
        <v>0</v>
      </c>
      <c r="O25" s="1837"/>
      <c r="P25" s="4"/>
      <c r="Q25" s="4"/>
    </row>
    <row r="26" spans="4:19" ht="15.75" customHeight="1" thickBot="1" x14ac:dyDescent="0.4">
      <c r="I26" s="43"/>
      <c r="J26" s="229" t="s">
        <v>3</v>
      </c>
      <c r="K26" s="630" t="s">
        <v>4</v>
      </c>
      <c r="L26" s="761" t="s">
        <v>1</v>
      </c>
      <c r="M26" s="46" t="s">
        <v>4</v>
      </c>
      <c r="N26" s="761" t="s">
        <v>1</v>
      </c>
      <c r="O26" s="46" t="s">
        <v>4</v>
      </c>
      <c r="P26" s="4"/>
      <c r="Q26" s="4"/>
    </row>
    <row r="27" spans="4:19" ht="15.75" customHeight="1" x14ac:dyDescent="0.3">
      <c r="I27" s="43"/>
      <c r="J27" s="1857" t="s">
        <v>362</v>
      </c>
      <c r="K27" s="1858"/>
      <c r="L27" s="1845"/>
      <c r="M27" s="1846"/>
      <c r="N27" s="1849"/>
      <c r="O27" s="1846"/>
      <c r="P27" s="4"/>
      <c r="Q27" s="4"/>
    </row>
    <row r="28" spans="4:19" ht="15.75" customHeight="1" thickBot="1" x14ac:dyDescent="0.35">
      <c r="I28" s="43"/>
      <c r="J28" s="1843"/>
      <c r="K28" s="1844"/>
      <c r="L28" s="1847"/>
      <c r="M28" s="1848"/>
      <c r="N28" s="1850"/>
      <c r="O28" s="1848"/>
      <c r="P28" s="4"/>
      <c r="Q28" s="4"/>
    </row>
    <row r="29" spans="4:19" ht="18.75" customHeight="1" thickBot="1" x14ac:dyDescent="0.35">
      <c r="D29" s="766" t="s">
        <v>5</v>
      </c>
      <c r="E29" s="774" t="s">
        <v>6</v>
      </c>
      <c r="F29" s="775" t="s">
        <v>7</v>
      </c>
      <c r="G29" s="776" t="s">
        <v>8</v>
      </c>
      <c r="H29" s="43"/>
      <c r="I29" s="43"/>
      <c r="J29" s="752" t="s">
        <v>9</v>
      </c>
      <c r="K29" s="757" t="s">
        <v>10</v>
      </c>
      <c r="L29" s="759" t="s">
        <v>9</v>
      </c>
      <c r="M29" s="756" t="s">
        <v>10</v>
      </c>
      <c r="N29" s="755" t="s">
        <v>9</v>
      </c>
      <c r="O29" s="756" t="s">
        <v>10</v>
      </c>
      <c r="P29" s="4"/>
      <c r="Q29" s="4"/>
    </row>
    <row r="30" spans="4:19" ht="50.25" customHeight="1" thickBot="1" x14ac:dyDescent="0.35">
      <c r="D30" s="765">
        <v>1</v>
      </c>
      <c r="E30" s="771" t="s">
        <v>361</v>
      </c>
      <c r="F30" s="772" t="s">
        <v>286</v>
      </c>
      <c r="G30" s="773">
        <v>1</v>
      </c>
      <c r="H30" s="177"/>
      <c r="I30" s="177"/>
      <c r="J30" s="179">
        <v>14100</v>
      </c>
      <c r="K30" s="178">
        <f>J30*G30</f>
        <v>14100</v>
      </c>
      <c r="L30" s="177"/>
      <c r="M30" s="178"/>
      <c r="N30" s="179"/>
      <c r="O30" s="178"/>
      <c r="P30" s="4"/>
      <c r="Q30" s="4"/>
    </row>
    <row r="31" spans="4:19" ht="39" customHeight="1" thickBot="1" x14ac:dyDescent="0.35">
      <c r="D31" s="3"/>
      <c r="F31" s="175"/>
      <c r="G31" s="176"/>
      <c r="H31" s="4"/>
      <c r="I31" s="4"/>
      <c r="J31" s="14" t="s">
        <v>10</v>
      </c>
      <c r="K31" s="192">
        <f>SUM(K30:K30)</f>
        <v>14100</v>
      </c>
      <c r="L31" s="11"/>
      <c r="M31" s="187">
        <f>SUM(M30:M30)</f>
        <v>0</v>
      </c>
      <c r="N31" s="186"/>
      <c r="O31" s="187">
        <f>SUM(O30:O30)</f>
        <v>0</v>
      </c>
      <c r="P31" s="4"/>
      <c r="Q31" s="4"/>
    </row>
    <row r="32" spans="4:19" ht="39" customHeight="1" x14ac:dyDescent="0.3">
      <c r="G32" s="4"/>
      <c r="H32" s="4"/>
      <c r="I32" s="4"/>
      <c r="J32" s="1826" t="s">
        <v>100</v>
      </c>
      <c r="K32" s="1827"/>
      <c r="L32" s="1830"/>
      <c r="M32" s="1829"/>
      <c r="N32" s="1828"/>
      <c r="O32" s="1829"/>
      <c r="P32" s="4"/>
      <c r="Q32" s="4"/>
    </row>
    <row r="33" spans="6:19" ht="39" customHeight="1" thickBot="1" x14ac:dyDescent="0.35">
      <c r="G33" s="4"/>
      <c r="H33" s="4"/>
      <c r="I33" s="4"/>
      <c r="J33" s="1828"/>
      <c r="K33" s="1829"/>
      <c r="L33" s="1831"/>
      <c r="M33" s="1832"/>
      <c r="N33" s="1833"/>
      <c r="O33" s="1832"/>
      <c r="P33" s="4"/>
      <c r="Q33" s="4"/>
    </row>
    <row r="34" spans="6:19" ht="39" customHeight="1" thickBot="1" x14ac:dyDescent="0.35">
      <c r="G34" s="4"/>
      <c r="H34" s="4"/>
      <c r="I34" s="4"/>
      <c r="J34" s="1833"/>
      <c r="K34" s="1832"/>
      <c r="L34" s="4"/>
      <c r="M34" s="4"/>
      <c r="N34" s="6"/>
      <c r="O34" s="6"/>
      <c r="P34" s="4"/>
      <c r="Q34" s="4"/>
    </row>
    <row r="35" spans="6:19" ht="15.75" customHeight="1" x14ac:dyDescent="0.35">
      <c r="G35" s="4"/>
      <c r="H35" s="4"/>
      <c r="I35" s="4"/>
      <c r="J35" s="754"/>
      <c r="K35" s="758"/>
      <c r="L35" s="758"/>
      <c r="M35" s="754"/>
      <c r="N35" s="758"/>
      <c r="O35" s="754"/>
      <c r="P35" s="4"/>
      <c r="Q35" s="4"/>
    </row>
    <row r="36" spans="6:19" ht="18" x14ac:dyDescent="0.35">
      <c r="G36" s="4"/>
      <c r="H36" s="4"/>
      <c r="I36" s="4"/>
      <c r="J36" s="1835"/>
      <c r="K36" s="1835"/>
      <c r="L36" s="1859"/>
      <c r="M36" s="1859"/>
      <c r="N36" s="1859"/>
      <c r="O36" s="1859"/>
      <c r="P36" s="4"/>
      <c r="Q36" s="4"/>
    </row>
    <row r="37" spans="6:19" ht="29.25" customHeight="1" x14ac:dyDescent="0.3">
      <c r="G37" s="4"/>
      <c r="H37" s="4"/>
      <c r="I37" s="4"/>
      <c r="J37" s="1835"/>
      <c r="K37" s="1835"/>
      <c r="L37" s="1835"/>
      <c r="M37" s="1835"/>
      <c r="N37" s="1835"/>
      <c r="O37" s="1835"/>
      <c r="P37" s="43"/>
      <c r="Q37" s="43"/>
      <c r="R37" s="43"/>
      <c r="S37" s="43"/>
    </row>
    <row r="38" spans="6:19" x14ac:dyDescent="0.3">
      <c r="G38" s="4"/>
      <c r="H38" s="4"/>
      <c r="I38" s="4"/>
      <c r="J38" s="25"/>
      <c r="K38" s="25"/>
      <c r="L38" s="25"/>
      <c r="M38" s="25"/>
      <c r="N38" s="25"/>
      <c r="O38" s="25"/>
      <c r="P38" s="43"/>
      <c r="Q38" s="43"/>
      <c r="R38" s="43"/>
      <c r="S38" s="43"/>
    </row>
    <row r="39" spans="6:19" x14ac:dyDescent="0.3">
      <c r="F39" s="33"/>
      <c r="G39" s="34"/>
      <c r="H39" s="34"/>
      <c r="I39" s="34">
        <f>14100*1.12</f>
        <v>15792.000000000002</v>
      </c>
      <c r="J39" s="6"/>
      <c r="K39" s="25"/>
      <c r="L39" s="50"/>
      <c r="M39" s="25"/>
      <c r="N39" s="25"/>
      <c r="O39" s="25"/>
      <c r="P39" s="43"/>
      <c r="Q39" s="43"/>
      <c r="R39" s="43"/>
      <c r="S39" s="43"/>
    </row>
    <row r="40" spans="6:19" x14ac:dyDescent="0.3">
      <c r="F40" s="33"/>
      <c r="G40" s="34"/>
      <c r="H40" s="4"/>
      <c r="I40" s="4"/>
      <c r="J40" s="6"/>
      <c r="K40" s="25"/>
      <c r="L40" s="25"/>
      <c r="M40" s="25"/>
      <c r="N40" s="25"/>
      <c r="O40" s="25"/>
      <c r="P40" s="43"/>
      <c r="Q40" s="43"/>
      <c r="R40" s="43"/>
      <c r="S40" s="43"/>
    </row>
    <row r="41" spans="6:19" x14ac:dyDescent="0.3">
      <c r="F41" s="33"/>
      <c r="G41" s="34"/>
      <c r="H41" s="4"/>
      <c r="I41" s="4"/>
      <c r="J41" s="6"/>
      <c r="K41" s="25"/>
      <c r="L41" s="25"/>
      <c r="M41" s="25"/>
      <c r="N41" s="25"/>
      <c r="O41" s="25"/>
      <c r="P41" s="43"/>
      <c r="Q41" s="43"/>
      <c r="R41" s="43"/>
      <c r="S41" s="43"/>
    </row>
    <row r="42" spans="6:19" x14ac:dyDescent="0.3">
      <c r="F42" s="33"/>
      <c r="G42" s="34"/>
      <c r="H42" s="4"/>
      <c r="I42" s="4"/>
      <c r="J42" s="6"/>
      <c r="K42" s="25"/>
      <c r="L42" s="25"/>
      <c r="M42" s="25"/>
      <c r="N42" s="25"/>
      <c r="O42" s="25"/>
      <c r="P42" s="43"/>
      <c r="Q42" s="43"/>
      <c r="R42" s="43"/>
      <c r="S42" s="43"/>
    </row>
    <row r="43" spans="6:19" x14ac:dyDescent="0.3">
      <c r="F43" s="33"/>
      <c r="G43" s="34"/>
      <c r="H43" s="4"/>
      <c r="I43" s="4"/>
      <c r="J43" s="6"/>
      <c r="K43" s="25"/>
      <c r="L43" s="25"/>
      <c r="M43" s="25"/>
      <c r="N43" s="25"/>
      <c r="O43" s="25"/>
      <c r="P43" s="43"/>
      <c r="Q43" s="43"/>
      <c r="R43" s="43"/>
      <c r="S43" s="43"/>
    </row>
    <row r="44" spans="6:19" x14ac:dyDescent="0.3">
      <c r="G44" s="4"/>
      <c r="H44" s="4"/>
      <c r="I44" s="4"/>
      <c r="J44" s="6"/>
      <c r="K44" s="6"/>
      <c r="L44" s="6"/>
      <c r="M44" s="6"/>
      <c r="N44" s="6"/>
      <c r="O44" s="6"/>
      <c r="P44" s="43"/>
      <c r="Q44" s="43"/>
      <c r="R44" s="43"/>
      <c r="S44" s="43"/>
    </row>
    <row r="45" spans="6:19" ht="18" x14ac:dyDescent="0.35">
      <c r="G45" s="4"/>
      <c r="H45" s="4"/>
      <c r="I45" s="4"/>
      <c r="J45" s="6"/>
      <c r="K45" s="36"/>
      <c r="L45" s="51"/>
      <c r="M45" s="52"/>
      <c r="N45" s="51"/>
      <c r="O45" s="53"/>
      <c r="Q45" s="37"/>
      <c r="R45" s="43"/>
      <c r="S45" s="43"/>
    </row>
    <row r="46" spans="6:19" x14ac:dyDescent="0.3">
      <c r="J46" s="43"/>
      <c r="K46" s="43"/>
      <c r="L46" s="43"/>
      <c r="M46" s="43"/>
      <c r="N46" s="43"/>
      <c r="O46" s="43"/>
    </row>
    <row r="47" spans="6:19" x14ac:dyDescent="0.3">
      <c r="J47" s="43"/>
      <c r="K47" s="43"/>
      <c r="L47" s="43"/>
      <c r="M47" s="43"/>
      <c r="N47" s="43"/>
      <c r="O47" s="43"/>
    </row>
    <row r="48" spans="6:19" ht="15.6" x14ac:dyDescent="0.3">
      <c r="J48" s="43"/>
      <c r="K48" s="43"/>
      <c r="L48" s="1834"/>
      <c r="M48" s="1834"/>
      <c r="N48" s="43"/>
      <c r="O48" s="43"/>
    </row>
    <row r="49" spans="10:15" x14ac:dyDescent="0.3">
      <c r="J49" s="43"/>
      <c r="K49" s="43"/>
      <c r="L49" s="43"/>
      <c r="M49" s="43"/>
      <c r="N49" s="43"/>
      <c r="O49" s="43"/>
    </row>
    <row r="50" spans="10:15" ht="15.6" x14ac:dyDescent="0.3">
      <c r="J50" s="43"/>
      <c r="K50" s="43"/>
      <c r="L50" s="1834"/>
      <c r="M50" s="1834"/>
      <c r="N50" s="43"/>
      <c r="O50" s="43"/>
    </row>
    <row r="51" spans="10:15" x14ac:dyDescent="0.3">
      <c r="J51" s="43"/>
      <c r="K51" s="43"/>
      <c r="L51" s="43"/>
      <c r="M51" s="43"/>
      <c r="N51" s="43"/>
      <c r="O51" s="43"/>
    </row>
    <row r="52" spans="10:15" x14ac:dyDescent="0.3">
      <c r="J52" s="43"/>
      <c r="K52" s="43"/>
      <c r="L52" s="43"/>
      <c r="M52" s="43"/>
      <c r="N52" s="43"/>
      <c r="O52" s="43"/>
    </row>
    <row r="53" spans="10:15" x14ac:dyDescent="0.3">
      <c r="J53" s="43"/>
      <c r="K53" s="43"/>
      <c r="L53" s="43"/>
      <c r="M53" s="43"/>
      <c r="N53" s="43"/>
      <c r="O53" s="43"/>
    </row>
    <row r="54" spans="10:15" x14ac:dyDescent="0.3">
      <c r="J54" s="43"/>
      <c r="K54" s="43"/>
      <c r="L54" s="43"/>
      <c r="M54" s="43"/>
      <c r="N54" s="43"/>
      <c r="O54" s="43"/>
    </row>
    <row r="55" spans="10:15" x14ac:dyDescent="0.3">
      <c r="J55" s="43"/>
      <c r="K55" s="43"/>
      <c r="L55" s="43"/>
      <c r="M55" s="43"/>
      <c r="N55" s="43"/>
      <c r="O55" s="43"/>
    </row>
    <row r="56" spans="10:15" x14ac:dyDescent="0.3">
      <c r="J56" s="43"/>
      <c r="K56" s="43"/>
      <c r="L56" s="43"/>
      <c r="M56" s="43"/>
      <c r="N56" s="43"/>
      <c r="O56" s="43"/>
    </row>
  </sheetData>
  <mergeCells count="34">
    <mergeCell ref="J27:K28"/>
    <mergeCell ref="L27:M28"/>
    <mergeCell ref="N27:O28"/>
    <mergeCell ref="L48:M48"/>
    <mergeCell ref="L50:M50"/>
    <mergeCell ref="J32:K33"/>
    <mergeCell ref="L32:M33"/>
    <mergeCell ref="N32:O33"/>
    <mergeCell ref="J34:K34"/>
    <mergeCell ref="J36:K37"/>
    <mergeCell ref="L36:O36"/>
    <mergeCell ref="L37:M37"/>
    <mergeCell ref="N37:O37"/>
    <mergeCell ref="R20:S21"/>
    <mergeCell ref="J21:K21"/>
    <mergeCell ref="J25:K25"/>
    <mergeCell ref="L25:M25"/>
    <mergeCell ref="N25:O25"/>
    <mergeCell ref="J24:O24"/>
    <mergeCell ref="J19:K20"/>
    <mergeCell ref="L19:M20"/>
    <mergeCell ref="N19:O20"/>
    <mergeCell ref="R15:S16"/>
    <mergeCell ref="E9:O9"/>
    <mergeCell ref="J11:O11"/>
    <mergeCell ref="J12:K12"/>
    <mergeCell ref="L12:M12"/>
    <mergeCell ref="N12:O12"/>
    <mergeCell ref="P12:Q12"/>
    <mergeCell ref="J14:K15"/>
    <mergeCell ref="L14:M15"/>
    <mergeCell ref="N14:O15"/>
    <mergeCell ref="P14:Q14"/>
    <mergeCell ref="P15:Q1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FF0000"/>
  </sheetPr>
  <dimension ref="A2:T24"/>
  <sheetViews>
    <sheetView topLeftCell="A13" zoomScale="85" zoomScaleNormal="85" workbookViewId="0">
      <selection activeCell="E27" sqref="E27"/>
    </sheetView>
  </sheetViews>
  <sheetFormatPr baseColWidth="10" defaultColWidth="11.44140625" defaultRowHeight="15" x14ac:dyDescent="0.25"/>
  <cols>
    <col min="1" max="1" width="11.5546875" style="58" bestFit="1" customWidth="1"/>
    <col min="2" max="2" width="88.33203125" style="58" customWidth="1"/>
    <col min="3" max="3" width="11.44140625" style="58"/>
    <col min="4" max="4" width="13.5546875" style="58" bestFit="1" customWidth="1"/>
    <col min="5" max="6" width="13.5546875" style="58" customWidth="1"/>
    <col min="7" max="7" width="23.5546875" style="58" customWidth="1"/>
    <col min="8" max="8" width="26.5546875" style="58" customWidth="1"/>
    <col min="9" max="9" width="24.88671875" style="58" customWidth="1"/>
    <col min="10" max="10" width="22.33203125" style="58" customWidth="1"/>
    <col min="11" max="11" width="17.6640625" style="58" bestFit="1" customWidth="1"/>
    <col min="12" max="12" width="22.6640625" style="58" customWidth="1"/>
    <col min="13" max="13" width="18.88671875" style="58" customWidth="1"/>
    <col min="14" max="14" width="22.5546875" style="58" customWidth="1"/>
    <col min="15" max="15" width="20" style="58" customWidth="1"/>
    <col min="16" max="16" width="21.33203125" style="58" customWidth="1"/>
    <col min="17" max="17" width="13.5546875" style="58" customWidth="1"/>
    <col min="18" max="18" width="22.6640625" style="58" customWidth="1"/>
    <col min="19" max="16384" width="11.44140625" style="58"/>
  </cols>
  <sheetData>
    <row r="2" spans="1:20" ht="20.25" x14ac:dyDescent="0.25">
      <c r="A2" s="57"/>
      <c r="B2" s="603" t="s">
        <v>26</v>
      </c>
    </row>
    <row r="3" spans="1:20" ht="15.75" x14ac:dyDescent="0.2">
      <c r="B3" s="77"/>
    </row>
    <row r="4" spans="1:20" ht="29.25" customHeight="1" x14ac:dyDescent="0.25">
      <c r="B4" s="77"/>
      <c r="C4" s="77"/>
      <c r="D4" s="501"/>
      <c r="E4" s="501"/>
      <c r="F4" s="501"/>
      <c r="G4" s="501"/>
      <c r="H4" s="502"/>
      <c r="I4" s="503"/>
      <c r="J4" s="503"/>
      <c r="K4" s="503"/>
      <c r="L4" s="503"/>
      <c r="M4" s="503"/>
      <c r="N4" s="503"/>
      <c r="O4" s="503"/>
      <c r="P4" s="96"/>
      <c r="Q4" s="57"/>
      <c r="R4" s="503"/>
      <c r="S4" s="62"/>
      <c r="T4" s="62"/>
    </row>
    <row r="5" spans="1:20" ht="29.25" customHeight="1" x14ac:dyDescent="0.2">
      <c r="B5" s="77"/>
      <c r="C5" s="77"/>
      <c r="D5" s="501"/>
      <c r="E5" s="501"/>
      <c r="F5" s="501"/>
      <c r="G5" s="501"/>
      <c r="H5" s="502"/>
      <c r="I5" s="76"/>
      <c r="J5" s="76"/>
      <c r="K5" s="76"/>
      <c r="L5" s="76"/>
      <c r="M5" s="76"/>
      <c r="N5" s="76"/>
      <c r="O5" s="76"/>
      <c r="P5" s="62"/>
      <c r="S5" s="62"/>
      <c r="T5" s="62"/>
    </row>
    <row r="6" spans="1:20" ht="29.25" customHeight="1" x14ac:dyDescent="0.2">
      <c r="B6" s="77"/>
      <c r="F6" s="2159" t="s">
        <v>270</v>
      </c>
      <c r="G6" s="2159"/>
      <c r="H6" s="2159"/>
      <c r="I6" s="2159"/>
      <c r="J6" s="2159"/>
      <c r="K6" s="2159"/>
      <c r="L6" s="2159"/>
      <c r="M6" s="2159"/>
      <c r="N6" s="2159"/>
      <c r="O6" s="76"/>
      <c r="P6" s="62"/>
      <c r="S6" s="62"/>
      <c r="T6" s="62"/>
    </row>
    <row r="7" spans="1:20" ht="29.25" customHeight="1" x14ac:dyDescent="0.2">
      <c r="F7" s="2157" t="s">
        <v>0</v>
      </c>
      <c r="G7" s="2157"/>
      <c r="H7" s="2157"/>
      <c r="I7" s="2157" t="s">
        <v>0</v>
      </c>
      <c r="J7" s="2157"/>
      <c r="K7" s="2157" t="s">
        <v>0</v>
      </c>
      <c r="L7" s="2157"/>
      <c r="M7" s="2157" t="s">
        <v>0</v>
      </c>
      <c r="N7" s="2157"/>
      <c r="O7" s="118"/>
      <c r="P7" s="1874"/>
      <c r="Q7" s="1874"/>
      <c r="R7" s="1874"/>
      <c r="S7" s="62"/>
      <c r="T7" s="62"/>
    </row>
    <row r="8" spans="1:20" ht="29.25" customHeight="1" thickBot="1" x14ac:dyDescent="0.3">
      <c r="F8" s="2158" t="s">
        <v>3</v>
      </c>
      <c r="G8" s="2158"/>
      <c r="H8" s="544" t="s">
        <v>62</v>
      </c>
      <c r="I8" s="545" t="s">
        <v>1</v>
      </c>
      <c r="J8" s="546" t="s">
        <v>2</v>
      </c>
      <c r="K8" s="545" t="s">
        <v>1</v>
      </c>
      <c r="L8" s="546" t="s">
        <v>2</v>
      </c>
      <c r="M8" s="545" t="s">
        <v>1</v>
      </c>
      <c r="N8" s="546" t="s">
        <v>2</v>
      </c>
      <c r="O8" s="489"/>
      <c r="P8" s="490"/>
      <c r="Q8" s="489"/>
      <c r="R8" s="489"/>
      <c r="S8" s="62"/>
      <c r="T8" s="62"/>
    </row>
    <row r="9" spans="1:20" ht="29.25" customHeight="1" thickBot="1" x14ac:dyDescent="0.3">
      <c r="F9" s="2160" t="s">
        <v>271</v>
      </c>
      <c r="G9" s="2161"/>
      <c r="H9" s="2162"/>
      <c r="I9" s="2010"/>
      <c r="J9" s="2011"/>
      <c r="K9" s="2010"/>
      <c r="L9" s="2011"/>
      <c r="M9" s="2010"/>
      <c r="N9" s="2011"/>
      <c r="O9" s="76"/>
      <c r="P9" s="62"/>
      <c r="S9" s="62"/>
      <c r="T9" s="62"/>
    </row>
    <row r="10" spans="1:20" ht="29.25" customHeight="1" x14ac:dyDescent="0.2">
      <c r="B10" s="93" t="s">
        <v>6</v>
      </c>
      <c r="C10" s="109" t="s">
        <v>7</v>
      </c>
      <c r="D10" s="94" t="s">
        <v>8</v>
      </c>
      <c r="E10" s="488"/>
      <c r="F10" s="506" t="s">
        <v>8</v>
      </c>
      <c r="G10" s="304" t="s">
        <v>9</v>
      </c>
      <c r="H10" s="507" t="s">
        <v>10</v>
      </c>
      <c r="I10" s="506" t="s">
        <v>9</v>
      </c>
      <c r="J10" s="507" t="s">
        <v>10</v>
      </c>
      <c r="K10" s="506" t="s">
        <v>9</v>
      </c>
      <c r="L10" s="507" t="s">
        <v>10</v>
      </c>
      <c r="M10" s="506" t="s">
        <v>9</v>
      </c>
      <c r="N10" s="507" t="s">
        <v>10</v>
      </c>
      <c r="O10" s="76"/>
      <c r="P10" s="62"/>
      <c r="S10" s="62"/>
      <c r="T10" s="62"/>
    </row>
    <row r="11" spans="1:20" ht="42.75" customHeight="1" x14ac:dyDescent="0.25">
      <c r="A11" s="610">
        <v>1</v>
      </c>
      <c r="B11" s="510" t="s">
        <v>272</v>
      </c>
      <c r="C11" s="513" t="s">
        <v>12</v>
      </c>
      <c r="D11" s="514">
        <v>3000</v>
      </c>
      <c r="E11" s="501"/>
      <c r="F11" s="505">
        <v>3000</v>
      </c>
      <c r="G11" s="501">
        <v>106.25</v>
      </c>
      <c r="H11" s="504">
        <f>F11*G11</f>
        <v>318750</v>
      </c>
      <c r="I11" s="2155"/>
      <c r="J11" s="2156"/>
      <c r="K11" s="505"/>
      <c r="L11" s="504"/>
      <c r="M11" s="505"/>
      <c r="N11" s="504">
        <f>+M11*D11</f>
        <v>0</v>
      </c>
      <c r="O11" s="76"/>
      <c r="P11" s="62"/>
      <c r="S11" s="62"/>
      <c r="T11" s="62"/>
    </row>
    <row r="12" spans="1:20" ht="42.75" customHeight="1" x14ac:dyDescent="0.2">
      <c r="A12" s="610">
        <f>+A11+1</f>
        <v>2</v>
      </c>
      <c r="B12" s="510" t="s">
        <v>273</v>
      </c>
      <c r="C12" s="513" t="s">
        <v>12</v>
      </c>
      <c r="D12" s="514">
        <f>17*300</f>
        <v>5100</v>
      </c>
      <c r="E12" s="501"/>
      <c r="F12" s="505">
        <v>16</v>
      </c>
      <c r="G12" s="501">
        <v>74314.23</v>
      </c>
      <c r="H12" s="504">
        <f t="shared" ref="H12:H15" si="0">F12*G12</f>
        <v>1189027.68</v>
      </c>
      <c r="I12" s="505"/>
      <c r="J12" s="504"/>
      <c r="K12" s="505"/>
      <c r="L12" s="504"/>
      <c r="M12" s="505"/>
      <c r="N12" s="504">
        <f t="shared" ref="N12:N13" si="1">+M12*D12</f>
        <v>0</v>
      </c>
      <c r="O12" s="76"/>
      <c r="P12" s="62"/>
      <c r="S12" s="62"/>
      <c r="T12" s="62"/>
    </row>
    <row r="13" spans="1:20" ht="42.75" customHeight="1" x14ac:dyDescent="0.2">
      <c r="A13" s="610">
        <f t="shared" ref="A13:A18" si="2">+A12+1</f>
        <v>3</v>
      </c>
      <c r="B13" s="510" t="s">
        <v>274</v>
      </c>
      <c r="C13" s="513" t="s">
        <v>12</v>
      </c>
      <c r="D13" s="514">
        <v>250</v>
      </c>
      <c r="E13" s="501"/>
      <c r="F13" s="505">
        <v>250</v>
      </c>
      <c r="G13" s="501">
        <v>650</v>
      </c>
      <c r="H13" s="504">
        <f t="shared" si="0"/>
        <v>162500</v>
      </c>
      <c r="I13" s="505"/>
      <c r="J13" s="504"/>
      <c r="K13" s="505"/>
      <c r="L13" s="504"/>
      <c r="M13" s="505"/>
      <c r="N13" s="504">
        <f t="shared" si="1"/>
        <v>0</v>
      </c>
      <c r="O13" s="76"/>
      <c r="P13" s="62"/>
      <c r="S13" s="62"/>
      <c r="T13" s="62"/>
    </row>
    <row r="14" spans="1:20" ht="57.75" customHeight="1" x14ac:dyDescent="0.2">
      <c r="A14" s="610">
        <f>+A13+1</f>
        <v>4</v>
      </c>
      <c r="B14" s="510" t="s">
        <v>275</v>
      </c>
      <c r="C14" s="513" t="s">
        <v>19</v>
      </c>
      <c r="D14" s="514">
        <v>1</v>
      </c>
      <c r="E14" s="501"/>
      <c r="F14" s="505"/>
      <c r="G14" s="501"/>
      <c r="H14" s="504"/>
      <c r="I14" s="505"/>
      <c r="J14" s="504"/>
      <c r="K14" s="505"/>
      <c r="L14" s="504"/>
      <c r="M14" s="505"/>
      <c r="N14" s="504">
        <f>+M14*D14</f>
        <v>0</v>
      </c>
      <c r="O14" s="76"/>
      <c r="P14" s="62"/>
      <c r="S14" s="62"/>
      <c r="T14" s="62"/>
    </row>
    <row r="15" spans="1:20" ht="57.75" customHeight="1" x14ac:dyDescent="0.2">
      <c r="A15" s="610">
        <f t="shared" si="2"/>
        <v>5</v>
      </c>
      <c r="B15" s="510" t="s">
        <v>279</v>
      </c>
      <c r="C15" s="513" t="s">
        <v>19</v>
      </c>
      <c r="D15" s="514">
        <v>2</v>
      </c>
      <c r="E15" s="501"/>
      <c r="F15" s="505">
        <v>2</v>
      </c>
      <c r="G15" s="501">
        <v>10892.86</v>
      </c>
      <c r="H15" s="504">
        <f t="shared" si="0"/>
        <v>21785.72</v>
      </c>
      <c r="I15" s="505"/>
      <c r="J15" s="504"/>
      <c r="K15" s="505"/>
      <c r="L15" s="504"/>
      <c r="M15" s="505"/>
      <c r="N15" s="504">
        <f>+M15*D15</f>
        <v>0</v>
      </c>
      <c r="O15" s="76"/>
      <c r="P15" s="62"/>
      <c r="S15" s="62"/>
      <c r="T15" s="62"/>
    </row>
    <row r="16" spans="1:20" ht="42.75" customHeight="1" x14ac:dyDescent="0.25">
      <c r="A16" s="610">
        <f t="shared" si="2"/>
        <v>6</v>
      </c>
      <c r="B16" s="510" t="s">
        <v>276</v>
      </c>
      <c r="C16" s="513" t="s">
        <v>19</v>
      </c>
      <c r="D16" s="514">
        <v>1</v>
      </c>
      <c r="E16" s="501"/>
      <c r="F16" s="505"/>
      <c r="G16" s="501"/>
      <c r="H16" s="504"/>
      <c r="I16" s="505"/>
      <c r="J16" s="504"/>
      <c r="K16" s="505">
        <v>400</v>
      </c>
      <c r="L16" s="504">
        <f>+K16*D16</f>
        <v>400</v>
      </c>
      <c r="M16" s="505"/>
      <c r="N16" s="504"/>
      <c r="O16" s="76"/>
      <c r="P16" s="62"/>
      <c r="S16" s="62"/>
      <c r="T16" s="62"/>
    </row>
    <row r="17" spans="1:20" ht="29.25" customHeight="1" x14ac:dyDescent="0.25">
      <c r="A17" s="610">
        <f t="shared" si="2"/>
        <v>7</v>
      </c>
      <c r="B17" s="510" t="s">
        <v>277</v>
      </c>
      <c r="C17" s="513" t="s">
        <v>19</v>
      </c>
      <c r="D17" s="514">
        <v>2</v>
      </c>
      <c r="E17" s="501"/>
      <c r="F17" s="505"/>
      <c r="G17" s="502"/>
      <c r="H17" s="508"/>
      <c r="I17" s="2155"/>
      <c r="J17" s="2156"/>
      <c r="K17" s="505"/>
      <c r="L17" s="508"/>
      <c r="M17" s="505"/>
      <c r="N17" s="508"/>
      <c r="O17" s="76"/>
      <c r="P17" s="62"/>
      <c r="S17" s="62"/>
      <c r="T17" s="62"/>
    </row>
    <row r="18" spans="1:20" ht="39.75" customHeight="1" thickBot="1" x14ac:dyDescent="0.3">
      <c r="A18" s="610">
        <f t="shared" si="2"/>
        <v>8</v>
      </c>
      <c r="B18" s="511" t="s">
        <v>278</v>
      </c>
      <c r="C18" s="515" t="s">
        <v>20</v>
      </c>
      <c r="D18" s="516">
        <v>41</v>
      </c>
      <c r="E18" s="501"/>
      <c r="F18" s="509"/>
      <c r="G18" s="117"/>
      <c r="H18" s="116"/>
      <c r="I18" s="509"/>
      <c r="J18" s="116"/>
      <c r="K18" s="509"/>
      <c r="L18" s="116"/>
      <c r="M18" s="509"/>
      <c r="N18" s="116"/>
    </row>
    <row r="19" spans="1:20" ht="36.75" customHeight="1" thickBot="1" x14ac:dyDescent="0.3">
      <c r="B19" s="62"/>
      <c r="F19" s="62"/>
      <c r="G19" s="62"/>
      <c r="H19" s="512">
        <f>SUM(H11:H18)</f>
        <v>1692063.4</v>
      </c>
      <c r="I19" s="62"/>
      <c r="J19" s="62"/>
      <c r="K19" s="62"/>
      <c r="L19" s="62"/>
      <c r="M19" s="62"/>
      <c r="N19" s="62"/>
    </row>
    <row r="20" spans="1:20" x14ac:dyDescent="0.25">
      <c r="F20" s="62"/>
      <c r="G20" s="62"/>
      <c r="H20" s="62"/>
      <c r="I20" s="62"/>
      <c r="J20" s="62"/>
      <c r="K20" s="62"/>
      <c r="L20" s="62"/>
      <c r="M20" s="62"/>
      <c r="N20" s="62"/>
    </row>
    <row r="23" spans="1:20" ht="22.8" x14ac:dyDescent="0.4">
      <c r="B23" s="844"/>
      <c r="C23" s="844"/>
      <c r="D23" s="844"/>
      <c r="E23" s="845"/>
    </row>
    <row r="24" spans="1:20" ht="22.8" x14ac:dyDescent="0.4">
      <c r="B24" s="846" t="s">
        <v>437</v>
      </c>
      <c r="C24" s="844" t="s">
        <v>12</v>
      </c>
      <c r="D24" s="844">
        <v>100</v>
      </c>
      <c r="E24" s="845"/>
    </row>
  </sheetData>
  <mergeCells count="13">
    <mergeCell ref="F8:G8"/>
    <mergeCell ref="F6:N6"/>
    <mergeCell ref="F7:H7"/>
    <mergeCell ref="F9:H9"/>
    <mergeCell ref="I17:J17"/>
    <mergeCell ref="P7:R7"/>
    <mergeCell ref="I9:J9"/>
    <mergeCell ref="K9:L9"/>
    <mergeCell ref="M9:N9"/>
    <mergeCell ref="I11:J11"/>
    <mergeCell ref="I7:J7"/>
    <mergeCell ref="K7:L7"/>
    <mergeCell ref="M7:N7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FF0000"/>
  </sheetPr>
  <dimension ref="D8:S52"/>
  <sheetViews>
    <sheetView topLeftCell="C1" workbookViewId="0">
      <selection activeCell="J17" sqref="J17"/>
    </sheetView>
  </sheetViews>
  <sheetFormatPr baseColWidth="10" defaultColWidth="11.44140625" defaultRowHeight="14.4" x14ac:dyDescent="0.3"/>
  <cols>
    <col min="1" max="4" width="11.44140625" style="40"/>
    <col min="5" max="5" width="46" style="40" customWidth="1"/>
    <col min="6" max="6" width="11.44140625" style="40"/>
    <col min="7" max="8" width="11.5546875" style="40" bestFit="1" customWidth="1"/>
    <col min="9" max="9" width="12.5546875" style="40" bestFit="1" customWidth="1"/>
    <col min="10" max="10" width="14.33203125" style="40" customWidth="1"/>
    <col min="11" max="11" width="24.44140625" style="40" customWidth="1"/>
    <col min="12" max="12" width="17.5546875" style="40" bestFit="1" customWidth="1"/>
    <col min="13" max="13" width="22.109375" style="40" customWidth="1"/>
    <col min="14" max="14" width="17" style="40" customWidth="1"/>
    <col min="15" max="15" width="19.109375" style="40" customWidth="1"/>
    <col min="16" max="16" width="20" style="40" customWidth="1"/>
    <col min="17" max="17" width="21.33203125" style="40" customWidth="1"/>
    <col min="18" max="16384" width="11.44140625" style="40"/>
  </cols>
  <sheetData>
    <row r="8" spans="4:19" ht="15" x14ac:dyDescent="0.25">
      <c r="H8" s="43"/>
      <c r="I8" s="43"/>
    </row>
    <row r="9" spans="4:19" ht="24" thickBot="1" x14ac:dyDescent="0.4">
      <c r="E9" s="2062" t="s">
        <v>1160</v>
      </c>
      <c r="F9" s="2062"/>
      <c r="G9" s="2062"/>
      <c r="H9" s="2062"/>
      <c r="I9" s="2062"/>
      <c r="J9" s="2062"/>
      <c r="K9" s="2062"/>
      <c r="L9" s="2062"/>
      <c r="M9" s="2062"/>
      <c r="N9" s="2062"/>
      <c r="O9" s="2062"/>
    </row>
    <row r="10" spans="4:19" ht="15" thickBot="1" x14ac:dyDescent="0.35">
      <c r="E10" s="43"/>
      <c r="F10" s="43"/>
      <c r="G10" s="43"/>
      <c r="H10" s="43"/>
      <c r="I10" s="43"/>
      <c r="J10" s="2152" t="s">
        <v>105</v>
      </c>
      <c r="K10" s="2127"/>
      <c r="L10" s="2127"/>
      <c r="M10" s="2127"/>
      <c r="N10" s="2127"/>
      <c r="O10" s="2153"/>
    </row>
    <row r="11" spans="4:19" ht="15" thickBot="1" x14ac:dyDescent="0.35">
      <c r="E11" s="43"/>
      <c r="F11" s="43"/>
      <c r="G11" s="43"/>
      <c r="H11" s="43"/>
      <c r="I11" s="43"/>
      <c r="J11" s="1908" t="s">
        <v>0</v>
      </c>
      <c r="K11" s="1909"/>
      <c r="L11" s="1908" t="s">
        <v>0</v>
      </c>
      <c r="M11" s="1909"/>
      <c r="N11" s="1908" t="s">
        <v>0</v>
      </c>
      <c r="O11" s="1909"/>
      <c r="P11" s="1838"/>
      <c r="Q11" s="1838"/>
    </row>
    <row r="12" spans="4:19" ht="18.600000000000001" thickBot="1" x14ac:dyDescent="0.4">
      <c r="E12" s="43"/>
      <c r="F12" s="43"/>
      <c r="G12" s="43"/>
      <c r="H12" s="43"/>
      <c r="I12" s="43"/>
      <c r="J12" s="563" t="s">
        <v>3</v>
      </c>
      <c r="K12" s="616" t="s">
        <v>4</v>
      </c>
      <c r="L12" s="615" t="s">
        <v>1</v>
      </c>
      <c r="M12" s="565" t="s">
        <v>2</v>
      </c>
      <c r="N12" s="613" t="s">
        <v>22</v>
      </c>
      <c r="O12" s="614" t="s">
        <v>4</v>
      </c>
      <c r="P12" s="612"/>
      <c r="Q12" s="611"/>
    </row>
    <row r="13" spans="4:19" x14ac:dyDescent="0.3">
      <c r="E13" s="43"/>
      <c r="F13" s="43"/>
      <c r="G13" s="43"/>
      <c r="H13" s="43"/>
      <c r="I13" s="43"/>
      <c r="J13" s="1857" t="s">
        <v>389</v>
      </c>
      <c r="K13" s="1858"/>
      <c r="L13" s="1857" t="s">
        <v>390</v>
      </c>
      <c r="M13" s="1858"/>
      <c r="N13" s="1857"/>
      <c r="O13" s="1858"/>
      <c r="P13" s="1838"/>
      <c r="Q13" s="1838"/>
    </row>
    <row r="14" spans="4:19" ht="15" thickBot="1" x14ac:dyDescent="0.35">
      <c r="E14" s="43"/>
      <c r="F14" s="43"/>
      <c r="G14" s="43"/>
      <c r="H14" s="43"/>
      <c r="I14" s="43"/>
      <c r="J14" s="1951"/>
      <c r="K14" s="1953"/>
      <c r="L14" s="1951"/>
      <c r="M14" s="1953"/>
      <c r="N14" s="1951"/>
      <c r="O14" s="1953"/>
      <c r="P14" s="1838"/>
      <c r="Q14" s="1838"/>
      <c r="R14" s="1849" t="s">
        <v>32</v>
      </c>
      <c r="S14" s="1846"/>
    </row>
    <row r="15" spans="4:19" ht="15" thickBot="1" x14ac:dyDescent="0.35">
      <c r="D15" s="293" t="s">
        <v>5</v>
      </c>
      <c r="E15" s="570" t="s">
        <v>6</v>
      </c>
      <c r="F15" s="301" t="s">
        <v>7</v>
      </c>
      <c r="G15" s="301" t="s">
        <v>8</v>
      </c>
      <c r="H15" s="224"/>
      <c r="I15" s="225"/>
      <c r="J15" s="692" t="s">
        <v>9</v>
      </c>
      <c r="K15" s="694" t="s">
        <v>10</v>
      </c>
      <c r="L15" s="693" t="s">
        <v>9</v>
      </c>
      <c r="M15" s="693" t="s">
        <v>10</v>
      </c>
      <c r="N15" s="692" t="s">
        <v>9</v>
      </c>
      <c r="O15" s="694" t="s">
        <v>10</v>
      </c>
      <c r="P15" s="43"/>
      <c r="Q15" s="43"/>
      <c r="R15" s="1850"/>
      <c r="S15" s="1848"/>
    </row>
    <row r="16" spans="4:19" ht="51" customHeight="1" thickBot="1" x14ac:dyDescent="0.35">
      <c r="D16" s="569">
        <v>1</v>
      </c>
      <c r="E16" s="571" t="s">
        <v>339</v>
      </c>
      <c r="F16" s="251" t="s">
        <v>304</v>
      </c>
      <c r="G16" s="251">
        <v>2</v>
      </c>
      <c r="H16" s="35"/>
      <c r="I16" s="9"/>
      <c r="J16" s="561">
        <v>510000</v>
      </c>
      <c r="K16" s="221">
        <f>G16*J16</f>
        <v>1020000</v>
      </c>
      <c r="L16" s="561">
        <v>117000</v>
      </c>
      <c r="M16" s="250">
        <f>G16*L16</f>
        <v>234000</v>
      </c>
      <c r="N16" s="32"/>
      <c r="O16" s="31"/>
      <c r="P16" s="16"/>
      <c r="Q16" s="16"/>
      <c r="R16" s="35">
        <v>3558.69</v>
      </c>
      <c r="S16" s="47">
        <f>+R16*O16</f>
        <v>0</v>
      </c>
    </row>
    <row r="17" spans="4:17" ht="18.600000000000001" thickBot="1" x14ac:dyDescent="0.35">
      <c r="D17" s="3"/>
      <c r="E17" s="209"/>
      <c r="F17" s="216"/>
      <c r="G17" s="6"/>
      <c r="H17" s="4"/>
      <c r="I17" s="4"/>
      <c r="J17" s="567" t="s">
        <v>10</v>
      </c>
      <c r="K17" s="250">
        <f>SUM(K16:K16)</f>
        <v>1020000</v>
      </c>
      <c r="L17" s="567" t="s">
        <v>10</v>
      </c>
      <c r="M17" s="250">
        <f>SUM(M16:M16)</f>
        <v>234000</v>
      </c>
      <c r="N17" s="13"/>
      <c r="O17" s="566"/>
      <c r="P17" s="6"/>
      <c r="Q17" s="6"/>
    </row>
    <row r="18" spans="4:17" x14ac:dyDescent="0.3">
      <c r="D18" s="3"/>
      <c r="E18" s="211"/>
      <c r="F18" s="175"/>
      <c r="G18" s="4"/>
      <c r="H18" s="4"/>
      <c r="I18" s="4"/>
      <c r="J18" s="14" t="s">
        <v>310</v>
      </c>
      <c r="K18" s="568"/>
      <c r="L18" s="4"/>
      <c r="M18" s="4"/>
      <c r="N18" s="4"/>
      <c r="O18" s="4"/>
      <c r="P18" s="6"/>
      <c r="Q18" s="6"/>
    </row>
    <row r="19" spans="4:17" x14ac:dyDescent="0.3">
      <c r="D19" s="3"/>
      <c r="E19" s="211"/>
      <c r="G19" s="4"/>
      <c r="H19" s="4"/>
      <c r="I19" s="4"/>
      <c r="J19" s="7"/>
      <c r="K19" s="5"/>
      <c r="L19" s="4"/>
      <c r="M19" s="4"/>
      <c r="N19" s="4"/>
      <c r="O19" s="4"/>
      <c r="P19" s="4"/>
      <c r="Q19" s="4"/>
    </row>
    <row r="20" spans="4:17" ht="15.75" customHeight="1" x14ac:dyDescent="0.3">
      <c r="D20" s="3"/>
      <c r="E20" s="211"/>
      <c r="G20" s="4"/>
      <c r="H20" s="4"/>
      <c r="I20" s="4"/>
      <c r="J20" s="7"/>
      <c r="K20" s="5"/>
      <c r="L20" s="4"/>
      <c r="M20" s="4"/>
      <c r="N20" s="4"/>
      <c r="O20" s="4"/>
      <c r="P20" s="4"/>
      <c r="Q20" s="4"/>
    </row>
    <row r="21" spans="4:17" ht="15.75" customHeight="1" thickBot="1" x14ac:dyDescent="0.35">
      <c r="G21" s="4"/>
      <c r="H21" s="4"/>
      <c r="I21" s="4"/>
      <c r="J21" s="8"/>
      <c r="K21" s="9"/>
      <c r="L21" s="4"/>
      <c r="M21" s="4"/>
      <c r="N21" s="4"/>
      <c r="O21" s="4"/>
      <c r="P21" s="4"/>
      <c r="Q21" s="4"/>
    </row>
    <row r="22" spans="4:17" ht="15.75" customHeight="1" x14ac:dyDescent="0.3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4:17" ht="15.75" customHeight="1" x14ac:dyDescent="0.3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4:17" ht="15.75" customHeight="1" x14ac:dyDescent="0.3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4:17" ht="15.75" customHeight="1" x14ac:dyDescent="0.3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4:17" ht="15.75" customHeight="1" x14ac:dyDescent="0.3"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4:17" ht="15.75" customHeight="1" x14ac:dyDescent="0.3"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4:17" ht="15.75" customHeight="1" x14ac:dyDescent="0.3">
      <c r="G28" s="4"/>
      <c r="H28" s="4"/>
      <c r="I28" s="4"/>
      <c r="J28" s="6"/>
      <c r="K28" s="6"/>
      <c r="L28" s="6"/>
      <c r="M28" s="6"/>
      <c r="N28" s="6"/>
      <c r="O28" s="6"/>
      <c r="P28" s="4"/>
      <c r="Q28" s="4"/>
    </row>
    <row r="29" spans="4:17" ht="15.75" customHeight="1" x14ac:dyDescent="0.3">
      <c r="G29" s="4"/>
      <c r="H29" s="4"/>
      <c r="I29" s="4"/>
      <c r="J29" s="1906"/>
      <c r="K29" s="1906"/>
      <c r="L29" s="1906"/>
      <c r="M29" s="1906"/>
      <c r="N29" s="1906"/>
      <c r="O29" s="1906"/>
      <c r="P29" s="4"/>
      <c r="Q29" s="4"/>
    </row>
    <row r="30" spans="4:17" ht="15.75" customHeight="1" x14ac:dyDescent="0.3">
      <c r="G30" s="4"/>
      <c r="H30" s="4"/>
      <c r="I30" s="4"/>
      <c r="J30" s="1838"/>
      <c r="K30" s="1838"/>
      <c r="L30" s="1838"/>
      <c r="M30" s="1838"/>
      <c r="N30" s="1838"/>
      <c r="O30" s="1838"/>
      <c r="P30" s="4"/>
      <c r="Q30" s="4"/>
    </row>
    <row r="31" spans="4:17" ht="15.75" customHeight="1" x14ac:dyDescent="0.35">
      <c r="G31" s="4"/>
      <c r="H31" s="4"/>
      <c r="I31" s="4"/>
      <c r="J31" s="611"/>
      <c r="K31" s="612"/>
      <c r="L31" s="612"/>
      <c r="M31" s="611"/>
      <c r="N31" s="612"/>
      <c r="O31" s="611"/>
      <c r="P31" s="4"/>
      <c r="Q31" s="4"/>
    </row>
    <row r="32" spans="4:17" ht="18" x14ac:dyDescent="0.35">
      <c r="G32" s="4"/>
      <c r="H32" s="4"/>
      <c r="I32" s="4"/>
      <c r="J32" s="1835"/>
      <c r="K32" s="1835"/>
      <c r="L32" s="1859"/>
      <c r="M32" s="1859"/>
      <c r="N32" s="1859"/>
      <c r="O32" s="1859"/>
      <c r="P32" s="4"/>
      <c r="Q32" s="4"/>
    </row>
    <row r="33" spans="6:19" ht="29.25" customHeight="1" x14ac:dyDescent="0.3">
      <c r="G33" s="4"/>
      <c r="H33" s="4"/>
      <c r="I33" s="4"/>
      <c r="J33" s="1835"/>
      <c r="K33" s="1835"/>
      <c r="L33" s="1835"/>
      <c r="M33" s="1835"/>
      <c r="N33" s="1835"/>
      <c r="O33" s="1835"/>
      <c r="P33" s="43"/>
      <c r="Q33" s="43"/>
      <c r="R33" s="43"/>
      <c r="S33" s="43"/>
    </row>
    <row r="34" spans="6:19" x14ac:dyDescent="0.3">
      <c r="G34" s="4"/>
      <c r="H34" s="4"/>
      <c r="I34" s="4"/>
      <c r="J34" s="25"/>
      <c r="K34" s="25"/>
      <c r="L34" s="25"/>
      <c r="M34" s="25"/>
      <c r="N34" s="25"/>
      <c r="O34" s="25"/>
      <c r="P34" s="43"/>
      <c r="Q34" s="43"/>
      <c r="R34" s="43"/>
      <c r="S34" s="43"/>
    </row>
    <row r="35" spans="6:19" x14ac:dyDescent="0.3">
      <c r="F35" s="33"/>
      <c r="G35" s="34"/>
      <c r="H35" s="34"/>
      <c r="I35" s="34"/>
      <c r="J35" s="6"/>
      <c r="K35" s="25"/>
      <c r="L35" s="50"/>
      <c r="M35" s="25"/>
      <c r="N35" s="25"/>
      <c r="O35" s="25"/>
      <c r="P35" s="43"/>
      <c r="Q35" s="43"/>
      <c r="R35" s="43"/>
      <c r="S35" s="43"/>
    </row>
    <row r="36" spans="6:19" x14ac:dyDescent="0.3">
      <c r="F36" s="33"/>
      <c r="G36" s="34"/>
      <c r="H36" s="4"/>
      <c r="I36" s="4"/>
      <c r="J36" s="6"/>
      <c r="K36" s="25"/>
      <c r="L36" s="25"/>
      <c r="M36" s="25"/>
      <c r="N36" s="25"/>
      <c r="O36" s="25"/>
      <c r="P36" s="43"/>
      <c r="Q36" s="43"/>
      <c r="R36" s="43"/>
      <c r="S36" s="43"/>
    </row>
    <row r="37" spans="6:19" x14ac:dyDescent="0.3">
      <c r="F37" s="33"/>
      <c r="G37" s="34"/>
      <c r="H37" s="4"/>
      <c r="I37" s="4"/>
      <c r="J37" s="6"/>
      <c r="K37" s="25"/>
      <c r="L37" s="25"/>
      <c r="M37" s="25"/>
      <c r="N37" s="25"/>
      <c r="O37" s="25"/>
      <c r="P37" s="43"/>
      <c r="Q37" s="43"/>
      <c r="R37" s="43"/>
      <c r="S37" s="43"/>
    </row>
    <row r="38" spans="6:19" x14ac:dyDescent="0.3">
      <c r="F38" s="33"/>
      <c r="G38" s="34"/>
      <c r="H38" s="4"/>
      <c r="I38" s="4"/>
      <c r="J38" s="6"/>
      <c r="K38" s="25"/>
      <c r="L38" s="25"/>
      <c r="M38" s="25"/>
      <c r="N38" s="25"/>
      <c r="O38" s="25"/>
      <c r="P38" s="43"/>
      <c r="Q38" s="43"/>
      <c r="R38" s="43"/>
      <c r="S38" s="43"/>
    </row>
    <row r="39" spans="6:19" x14ac:dyDescent="0.3">
      <c r="F39" s="33"/>
      <c r="G39" s="34"/>
      <c r="H39" s="4"/>
      <c r="I39" s="4"/>
      <c r="J39" s="6"/>
      <c r="K39" s="25"/>
      <c r="L39" s="25"/>
      <c r="M39" s="25"/>
      <c r="N39" s="25"/>
      <c r="O39" s="25"/>
      <c r="P39" s="43"/>
      <c r="Q39" s="43"/>
      <c r="R39" s="43"/>
      <c r="S39" s="43"/>
    </row>
    <row r="40" spans="6:19" x14ac:dyDescent="0.3">
      <c r="G40" s="4"/>
      <c r="H40" s="4"/>
      <c r="I40" s="4"/>
      <c r="J40" s="6"/>
      <c r="K40" s="6"/>
      <c r="L40" s="6"/>
      <c r="M40" s="6"/>
      <c r="N40" s="6"/>
      <c r="O40" s="6"/>
      <c r="P40" s="43"/>
      <c r="Q40" s="43"/>
      <c r="R40" s="43"/>
      <c r="S40" s="43"/>
    </row>
    <row r="41" spans="6:19" ht="18" x14ac:dyDescent="0.35">
      <c r="G41" s="4"/>
      <c r="H41" s="4"/>
      <c r="I41" s="4"/>
      <c r="J41" s="6"/>
      <c r="K41" s="36"/>
      <c r="L41" s="51"/>
      <c r="M41" s="52"/>
      <c r="N41" s="51"/>
      <c r="O41" s="53"/>
      <c r="Q41" s="37"/>
      <c r="R41" s="43"/>
      <c r="S41" s="43"/>
    </row>
    <row r="42" spans="6:19" x14ac:dyDescent="0.3">
      <c r="J42" s="43"/>
      <c r="K42" s="43"/>
      <c r="L42" s="43"/>
      <c r="M42" s="43"/>
      <c r="N42" s="43"/>
      <c r="O42" s="43"/>
    </row>
    <row r="43" spans="6:19" x14ac:dyDescent="0.3">
      <c r="J43" s="43"/>
      <c r="K43" s="43"/>
      <c r="L43" s="43"/>
      <c r="M43" s="43"/>
      <c r="N43" s="43"/>
      <c r="O43" s="43"/>
    </row>
    <row r="44" spans="6:19" ht="15.6" x14ac:dyDescent="0.3">
      <c r="J44" s="43"/>
      <c r="K44" s="43"/>
      <c r="L44" s="1834"/>
      <c r="M44" s="1834"/>
      <c r="N44" s="43"/>
      <c r="O44" s="43"/>
    </row>
    <row r="45" spans="6:19" x14ac:dyDescent="0.3">
      <c r="J45" s="43"/>
      <c r="K45" s="43"/>
      <c r="L45" s="43"/>
      <c r="M45" s="43"/>
      <c r="N45" s="43"/>
      <c r="O45" s="43"/>
    </row>
    <row r="46" spans="6:19" ht="15.6" x14ac:dyDescent="0.3">
      <c r="J46" s="43"/>
      <c r="K46" s="43"/>
      <c r="L46" s="1834"/>
      <c r="M46" s="1834"/>
      <c r="N46" s="43"/>
      <c r="O46" s="43"/>
    </row>
    <row r="47" spans="6:19" x14ac:dyDescent="0.3">
      <c r="J47" s="43"/>
      <c r="K47" s="43"/>
      <c r="L47" s="43"/>
      <c r="M47" s="43"/>
      <c r="N47" s="43"/>
      <c r="O47" s="43"/>
    </row>
    <row r="48" spans="6:19" x14ac:dyDescent="0.3">
      <c r="J48" s="43"/>
      <c r="K48" s="43"/>
      <c r="L48" s="43"/>
      <c r="M48" s="43"/>
      <c r="N48" s="43"/>
      <c r="O48" s="43"/>
    </row>
    <row r="49" spans="10:15" x14ac:dyDescent="0.3">
      <c r="J49" s="43"/>
      <c r="K49" s="43"/>
      <c r="L49" s="43"/>
      <c r="M49" s="43"/>
      <c r="N49" s="43"/>
      <c r="O49" s="43"/>
    </row>
    <row r="50" spans="10:15" x14ac:dyDescent="0.3">
      <c r="J50" s="43"/>
      <c r="K50" s="43"/>
      <c r="L50" s="43"/>
      <c r="M50" s="43"/>
      <c r="N50" s="43"/>
      <c r="O50" s="43"/>
    </row>
    <row r="51" spans="10:15" x14ac:dyDescent="0.3">
      <c r="J51" s="43"/>
      <c r="K51" s="43"/>
      <c r="L51" s="43"/>
      <c r="M51" s="43"/>
      <c r="N51" s="43"/>
      <c r="O51" s="43"/>
    </row>
    <row r="52" spans="10:15" x14ac:dyDescent="0.3">
      <c r="J52" s="43"/>
      <c r="K52" s="43"/>
      <c r="L52" s="43"/>
      <c r="M52" s="43"/>
      <c r="N52" s="43"/>
      <c r="O52" s="43"/>
    </row>
  </sheetData>
  <mergeCells count="22">
    <mergeCell ref="R14:S15"/>
    <mergeCell ref="E9:O9"/>
    <mergeCell ref="J10:O10"/>
    <mergeCell ref="J11:K11"/>
    <mergeCell ref="L11:M11"/>
    <mergeCell ref="N11:O11"/>
    <mergeCell ref="P11:Q11"/>
    <mergeCell ref="J13:K14"/>
    <mergeCell ref="L13:M14"/>
    <mergeCell ref="N13:O14"/>
    <mergeCell ref="P13:Q13"/>
    <mergeCell ref="P14:Q14"/>
    <mergeCell ref="L44:M44"/>
    <mergeCell ref="L46:M46"/>
    <mergeCell ref="J29:O29"/>
    <mergeCell ref="J30:K30"/>
    <mergeCell ref="L30:M30"/>
    <mergeCell ref="N30:O30"/>
    <mergeCell ref="J32:K33"/>
    <mergeCell ref="L32:O32"/>
    <mergeCell ref="L33:M33"/>
    <mergeCell ref="N33:O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7" tint="-0.249977111117893"/>
  </sheetPr>
  <dimension ref="A2:L254"/>
  <sheetViews>
    <sheetView topLeftCell="A46" zoomScale="85" zoomScaleNormal="85" workbookViewId="0">
      <selection activeCell="E56" sqref="E56"/>
    </sheetView>
  </sheetViews>
  <sheetFormatPr baseColWidth="10" defaultColWidth="11.44140625" defaultRowHeight="15" x14ac:dyDescent="0.25"/>
  <cols>
    <col min="1" max="1" width="9.44140625" style="58" customWidth="1"/>
    <col min="2" max="2" width="118.33203125" style="58" customWidth="1"/>
    <col min="3" max="3" width="11.44140625" style="58"/>
    <col min="4" max="4" width="16.44140625" style="58" bestFit="1" customWidth="1"/>
    <col min="5" max="5" width="14.33203125" style="58" customWidth="1"/>
    <col min="6" max="6" width="32.44140625" style="58" customWidth="1"/>
    <col min="7" max="7" width="20.5546875" style="58" customWidth="1"/>
    <col min="8" max="8" width="17.5546875" style="58" customWidth="1"/>
    <col min="9" max="9" width="17" style="58" customWidth="1"/>
    <col min="10" max="10" width="25.88671875" style="58" customWidth="1"/>
    <col min="11" max="11" width="20" style="58" customWidth="1"/>
    <col min="12" max="12" width="21.33203125" style="58" customWidth="1"/>
    <col min="13" max="16384" width="11.44140625" style="58"/>
  </cols>
  <sheetData>
    <row r="2" spans="1:12" ht="15.75" x14ac:dyDescent="0.25">
      <c r="A2" s="57" t="s">
        <v>722</v>
      </c>
    </row>
    <row r="4" spans="1:12" x14ac:dyDescent="0.2">
      <c r="A4" s="58" t="s">
        <v>30</v>
      </c>
    </row>
    <row r="6" spans="1:12" ht="15.75" thickBot="1" x14ac:dyDescent="0.25">
      <c r="D6" s="60"/>
      <c r="E6" s="60"/>
      <c r="F6" s="60"/>
      <c r="G6" s="60"/>
      <c r="H6" s="60"/>
      <c r="I6" s="60"/>
      <c r="J6" s="60"/>
      <c r="K6" s="60"/>
      <c r="L6" s="60"/>
    </row>
    <row r="7" spans="1:12" ht="16.5" customHeight="1" thickBot="1" x14ac:dyDescent="0.3">
      <c r="A7" s="819"/>
      <c r="B7" s="820"/>
      <c r="C7" s="820"/>
      <c r="D7" s="821"/>
      <c r="E7" s="822" t="s">
        <v>245</v>
      </c>
      <c r="F7" s="822"/>
      <c r="G7" s="822"/>
      <c r="H7" s="822"/>
      <c r="I7" s="822"/>
      <c r="J7" s="823"/>
      <c r="K7" s="60"/>
      <c r="L7" s="60"/>
    </row>
    <row r="8" spans="1:12" x14ac:dyDescent="0.2">
      <c r="B8" s="58">
        <f>150000/9</f>
        <v>16666.666666666668</v>
      </c>
      <c r="D8" s="60"/>
      <c r="E8" s="1796" t="s">
        <v>0</v>
      </c>
      <c r="F8" s="1797"/>
      <c r="G8" s="1796" t="s">
        <v>0</v>
      </c>
      <c r="H8" s="1797"/>
      <c r="I8" s="1796" t="s">
        <v>0</v>
      </c>
      <c r="J8" s="1797"/>
      <c r="K8" s="60"/>
      <c r="L8" s="60"/>
    </row>
    <row r="9" spans="1:12" ht="15.75" thickBot="1" x14ac:dyDescent="0.25">
      <c r="D9" s="60"/>
      <c r="E9" s="810" t="s">
        <v>1</v>
      </c>
      <c r="F9" s="811" t="s">
        <v>2</v>
      </c>
      <c r="G9" s="810" t="s">
        <v>1</v>
      </c>
      <c r="H9" s="811" t="s">
        <v>2</v>
      </c>
      <c r="I9" s="810" t="s">
        <v>3</v>
      </c>
      <c r="J9" s="811" t="s">
        <v>4</v>
      </c>
      <c r="K9" s="60"/>
      <c r="L9" s="60"/>
    </row>
    <row r="10" spans="1:12" ht="43.5" customHeight="1" thickBot="1" x14ac:dyDescent="0.3">
      <c r="D10" s="60"/>
      <c r="E10" s="1798" t="s">
        <v>426</v>
      </c>
      <c r="F10" s="1799"/>
      <c r="G10" s="1793"/>
      <c r="H10" s="1794"/>
      <c r="I10" s="1793"/>
      <c r="J10" s="1795"/>
      <c r="K10" s="824"/>
      <c r="L10" s="60"/>
    </row>
    <row r="11" spans="1:12" ht="15.6" x14ac:dyDescent="0.3">
      <c r="A11" s="870"/>
      <c r="B11" s="104"/>
      <c r="C11" s="1472" t="s">
        <v>7</v>
      </c>
      <c r="D11" s="1466" t="s">
        <v>8</v>
      </c>
      <c r="E11" s="806" t="s">
        <v>9</v>
      </c>
      <c r="F11" s="808" t="s">
        <v>10</v>
      </c>
      <c r="G11" s="807"/>
      <c r="H11" s="808"/>
      <c r="L11" s="60"/>
    </row>
    <row r="12" spans="1:12" ht="72.75" customHeight="1" x14ac:dyDescent="0.3">
      <c r="A12" s="1473">
        <v>1</v>
      </c>
      <c r="B12" s="1376" t="s">
        <v>435</v>
      </c>
      <c r="C12" s="1474" t="s">
        <v>11</v>
      </c>
      <c r="D12" s="1476">
        <v>1450</v>
      </c>
      <c r="E12" s="813">
        <v>31500</v>
      </c>
      <c r="F12" s="818">
        <f>D12*E12</f>
        <v>45675000</v>
      </c>
      <c r="G12" s="817"/>
      <c r="H12" s="818"/>
      <c r="K12" s="812"/>
      <c r="L12" s="60"/>
    </row>
    <row r="13" spans="1:12" ht="72.75" customHeight="1" x14ac:dyDescent="0.3">
      <c r="A13" s="1473">
        <v>2</v>
      </c>
      <c r="B13" s="1376" t="s">
        <v>877</v>
      </c>
      <c r="C13" s="1474" t="s">
        <v>50</v>
      </c>
      <c r="D13" s="1476">
        <v>1450</v>
      </c>
      <c r="E13" s="813">
        <v>2500</v>
      </c>
      <c r="F13" s="818">
        <f t="shared" ref="F13:F15" si="0">D13*E13</f>
        <v>3625000</v>
      </c>
      <c r="G13" s="817"/>
      <c r="H13" s="818"/>
      <c r="K13" s="812"/>
      <c r="L13" s="60"/>
    </row>
    <row r="14" spans="1:12" ht="16.2" thickBot="1" x14ac:dyDescent="0.35">
      <c r="A14" s="1473">
        <v>3</v>
      </c>
      <c r="B14" s="62" t="s">
        <v>878</v>
      </c>
      <c r="C14" s="1474" t="s">
        <v>12</v>
      </c>
      <c r="D14" s="1477">
        <v>350</v>
      </c>
      <c r="E14" s="813">
        <v>7000</v>
      </c>
      <c r="F14" s="818">
        <f t="shared" si="0"/>
        <v>2450000</v>
      </c>
      <c r="G14" s="842"/>
      <c r="H14" s="825"/>
      <c r="L14" s="826"/>
    </row>
    <row r="15" spans="1:12" ht="16.2" thickBot="1" x14ac:dyDescent="0.35">
      <c r="A15" s="1473">
        <v>4</v>
      </c>
      <c r="B15" s="62" t="s">
        <v>879</v>
      </c>
      <c r="C15" s="1474" t="s">
        <v>50</v>
      </c>
      <c r="D15" s="1477">
        <v>1450</v>
      </c>
      <c r="E15" s="813">
        <v>11500</v>
      </c>
      <c r="F15" s="818">
        <f t="shared" si="0"/>
        <v>16675000</v>
      </c>
      <c r="G15" s="817"/>
      <c r="H15" s="825"/>
      <c r="L15" s="826"/>
    </row>
    <row r="16" spans="1:12" ht="16.2" thickBot="1" x14ac:dyDescent="0.35">
      <c r="A16" s="115"/>
      <c r="B16" s="1376"/>
      <c r="C16" s="1474"/>
      <c r="D16" s="1477"/>
      <c r="E16" s="813"/>
      <c r="F16" s="825"/>
      <c r="G16" s="813"/>
      <c r="H16" s="825"/>
      <c r="L16" s="826"/>
    </row>
    <row r="17" spans="1:12" ht="16.2" thickBot="1" x14ac:dyDescent="0.35">
      <c r="A17" s="115"/>
      <c r="B17" s="62"/>
      <c r="C17" s="62"/>
      <c r="D17" s="1475"/>
      <c r="E17" s="829"/>
      <c r="F17" s="828">
        <f>SUM(F12:F15)</f>
        <v>68425000</v>
      </c>
      <c r="G17" s="829"/>
      <c r="H17" s="828"/>
      <c r="K17" s="826"/>
      <c r="L17" s="60"/>
    </row>
    <row r="18" spans="1:12" ht="16.5" customHeight="1" x14ac:dyDescent="0.3">
      <c r="A18" s="115"/>
      <c r="B18" s="830" t="s">
        <v>427</v>
      </c>
      <c r="C18" s="830"/>
      <c r="D18" s="1475"/>
      <c r="E18" s="829"/>
      <c r="F18" s="831"/>
      <c r="G18" s="1789"/>
      <c r="H18" s="1790"/>
      <c r="K18" s="826"/>
      <c r="L18" s="60"/>
    </row>
    <row r="19" spans="1:12" ht="15.75" customHeight="1" x14ac:dyDescent="0.3">
      <c r="A19" s="115"/>
      <c r="B19" s="62"/>
      <c r="C19" s="62"/>
      <c r="D19" s="1475"/>
      <c r="E19" s="1791" t="s">
        <v>428</v>
      </c>
      <c r="F19" s="1792"/>
      <c r="G19" s="1789"/>
      <c r="H19" s="1790"/>
      <c r="K19" s="60"/>
      <c r="L19" s="60"/>
    </row>
    <row r="20" spans="1:12" ht="15.75" customHeight="1" x14ac:dyDescent="0.3">
      <c r="A20" s="115"/>
      <c r="B20" s="62"/>
      <c r="C20" s="62"/>
      <c r="D20" s="1475"/>
      <c r="E20" s="1791" t="s">
        <v>429</v>
      </c>
      <c r="F20" s="1792"/>
      <c r="G20" s="1789"/>
      <c r="H20" s="1790"/>
      <c r="K20" s="60"/>
      <c r="L20" s="60"/>
    </row>
    <row r="21" spans="1:12" ht="15.75" customHeight="1" x14ac:dyDescent="0.3">
      <c r="A21" s="115"/>
      <c r="B21" s="62"/>
      <c r="C21" s="62"/>
      <c r="D21" s="1475"/>
      <c r="E21" s="1791" t="s">
        <v>430</v>
      </c>
      <c r="F21" s="1792"/>
      <c r="G21" s="1789"/>
      <c r="H21" s="1790"/>
      <c r="K21" s="60"/>
      <c r="L21" s="60"/>
    </row>
    <row r="22" spans="1:12" ht="15.75" customHeight="1" thickBot="1" x14ac:dyDescent="0.35">
      <c r="A22" s="509"/>
      <c r="B22" s="117"/>
      <c r="C22" s="117"/>
      <c r="D22" s="815"/>
      <c r="E22" s="841"/>
      <c r="F22" s="832"/>
      <c r="G22" s="814"/>
      <c r="H22" s="815"/>
      <c r="K22" s="60"/>
      <c r="L22" s="60"/>
    </row>
    <row r="23" spans="1:12" ht="15.75" customHeight="1" x14ac:dyDescent="0.3">
      <c r="D23" s="60"/>
      <c r="E23" s="61"/>
      <c r="F23" s="61"/>
      <c r="G23" s="61"/>
      <c r="H23" s="61"/>
      <c r="I23" s="830"/>
      <c r="J23" s="830"/>
      <c r="K23" s="60"/>
      <c r="L23" s="60"/>
    </row>
    <row r="24" spans="1:12" ht="15.75" customHeight="1" x14ac:dyDescent="0.3">
      <c r="D24" s="60"/>
      <c r="E24" s="61"/>
      <c r="F24" s="61"/>
      <c r="G24" s="61"/>
      <c r="H24" s="61"/>
      <c r="I24" s="830"/>
      <c r="J24" s="830"/>
      <c r="K24" s="60"/>
      <c r="L24" s="60"/>
    </row>
    <row r="25" spans="1:12" ht="15.75" customHeight="1" x14ac:dyDescent="0.3">
      <c r="D25" s="60"/>
      <c r="E25" s="61"/>
      <c r="F25" s="61"/>
      <c r="G25" s="61"/>
      <c r="H25" s="61"/>
      <c r="I25" s="830"/>
      <c r="J25" s="830"/>
      <c r="K25" s="60"/>
      <c r="L25" s="60"/>
    </row>
    <row r="26" spans="1:12" ht="15.75" customHeight="1" x14ac:dyDescent="0.3">
      <c r="D26" s="60"/>
      <c r="E26" s="61"/>
      <c r="F26" s="61"/>
      <c r="G26" s="61"/>
      <c r="H26" s="61"/>
      <c r="I26" s="830"/>
      <c r="J26" s="830"/>
      <c r="K26" s="60"/>
      <c r="L26" s="60"/>
    </row>
    <row r="27" spans="1:12" ht="15.75" customHeight="1" x14ac:dyDescent="0.3">
      <c r="D27" s="60"/>
      <c r="E27" s="61"/>
      <c r="F27" s="61"/>
      <c r="G27" s="61"/>
      <c r="H27" s="61"/>
      <c r="I27" s="830"/>
      <c r="J27" s="830"/>
      <c r="K27" s="60"/>
      <c r="L27" s="60"/>
    </row>
    <row r="28" spans="1:12" ht="15.75" customHeight="1" x14ac:dyDescent="0.25">
      <c r="D28" s="60"/>
      <c r="E28" s="60"/>
      <c r="F28" s="60"/>
      <c r="G28" s="60"/>
      <c r="H28" s="60"/>
      <c r="I28" s="60"/>
      <c r="J28" s="60"/>
      <c r="K28" s="60"/>
      <c r="L28" s="60"/>
    </row>
    <row r="29" spans="1:12" ht="15.75" customHeight="1" thickBot="1" x14ac:dyDescent="0.3">
      <c r="D29" s="60"/>
      <c r="E29" s="60"/>
      <c r="F29" s="60"/>
      <c r="G29" s="60"/>
      <c r="H29" s="60"/>
      <c r="I29" s="60"/>
      <c r="J29" s="60"/>
      <c r="K29" s="60"/>
      <c r="L29" s="60"/>
    </row>
    <row r="30" spans="1:12" ht="29.25" customHeight="1" thickBot="1" x14ac:dyDescent="0.35">
      <c r="B30" s="812" t="s">
        <v>245</v>
      </c>
      <c r="D30" s="1793" t="s">
        <v>426</v>
      </c>
      <c r="E30" s="1794"/>
      <c r="F30" s="1794"/>
      <c r="G30" s="1794"/>
      <c r="H30" s="1794"/>
      <c r="I30" s="1795"/>
      <c r="J30" s="60"/>
      <c r="K30" s="60"/>
      <c r="L30" s="60"/>
    </row>
    <row r="31" spans="1:12" ht="15.75" customHeight="1" x14ac:dyDescent="0.3">
      <c r="D31" s="1802" t="s">
        <v>431</v>
      </c>
      <c r="E31" s="1803"/>
      <c r="F31" s="1804"/>
      <c r="G31" s="1805" t="s">
        <v>432</v>
      </c>
      <c r="H31" s="1806"/>
      <c r="I31" s="1807"/>
      <c r="K31" s="60"/>
      <c r="L31" s="60"/>
    </row>
    <row r="32" spans="1:12" ht="15.75" customHeight="1" x14ac:dyDescent="0.3">
      <c r="B32" s="57" t="s">
        <v>433</v>
      </c>
      <c r="D32" s="833" t="s">
        <v>8</v>
      </c>
      <c r="E32" s="834" t="s">
        <v>9</v>
      </c>
      <c r="F32" s="835" t="s">
        <v>10</v>
      </c>
      <c r="G32" s="833" t="s">
        <v>8</v>
      </c>
      <c r="H32" s="834" t="s">
        <v>9</v>
      </c>
      <c r="I32" s="835" t="s">
        <v>10</v>
      </c>
      <c r="K32" s="60"/>
      <c r="L32" s="60"/>
    </row>
    <row r="33" spans="1:12" ht="33.75" customHeight="1" thickBot="1" x14ac:dyDescent="0.3">
      <c r="B33" s="827" t="s">
        <v>434</v>
      </c>
      <c r="C33" s="59" t="s">
        <v>12</v>
      </c>
      <c r="D33" s="836">
        <v>2261.1</v>
      </c>
      <c r="E33" s="131">
        <v>60</v>
      </c>
      <c r="F33" s="837">
        <f>+D33*E33</f>
        <v>135666</v>
      </c>
      <c r="G33" s="836">
        <v>2826.08</v>
      </c>
      <c r="H33" s="131">
        <v>60</v>
      </c>
      <c r="I33" s="837">
        <f>+G33*H33</f>
        <v>169564.79999999999</v>
      </c>
      <c r="K33" s="60"/>
      <c r="L33" s="60"/>
    </row>
    <row r="34" spans="1:12" ht="30" customHeight="1" thickBot="1" x14ac:dyDescent="0.3">
      <c r="D34" s="60"/>
      <c r="E34" s="838"/>
      <c r="F34" s="839">
        <f>SUM(F33)</f>
        <v>135666</v>
      </c>
      <c r="G34" s="840"/>
      <c r="H34" s="840"/>
      <c r="I34" s="839">
        <f>SUM(I33)</f>
        <v>169564.79999999999</v>
      </c>
      <c r="J34" s="60"/>
      <c r="K34" s="60"/>
      <c r="L34" s="60"/>
    </row>
    <row r="35" spans="1:12" ht="15.75" customHeight="1" x14ac:dyDescent="0.25">
      <c r="D35" s="60"/>
      <c r="E35" s="60"/>
      <c r="F35" s="60"/>
      <c r="G35" s="60"/>
      <c r="H35" s="60"/>
      <c r="I35" s="60"/>
      <c r="J35" s="60"/>
      <c r="K35" s="60"/>
      <c r="L35" s="60"/>
    </row>
    <row r="38" spans="1:12" ht="15.6" thickBot="1" x14ac:dyDescent="0.3"/>
    <row r="39" spans="1:12" ht="31.5" customHeight="1" x14ac:dyDescent="0.3">
      <c r="B39" s="850"/>
      <c r="C39" s="104"/>
      <c r="D39" s="1799" t="s">
        <v>426</v>
      </c>
      <c r="E39" s="1799"/>
      <c r="F39" s="1801"/>
      <c r="G39" s="849"/>
      <c r="H39" s="849"/>
      <c r="I39" s="849"/>
    </row>
    <row r="40" spans="1:12" ht="31.5" customHeight="1" x14ac:dyDescent="0.3">
      <c r="B40" s="115"/>
      <c r="C40" s="62"/>
      <c r="D40" s="1800" t="s">
        <v>431</v>
      </c>
      <c r="E40" s="1800"/>
      <c r="F40" s="1792"/>
      <c r="G40" s="1800"/>
      <c r="H40" s="1800"/>
      <c r="I40" s="1800"/>
    </row>
    <row r="41" spans="1:12" ht="31.5" customHeight="1" x14ac:dyDescent="0.3">
      <c r="B41" s="851" t="s">
        <v>433</v>
      </c>
      <c r="C41" s="62"/>
      <c r="D41" s="834" t="s">
        <v>8</v>
      </c>
      <c r="E41" s="834"/>
      <c r="F41" s="835"/>
      <c r="G41" s="834"/>
      <c r="H41" s="834"/>
      <c r="I41" s="834"/>
    </row>
    <row r="42" spans="1:12" ht="48" customHeight="1" thickBot="1" x14ac:dyDescent="0.3">
      <c r="B42" s="852" t="s">
        <v>434</v>
      </c>
      <c r="C42" s="853" t="s">
        <v>12</v>
      </c>
      <c r="D42" s="843">
        <v>2261.1</v>
      </c>
      <c r="E42" s="131"/>
      <c r="F42" s="837"/>
      <c r="G42" s="253" t="s">
        <v>845</v>
      </c>
      <c r="H42" s="253"/>
      <c r="I42" s="253"/>
    </row>
    <row r="43" spans="1:12" ht="31.5" customHeight="1" x14ac:dyDescent="0.25">
      <c r="D43" s="61"/>
      <c r="E43" s="847"/>
      <c r="F43" s="848">
        <f>SUM(F42)</f>
        <v>0</v>
      </c>
      <c r="G43" s="848"/>
      <c r="H43" s="848"/>
      <c r="I43" s="848"/>
    </row>
    <row r="45" spans="1:12" ht="17.399999999999999" x14ac:dyDescent="0.3">
      <c r="B45" s="1378" t="s">
        <v>747</v>
      </c>
      <c r="C45" s="58" t="s">
        <v>19</v>
      </c>
      <c r="D45" s="58" t="s">
        <v>684</v>
      </c>
    </row>
    <row r="46" spans="1:12" x14ac:dyDescent="0.25">
      <c r="B46" s="172"/>
    </row>
    <row r="47" spans="1:12" x14ac:dyDescent="0.25">
      <c r="B47" s="1366" t="s">
        <v>729</v>
      </c>
    </row>
    <row r="48" spans="1:12" x14ac:dyDescent="0.25">
      <c r="A48" s="172">
        <v>1</v>
      </c>
      <c r="B48" s="58" t="s">
        <v>723</v>
      </c>
      <c r="C48" s="1369" t="s">
        <v>15</v>
      </c>
      <c r="D48" s="1375">
        <f>1381/9</f>
        <v>153.44444444444446</v>
      </c>
    </row>
    <row r="49" spans="1:4" x14ac:dyDescent="0.25">
      <c r="A49" s="172">
        <v>2</v>
      </c>
      <c r="B49" s="58" t="s">
        <v>726</v>
      </c>
      <c r="C49" s="1369" t="s">
        <v>724</v>
      </c>
      <c r="D49" s="1375">
        <f>(1381/60)</f>
        <v>23.016666666666666</v>
      </c>
    </row>
    <row r="50" spans="1:4" x14ac:dyDescent="0.25">
      <c r="A50" s="172">
        <v>3</v>
      </c>
      <c r="B50" s="58" t="s">
        <v>725</v>
      </c>
      <c r="C50" s="1369" t="s">
        <v>724</v>
      </c>
      <c r="D50" s="1233">
        <v>20</v>
      </c>
    </row>
    <row r="51" spans="1:4" x14ac:dyDescent="0.25">
      <c r="A51" s="172">
        <v>4</v>
      </c>
      <c r="B51" s="58" t="s">
        <v>727</v>
      </c>
      <c r="C51" s="1369" t="s">
        <v>724</v>
      </c>
      <c r="D51" s="1375">
        <f>1381/60</f>
        <v>23.016666666666666</v>
      </c>
    </row>
    <row r="52" spans="1:4" x14ac:dyDescent="0.25">
      <c r="A52" s="172">
        <v>5</v>
      </c>
      <c r="B52" s="58" t="s">
        <v>728</v>
      </c>
      <c r="C52" s="1369" t="s">
        <v>19</v>
      </c>
      <c r="D52" s="1233"/>
    </row>
    <row r="53" spans="1:4" x14ac:dyDescent="0.25">
      <c r="A53" s="172"/>
      <c r="C53" s="1369"/>
      <c r="D53" s="1369"/>
    </row>
    <row r="54" spans="1:4" x14ac:dyDescent="0.25">
      <c r="B54" s="1367" t="s">
        <v>730</v>
      </c>
      <c r="C54" s="1369"/>
      <c r="D54" s="1369"/>
    </row>
    <row r="55" spans="1:4" x14ac:dyDescent="0.25">
      <c r="A55" s="172">
        <v>1</v>
      </c>
      <c r="B55" s="58" t="s">
        <v>518</v>
      </c>
      <c r="C55" s="1369" t="s">
        <v>23</v>
      </c>
      <c r="D55" s="1375">
        <f>(200+239.48+283)*0.05</f>
        <v>36.124000000000002</v>
      </c>
    </row>
    <row r="56" spans="1:4" x14ac:dyDescent="0.25">
      <c r="A56" s="172">
        <v>2</v>
      </c>
      <c r="B56" s="58" t="s">
        <v>472</v>
      </c>
      <c r="C56" s="1369" t="s">
        <v>19</v>
      </c>
      <c r="D56" s="1369">
        <v>15</v>
      </c>
    </row>
    <row r="57" spans="1:4" x14ac:dyDescent="0.25">
      <c r="C57" s="1369"/>
      <c r="D57" s="1369"/>
    </row>
    <row r="58" spans="1:4" x14ac:dyDescent="0.25">
      <c r="B58" s="1367" t="s">
        <v>734</v>
      </c>
      <c r="C58" s="1369"/>
      <c r="D58" s="1369"/>
    </row>
    <row r="59" spans="1:4" x14ac:dyDescent="0.25">
      <c r="A59" s="172">
        <v>1</v>
      </c>
      <c r="B59" s="58" t="s">
        <v>735</v>
      </c>
      <c r="C59" s="1369" t="s">
        <v>19</v>
      </c>
      <c r="D59" s="1233">
        <v>14</v>
      </c>
    </row>
    <row r="60" spans="1:4" x14ac:dyDescent="0.25">
      <c r="A60" s="172">
        <v>2</v>
      </c>
      <c r="B60" s="58" t="s">
        <v>736</v>
      </c>
      <c r="C60" s="1369" t="s">
        <v>19</v>
      </c>
      <c r="D60" s="1233">
        <v>10</v>
      </c>
    </row>
    <row r="61" spans="1:4" x14ac:dyDescent="0.25">
      <c r="A61" s="172">
        <v>3</v>
      </c>
      <c r="B61" s="58" t="s">
        <v>737</v>
      </c>
      <c r="C61" s="1369" t="s">
        <v>20</v>
      </c>
      <c r="D61" s="1233">
        <v>15</v>
      </c>
    </row>
    <row r="62" spans="1:4" x14ac:dyDescent="0.25">
      <c r="A62" s="172">
        <v>4</v>
      </c>
      <c r="B62" s="58" t="s">
        <v>738</v>
      </c>
      <c r="C62" s="1369" t="s">
        <v>20</v>
      </c>
      <c r="D62" s="1233">
        <v>15</v>
      </c>
    </row>
    <row r="63" spans="1:4" x14ac:dyDescent="0.25">
      <c r="A63" s="172">
        <v>5</v>
      </c>
      <c r="B63" s="58" t="s">
        <v>739</v>
      </c>
      <c r="C63" s="1369" t="s">
        <v>20</v>
      </c>
      <c r="D63" s="1233">
        <v>10</v>
      </c>
    </row>
    <row r="64" spans="1:4" x14ac:dyDescent="0.25">
      <c r="A64" s="172">
        <v>6</v>
      </c>
      <c r="B64" s="58" t="s">
        <v>740</v>
      </c>
      <c r="C64" s="1369" t="s">
        <v>20</v>
      </c>
      <c r="D64" s="1233">
        <v>10</v>
      </c>
    </row>
    <row r="65" spans="1:6" x14ac:dyDescent="0.25">
      <c r="A65" s="172">
        <v>7</v>
      </c>
      <c r="B65" s="58" t="s">
        <v>741</v>
      </c>
      <c r="C65" s="1369" t="s">
        <v>298</v>
      </c>
      <c r="D65" s="1233">
        <v>30</v>
      </c>
    </row>
    <row r="66" spans="1:6" x14ac:dyDescent="0.25">
      <c r="A66" s="172">
        <v>8</v>
      </c>
      <c r="B66" s="58" t="s">
        <v>742</v>
      </c>
      <c r="C66" s="1369" t="s">
        <v>298</v>
      </c>
      <c r="D66" s="1233">
        <v>30</v>
      </c>
    </row>
    <row r="67" spans="1:6" x14ac:dyDescent="0.25">
      <c r="A67" s="172">
        <v>10</v>
      </c>
      <c r="B67" s="58" t="s">
        <v>751</v>
      </c>
      <c r="C67" s="1369" t="s">
        <v>750</v>
      </c>
      <c r="D67" s="1375">
        <f>(1385+470)/100</f>
        <v>18.55</v>
      </c>
      <c r="F67" s="172">
        <f>1385+470</f>
        <v>1855</v>
      </c>
    </row>
    <row r="68" spans="1:6" x14ac:dyDescent="0.25">
      <c r="A68" s="172"/>
      <c r="C68" s="1369"/>
      <c r="D68" s="1370"/>
    </row>
    <row r="69" spans="1:6" x14ac:dyDescent="0.25">
      <c r="A69" s="172"/>
      <c r="B69" s="1367" t="s">
        <v>748</v>
      </c>
      <c r="C69" s="1369"/>
      <c r="D69" s="1369"/>
    </row>
    <row r="70" spans="1:6" x14ac:dyDescent="0.25">
      <c r="A70" s="172">
        <v>1</v>
      </c>
      <c r="B70" s="58" t="s">
        <v>743</v>
      </c>
      <c r="C70" s="1369" t="s">
        <v>298</v>
      </c>
      <c r="D70" s="1233">
        <v>6</v>
      </c>
    </row>
    <row r="71" spans="1:6" x14ac:dyDescent="0.25">
      <c r="A71" s="172">
        <v>2</v>
      </c>
      <c r="B71" s="58" t="s">
        <v>744</v>
      </c>
      <c r="C71" s="1369" t="s">
        <v>298</v>
      </c>
      <c r="D71" s="1233">
        <v>6</v>
      </c>
    </row>
    <row r="72" spans="1:6" x14ac:dyDescent="0.25">
      <c r="A72" s="172">
        <v>3</v>
      </c>
      <c r="B72" s="58" t="s">
        <v>745</v>
      </c>
      <c r="C72" s="1369" t="s">
        <v>19</v>
      </c>
      <c r="D72" s="1233">
        <v>100</v>
      </c>
    </row>
    <row r="73" spans="1:6" x14ac:dyDescent="0.25">
      <c r="A73" s="172">
        <v>4</v>
      </c>
      <c r="B73" s="58" t="s">
        <v>746</v>
      </c>
      <c r="C73" s="1369" t="s">
        <v>19</v>
      </c>
      <c r="D73" s="1233">
        <v>100</v>
      </c>
    </row>
    <row r="74" spans="1:6" x14ac:dyDescent="0.25">
      <c r="A74" s="172">
        <v>5</v>
      </c>
      <c r="B74" s="58" t="s">
        <v>742</v>
      </c>
      <c r="C74" s="1369" t="s">
        <v>298</v>
      </c>
      <c r="D74" s="1233">
        <v>10</v>
      </c>
    </row>
    <row r="75" spans="1:6" x14ac:dyDescent="0.25">
      <c r="A75" s="172"/>
      <c r="C75" s="1369"/>
      <c r="D75" s="1369"/>
    </row>
    <row r="76" spans="1:6" x14ac:dyDescent="0.25">
      <c r="B76" s="1367" t="s">
        <v>749</v>
      </c>
      <c r="C76" s="1369"/>
      <c r="D76" s="1369"/>
    </row>
    <row r="77" spans="1:6" x14ac:dyDescent="0.25">
      <c r="A77" s="172">
        <v>1</v>
      </c>
      <c r="B77" s="58" t="s">
        <v>775</v>
      </c>
      <c r="C77" s="1369"/>
      <c r="D77" s="1369"/>
    </row>
    <row r="78" spans="1:6" x14ac:dyDescent="0.25">
      <c r="A78" s="172">
        <v>2</v>
      </c>
      <c r="B78" s="58" t="s">
        <v>776</v>
      </c>
      <c r="C78" s="1369" t="s">
        <v>19</v>
      </c>
      <c r="D78" s="1233">
        <f>45/3</f>
        <v>15</v>
      </c>
    </row>
    <row r="79" spans="1:6" x14ac:dyDescent="0.25">
      <c r="A79" s="172">
        <v>3</v>
      </c>
      <c r="B79" s="58" t="s">
        <v>777</v>
      </c>
      <c r="C79" s="1369" t="s">
        <v>19</v>
      </c>
      <c r="D79" s="1233">
        <f>90/3</f>
        <v>30</v>
      </c>
    </row>
    <row r="80" spans="1:6" x14ac:dyDescent="0.25">
      <c r="A80" s="172">
        <v>4</v>
      </c>
      <c r="B80" s="58" t="s">
        <v>778</v>
      </c>
      <c r="C80" s="1369" t="s">
        <v>19</v>
      </c>
      <c r="D80" s="1233">
        <f>60/3</f>
        <v>20</v>
      </c>
    </row>
    <row r="81" spans="1:4" x14ac:dyDescent="0.25">
      <c r="A81" s="172">
        <v>5</v>
      </c>
      <c r="B81" s="58" t="s">
        <v>752</v>
      </c>
      <c r="C81" s="1369"/>
      <c r="D81" s="1233"/>
    </row>
    <row r="82" spans="1:4" x14ac:dyDescent="0.25">
      <c r="A82" s="172">
        <v>6</v>
      </c>
      <c r="B82" s="58" t="s">
        <v>779</v>
      </c>
      <c r="C82" s="1369" t="s">
        <v>19</v>
      </c>
      <c r="D82" s="1375">
        <f>85/6</f>
        <v>14.166666666666666</v>
      </c>
    </row>
    <row r="83" spans="1:4" x14ac:dyDescent="0.25">
      <c r="A83" s="172">
        <v>7</v>
      </c>
      <c r="B83" s="58" t="s">
        <v>780</v>
      </c>
      <c r="C83" s="1369" t="s">
        <v>19</v>
      </c>
      <c r="D83" s="1375">
        <f>110/3</f>
        <v>36.666666666666664</v>
      </c>
    </row>
    <row r="84" spans="1:4" x14ac:dyDescent="0.25">
      <c r="A84" s="172">
        <v>8</v>
      </c>
      <c r="B84" s="58" t="s">
        <v>781</v>
      </c>
      <c r="C84" s="1369" t="s">
        <v>19</v>
      </c>
      <c r="D84" s="1375">
        <f>400/3</f>
        <v>133.33333333333334</v>
      </c>
    </row>
    <row r="85" spans="1:4" x14ac:dyDescent="0.25">
      <c r="A85" s="172">
        <v>9</v>
      </c>
      <c r="B85" s="58" t="s">
        <v>782</v>
      </c>
      <c r="C85" s="1369" t="s">
        <v>19</v>
      </c>
      <c r="D85" s="1375">
        <f>25/3</f>
        <v>8.3333333333333339</v>
      </c>
    </row>
    <row r="86" spans="1:4" x14ac:dyDescent="0.25">
      <c r="A86" s="172">
        <v>10</v>
      </c>
      <c r="B86" s="58" t="s">
        <v>783</v>
      </c>
      <c r="C86" s="1369" t="s">
        <v>19</v>
      </c>
      <c r="D86" s="1233">
        <v>1</v>
      </c>
    </row>
    <row r="87" spans="1:4" x14ac:dyDescent="0.25">
      <c r="A87" s="172">
        <v>11</v>
      </c>
      <c r="B87" s="58" t="s">
        <v>784</v>
      </c>
      <c r="C87" s="1369" t="s">
        <v>19</v>
      </c>
      <c r="D87" s="1233">
        <v>14</v>
      </c>
    </row>
    <row r="88" spans="1:4" x14ac:dyDescent="0.25">
      <c r="A88" s="172">
        <v>12</v>
      </c>
      <c r="B88" s="58" t="s">
        <v>753</v>
      </c>
      <c r="C88" s="1369" t="s">
        <v>41</v>
      </c>
      <c r="D88" s="1233">
        <f>100/20</f>
        <v>5</v>
      </c>
    </row>
    <row r="89" spans="1:4" x14ac:dyDescent="0.25">
      <c r="A89" s="172">
        <v>13</v>
      </c>
      <c r="B89" s="58" t="s">
        <v>754</v>
      </c>
      <c r="C89" s="1369" t="s">
        <v>41</v>
      </c>
      <c r="D89" s="1233">
        <v>5</v>
      </c>
    </row>
    <row r="90" spans="1:4" x14ac:dyDescent="0.25">
      <c r="A90" s="172">
        <v>14</v>
      </c>
      <c r="B90" s="58" t="s">
        <v>785</v>
      </c>
      <c r="C90" s="1369" t="s">
        <v>19</v>
      </c>
      <c r="D90" s="1233">
        <v>2</v>
      </c>
    </row>
    <row r="91" spans="1:4" x14ac:dyDescent="0.25">
      <c r="C91" s="1369"/>
      <c r="D91" s="1369"/>
    </row>
    <row r="92" spans="1:4" x14ac:dyDescent="0.25">
      <c r="B92" s="1367" t="s">
        <v>755</v>
      </c>
      <c r="C92" s="1369"/>
      <c r="D92" s="1369"/>
    </row>
    <row r="93" spans="1:4" x14ac:dyDescent="0.25">
      <c r="A93" s="172">
        <v>1</v>
      </c>
      <c r="B93" s="1368" t="s">
        <v>757</v>
      </c>
      <c r="C93" s="1369" t="s">
        <v>19</v>
      </c>
      <c r="D93" s="1233">
        <v>6</v>
      </c>
    </row>
    <row r="94" spans="1:4" x14ac:dyDescent="0.25">
      <c r="A94" s="172">
        <v>2</v>
      </c>
      <c r="B94" s="1368" t="s">
        <v>758</v>
      </c>
      <c r="C94" s="1369" t="s">
        <v>20</v>
      </c>
      <c r="D94" s="1233">
        <v>9</v>
      </c>
    </row>
    <row r="95" spans="1:4" x14ac:dyDescent="0.25">
      <c r="A95" s="172">
        <v>3</v>
      </c>
      <c r="B95" s="1368" t="s">
        <v>759</v>
      </c>
      <c r="C95" s="1369" t="s">
        <v>20</v>
      </c>
      <c r="D95" s="1233">
        <v>25</v>
      </c>
    </row>
    <row r="96" spans="1:4" x14ac:dyDescent="0.25">
      <c r="A96" s="172">
        <v>4</v>
      </c>
      <c r="B96" s="1368" t="s">
        <v>760</v>
      </c>
      <c r="C96" s="1369" t="s">
        <v>20</v>
      </c>
      <c r="D96" s="1233">
        <v>48</v>
      </c>
    </row>
    <row r="97" spans="1:4" x14ac:dyDescent="0.25">
      <c r="A97" s="172">
        <v>5</v>
      </c>
      <c r="B97" s="1368" t="s">
        <v>761</v>
      </c>
      <c r="C97" s="1369" t="s">
        <v>20</v>
      </c>
      <c r="D97" s="1233">
        <v>21</v>
      </c>
    </row>
    <row r="98" spans="1:4" x14ac:dyDescent="0.25">
      <c r="A98" s="172">
        <v>6</v>
      </c>
      <c r="B98" s="1368" t="s">
        <v>762</v>
      </c>
      <c r="C98" s="1369" t="s">
        <v>20</v>
      </c>
      <c r="D98" s="1233">
        <v>2</v>
      </c>
    </row>
    <row r="99" spans="1:4" x14ac:dyDescent="0.25">
      <c r="A99" s="172">
        <v>7</v>
      </c>
      <c r="B99" s="1368" t="s">
        <v>763</v>
      </c>
      <c r="C99" s="1369" t="s">
        <v>20</v>
      </c>
      <c r="D99" s="1233">
        <v>10</v>
      </c>
    </row>
    <row r="100" spans="1:4" x14ac:dyDescent="0.25">
      <c r="A100" s="172">
        <v>8</v>
      </c>
      <c r="B100" s="1368" t="s">
        <v>764</v>
      </c>
      <c r="C100" s="1369" t="s">
        <v>20</v>
      </c>
      <c r="D100" s="1233">
        <v>5</v>
      </c>
    </row>
    <row r="101" spans="1:4" x14ac:dyDescent="0.25">
      <c r="A101" s="172">
        <v>9</v>
      </c>
      <c r="B101" s="1368" t="s">
        <v>765</v>
      </c>
      <c r="C101" s="1369" t="s">
        <v>20</v>
      </c>
      <c r="D101" s="1233">
        <v>32</v>
      </c>
    </row>
    <row r="102" spans="1:4" x14ac:dyDescent="0.25">
      <c r="A102" s="172">
        <v>10</v>
      </c>
      <c r="B102" s="1368" t="s">
        <v>766</v>
      </c>
      <c r="C102" s="1369" t="s">
        <v>20</v>
      </c>
      <c r="D102" s="1233">
        <v>10</v>
      </c>
    </row>
    <row r="103" spans="1:4" x14ac:dyDescent="0.25">
      <c r="A103" s="172">
        <v>11</v>
      </c>
      <c r="B103" s="1368" t="s">
        <v>767</v>
      </c>
      <c r="C103" s="1369" t="s">
        <v>20</v>
      </c>
      <c r="D103" s="1233">
        <v>3</v>
      </c>
    </row>
    <row r="104" spans="1:4" x14ac:dyDescent="0.25">
      <c r="A104" s="172">
        <v>12</v>
      </c>
      <c r="B104" s="1368" t="s">
        <v>768</v>
      </c>
      <c r="C104" s="1369" t="s">
        <v>20</v>
      </c>
      <c r="D104" s="1233">
        <v>4</v>
      </c>
    </row>
    <row r="105" spans="1:4" x14ac:dyDescent="0.25">
      <c r="A105" s="172">
        <v>13</v>
      </c>
      <c r="B105" s="1368" t="s">
        <v>764</v>
      </c>
      <c r="C105" s="1369" t="s">
        <v>20</v>
      </c>
      <c r="D105" s="1233">
        <v>9</v>
      </c>
    </row>
    <row r="106" spans="1:4" x14ac:dyDescent="0.25">
      <c r="A106" s="172">
        <v>14</v>
      </c>
      <c r="B106" s="1368" t="s">
        <v>768</v>
      </c>
      <c r="C106" s="1369" t="s">
        <v>20</v>
      </c>
      <c r="D106" s="1233">
        <v>6</v>
      </c>
    </row>
    <row r="107" spans="1:4" x14ac:dyDescent="0.25">
      <c r="A107" s="172">
        <v>15</v>
      </c>
      <c r="B107" s="1368" t="s">
        <v>769</v>
      </c>
      <c r="C107" s="1369" t="s">
        <v>20</v>
      </c>
      <c r="D107" s="1233">
        <v>3</v>
      </c>
    </row>
    <row r="108" spans="1:4" x14ac:dyDescent="0.25">
      <c r="A108" s="172">
        <v>16</v>
      </c>
      <c r="B108" s="1368" t="s">
        <v>770</v>
      </c>
      <c r="C108" s="1369" t="s">
        <v>20</v>
      </c>
      <c r="D108" s="1233">
        <v>1</v>
      </c>
    </row>
    <row r="109" spans="1:4" x14ac:dyDescent="0.25">
      <c r="A109" s="172">
        <v>17</v>
      </c>
      <c r="B109" s="1368" t="s">
        <v>772</v>
      </c>
      <c r="C109" s="1369"/>
      <c r="D109" s="1233"/>
    </row>
    <row r="110" spans="1:4" x14ac:dyDescent="0.25">
      <c r="A110" s="172">
        <v>18</v>
      </c>
      <c r="B110" s="1368" t="s">
        <v>773</v>
      </c>
      <c r="C110" s="1369" t="s">
        <v>20</v>
      </c>
      <c r="D110" s="1233">
        <v>84</v>
      </c>
    </row>
    <row r="111" spans="1:4" x14ac:dyDescent="0.25">
      <c r="A111" s="172">
        <v>19</v>
      </c>
      <c r="B111" s="1368" t="s">
        <v>771</v>
      </c>
      <c r="C111" s="1369" t="s">
        <v>20</v>
      </c>
      <c r="D111" s="1233">
        <v>10</v>
      </c>
    </row>
    <row r="112" spans="1:4" x14ac:dyDescent="0.25">
      <c r="A112" s="172">
        <v>20</v>
      </c>
      <c r="B112" s="1368" t="s">
        <v>830</v>
      </c>
      <c r="C112" s="1369" t="s">
        <v>15</v>
      </c>
      <c r="D112" s="1233">
        <v>10</v>
      </c>
    </row>
    <row r="113" spans="1:4" x14ac:dyDescent="0.25">
      <c r="A113" s="172">
        <v>21</v>
      </c>
      <c r="B113" s="1368" t="s">
        <v>831</v>
      </c>
      <c r="C113" s="1369" t="s">
        <v>15</v>
      </c>
      <c r="D113" s="1233">
        <v>10</v>
      </c>
    </row>
    <row r="114" spans="1:4" x14ac:dyDescent="0.25">
      <c r="A114" s="172">
        <v>22</v>
      </c>
      <c r="B114" s="1368" t="s">
        <v>832</v>
      </c>
      <c r="C114" s="1369" t="s">
        <v>15</v>
      </c>
      <c r="D114" s="1233">
        <v>10</v>
      </c>
    </row>
    <row r="115" spans="1:4" x14ac:dyDescent="0.25">
      <c r="A115" s="172">
        <v>23</v>
      </c>
      <c r="B115" s="1368" t="s">
        <v>833</v>
      </c>
      <c r="C115" s="1369" t="s">
        <v>15</v>
      </c>
      <c r="D115" s="1233">
        <v>4</v>
      </c>
    </row>
    <row r="116" spans="1:4" x14ac:dyDescent="0.25">
      <c r="A116" s="172">
        <v>24</v>
      </c>
      <c r="B116" s="1368" t="s">
        <v>834</v>
      </c>
      <c r="C116" s="1369" t="s">
        <v>15</v>
      </c>
      <c r="D116" s="1233">
        <v>2</v>
      </c>
    </row>
    <row r="117" spans="1:4" x14ac:dyDescent="0.25">
      <c r="A117" s="172">
        <v>25</v>
      </c>
      <c r="B117" s="1368" t="s">
        <v>835</v>
      </c>
      <c r="C117" s="1369" t="s">
        <v>15</v>
      </c>
      <c r="D117" s="1233">
        <v>1</v>
      </c>
    </row>
    <row r="118" spans="1:4" x14ac:dyDescent="0.25">
      <c r="A118" s="172">
        <v>26</v>
      </c>
      <c r="B118" s="1368" t="s">
        <v>836</v>
      </c>
      <c r="C118" s="1369" t="s">
        <v>15</v>
      </c>
      <c r="D118" s="1233">
        <v>4</v>
      </c>
    </row>
    <row r="119" spans="1:4" x14ac:dyDescent="0.25">
      <c r="A119" s="172">
        <v>27</v>
      </c>
      <c r="B119" s="1368" t="s">
        <v>837</v>
      </c>
      <c r="C119" s="1369" t="s">
        <v>15</v>
      </c>
      <c r="D119" s="1233">
        <v>4</v>
      </c>
    </row>
    <row r="120" spans="1:4" x14ac:dyDescent="0.25">
      <c r="A120" s="172">
        <v>28</v>
      </c>
      <c r="B120" s="1368" t="s">
        <v>838</v>
      </c>
      <c r="C120" s="1369" t="s">
        <v>15</v>
      </c>
      <c r="D120" s="1233">
        <v>1</v>
      </c>
    </row>
    <row r="121" spans="1:4" x14ac:dyDescent="0.25">
      <c r="A121" s="172">
        <v>29</v>
      </c>
      <c r="B121" s="1368" t="s">
        <v>839</v>
      </c>
      <c r="C121" s="1369" t="s">
        <v>15</v>
      </c>
      <c r="D121" s="1233">
        <v>1</v>
      </c>
    </row>
    <row r="122" spans="1:4" x14ac:dyDescent="0.25">
      <c r="A122" s="172">
        <v>30</v>
      </c>
      <c r="B122" s="1368" t="s">
        <v>840</v>
      </c>
      <c r="C122" s="1369" t="s">
        <v>15</v>
      </c>
      <c r="D122" s="1233">
        <v>1</v>
      </c>
    </row>
    <row r="123" spans="1:4" x14ac:dyDescent="0.25">
      <c r="A123" s="172">
        <v>31</v>
      </c>
      <c r="B123" s="1368" t="s">
        <v>836</v>
      </c>
      <c r="C123" s="1369" t="s">
        <v>15</v>
      </c>
      <c r="D123" s="1233">
        <v>1</v>
      </c>
    </row>
    <row r="124" spans="1:4" x14ac:dyDescent="0.25">
      <c r="A124" s="172">
        <v>32</v>
      </c>
      <c r="B124" s="1368" t="s">
        <v>841</v>
      </c>
      <c r="C124" s="1369" t="s">
        <v>15</v>
      </c>
      <c r="D124" s="1233">
        <v>1</v>
      </c>
    </row>
    <row r="125" spans="1:4" x14ac:dyDescent="0.25">
      <c r="A125" s="172">
        <v>33</v>
      </c>
      <c r="B125" s="1368" t="s">
        <v>842</v>
      </c>
      <c r="C125" s="1369" t="s">
        <v>15</v>
      </c>
      <c r="D125" s="1233">
        <v>1</v>
      </c>
    </row>
    <row r="126" spans="1:4" x14ac:dyDescent="0.25">
      <c r="A126" s="172">
        <v>34</v>
      </c>
      <c r="B126" s="1368" t="s">
        <v>843</v>
      </c>
      <c r="C126" s="1369" t="s">
        <v>15</v>
      </c>
      <c r="D126" s="1233">
        <v>1</v>
      </c>
    </row>
    <row r="127" spans="1:4" x14ac:dyDescent="0.25">
      <c r="A127" s="172">
        <v>35</v>
      </c>
      <c r="B127" s="1368" t="s">
        <v>799</v>
      </c>
      <c r="C127" s="1369" t="s">
        <v>12</v>
      </c>
      <c r="D127" s="1233">
        <v>75</v>
      </c>
    </row>
    <row r="128" spans="1:4" x14ac:dyDescent="0.25">
      <c r="A128" s="172">
        <v>36</v>
      </c>
      <c r="B128" s="1368" t="s">
        <v>800</v>
      </c>
      <c r="C128" s="1369" t="s">
        <v>12</v>
      </c>
      <c r="D128" s="1233">
        <v>2500</v>
      </c>
    </row>
    <row r="129" spans="1:4" x14ac:dyDescent="0.25">
      <c r="A129" s="172">
        <v>37</v>
      </c>
      <c r="B129" s="1368" t="s">
        <v>801</v>
      </c>
      <c r="C129" s="1369" t="s">
        <v>12</v>
      </c>
      <c r="D129" s="1233">
        <v>78</v>
      </c>
    </row>
    <row r="130" spans="1:4" x14ac:dyDescent="0.25">
      <c r="A130" s="172">
        <v>38</v>
      </c>
      <c r="B130" s="58" t="s">
        <v>822</v>
      </c>
      <c r="C130" s="1369" t="s">
        <v>19</v>
      </c>
      <c r="D130" s="1233">
        <v>15</v>
      </c>
    </row>
    <row r="131" spans="1:4" x14ac:dyDescent="0.25">
      <c r="A131" s="172"/>
      <c r="C131" s="1369"/>
      <c r="D131" s="1233"/>
    </row>
    <row r="132" spans="1:4" x14ac:dyDescent="0.25">
      <c r="B132" s="1367" t="s">
        <v>756</v>
      </c>
      <c r="C132" s="1369"/>
      <c r="D132" s="1369"/>
    </row>
    <row r="133" spans="1:4" ht="15.6" x14ac:dyDescent="0.3">
      <c r="C133" s="1371"/>
      <c r="D133" s="1372"/>
    </row>
    <row r="134" spans="1:4" x14ac:dyDescent="0.25">
      <c r="A134" s="58">
        <v>1</v>
      </c>
      <c r="B134" s="62" t="s">
        <v>613</v>
      </c>
      <c r="C134" s="1373" t="s">
        <v>11</v>
      </c>
      <c r="D134" s="1374">
        <v>215.54</v>
      </c>
    </row>
    <row r="135" spans="1:4" x14ac:dyDescent="0.25">
      <c r="A135" s="58">
        <v>2</v>
      </c>
      <c r="B135" s="62" t="s">
        <v>614</v>
      </c>
      <c r="C135" s="1373" t="s">
        <v>20</v>
      </c>
      <c r="D135" s="1374">
        <v>10</v>
      </c>
    </row>
    <row r="136" spans="1:4" x14ac:dyDescent="0.25">
      <c r="A136" s="58">
        <v>3</v>
      </c>
      <c r="B136" s="62" t="s">
        <v>615</v>
      </c>
      <c r="C136" s="1373" t="s">
        <v>20</v>
      </c>
      <c r="D136" s="1374">
        <v>15</v>
      </c>
    </row>
    <row r="137" spans="1:4" x14ac:dyDescent="0.25">
      <c r="A137" s="58">
        <v>4</v>
      </c>
      <c r="B137" s="62" t="s">
        <v>617</v>
      </c>
      <c r="C137" s="1373" t="s">
        <v>20</v>
      </c>
      <c r="D137" s="1374">
        <v>82</v>
      </c>
    </row>
    <row r="138" spans="1:4" x14ac:dyDescent="0.25">
      <c r="A138" s="58">
        <v>5</v>
      </c>
      <c r="B138" s="62" t="s">
        <v>618</v>
      </c>
      <c r="C138" s="1373" t="s">
        <v>20</v>
      </c>
      <c r="D138" s="1374">
        <v>217</v>
      </c>
    </row>
    <row r="139" spans="1:4" x14ac:dyDescent="0.25">
      <c r="A139" s="58">
        <v>6</v>
      </c>
      <c r="B139" s="62" t="s">
        <v>619</v>
      </c>
      <c r="C139" s="1373" t="s">
        <v>20</v>
      </c>
      <c r="D139" s="1374">
        <v>28</v>
      </c>
    </row>
    <row r="140" spans="1:4" x14ac:dyDescent="0.25">
      <c r="A140" s="58">
        <v>7</v>
      </c>
      <c r="B140" s="62" t="s">
        <v>620</v>
      </c>
      <c r="C140" s="1373" t="s">
        <v>20</v>
      </c>
      <c r="D140" s="1374">
        <v>301</v>
      </c>
    </row>
    <row r="141" spans="1:4" x14ac:dyDescent="0.25">
      <c r="A141" s="58">
        <v>8</v>
      </c>
      <c r="B141" s="62" t="s">
        <v>621</v>
      </c>
      <c r="C141" s="1373" t="s">
        <v>20</v>
      </c>
      <c r="D141" s="1374">
        <v>301</v>
      </c>
    </row>
    <row r="142" spans="1:4" x14ac:dyDescent="0.25">
      <c r="A142" s="58">
        <v>9</v>
      </c>
      <c r="B142" s="62" t="s">
        <v>622</v>
      </c>
      <c r="C142" s="1373" t="s">
        <v>20</v>
      </c>
      <c r="D142" s="1374">
        <v>3</v>
      </c>
    </row>
    <row r="143" spans="1:4" x14ac:dyDescent="0.25">
      <c r="C143" s="1369"/>
      <c r="D143" s="1369"/>
    </row>
    <row r="144" spans="1:4" x14ac:dyDescent="0.25">
      <c r="B144" s="1367" t="s">
        <v>774</v>
      </c>
      <c r="C144" s="1369"/>
      <c r="D144" s="1369"/>
    </row>
    <row r="145" spans="1:4" x14ac:dyDescent="0.25">
      <c r="B145" s="1367"/>
      <c r="C145" s="1369"/>
      <c r="D145" s="1369"/>
    </row>
    <row r="146" spans="1:4" x14ac:dyDescent="0.25">
      <c r="A146" s="58">
        <v>1</v>
      </c>
      <c r="B146" s="1376" t="s">
        <v>635</v>
      </c>
      <c r="C146" s="172" t="s">
        <v>19</v>
      </c>
      <c r="D146" s="172">
        <v>1</v>
      </c>
    </row>
    <row r="147" spans="1:4" x14ac:dyDescent="0.25">
      <c r="A147" s="58">
        <v>2</v>
      </c>
      <c r="B147" s="1376" t="s">
        <v>786</v>
      </c>
      <c r="C147" s="172" t="s">
        <v>20</v>
      </c>
      <c r="D147" s="172">
        <v>2</v>
      </c>
    </row>
    <row r="148" spans="1:4" x14ac:dyDescent="0.25">
      <c r="A148" s="58">
        <v>3</v>
      </c>
      <c r="B148" s="1376" t="s">
        <v>636</v>
      </c>
      <c r="C148" s="172" t="s">
        <v>19</v>
      </c>
      <c r="D148" s="172">
        <v>1</v>
      </c>
    </row>
    <row r="149" spans="1:4" x14ac:dyDescent="0.25">
      <c r="A149" s="58">
        <v>4</v>
      </c>
      <c r="B149" s="1376" t="s">
        <v>639</v>
      </c>
      <c r="C149" s="172" t="s">
        <v>20</v>
      </c>
      <c r="D149" s="172">
        <v>1</v>
      </c>
    </row>
    <row r="150" spans="1:4" x14ac:dyDescent="0.25">
      <c r="B150" s="1376"/>
      <c r="C150" s="172"/>
      <c r="D150" s="172"/>
    </row>
    <row r="151" spans="1:4" x14ac:dyDescent="0.25">
      <c r="B151" s="1367" t="s">
        <v>787</v>
      </c>
      <c r="C151" s="172"/>
      <c r="D151" s="172"/>
    </row>
    <row r="152" spans="1:4" x14ac:dyDescent="0.25">
      <c r="B152" s="1367"/>
      <c r="C152" s="172"/>
      <c r="D152" s="172"/>
    </row>
    <row r="153" spans="1:4" ht="30" x14ac:dyDescent="0.25">
      <c r="A153" s="172">
        <v>1</v>
      </c>
      <c r="B153" s="1376" t="s">
        <v>788</v>
      </c>
      <c r="C153" s="172" t="s">
        <v>11</v>
      </c>
      <c r="D153" s="172">
        <f>260*1.2</f>
        <v>312</v>
      </c>
    </row>
    <row r="154" spans="1:4" x14ac:dyDescent="0.25">
      <c r="A154" s="172">
        <v>2</v>
      </c>
      <c r="B154" s="1376" t="s">
        <v>322</v>
      </c>
      <c r="C154" s="172" t="s">
        <v>11</v>
      </c>
      <c r="D154" s="172">
        <f>108*1.2</f>
        <v>129.6</v>
      </c>
    </row>
    <row r="155" spans="1:4" x14ac:dyDescent="0.25">
      <c r="A155" s="172">
        <v>3</v>
      </c>
      <c r="B155" s="58" t="s">
        <v>789</v>
      </c>
      <c r="C155" s="172" t="s">
        <v>11</v>
      </c>
      <c r="D155" s="172">
        <f>230*1.2</f>
        <v>276</v>
      </c>
    </row>
    <row r="156" spans="1:4" x14ac:dyDescent="0.25">
      <c r="A156" s="172">
        <v>4</v>
      </c>
      <c r="B156" s="58" t="s">
        <v>790</v>
      </c>
      <c r="C156" s="172" t="s">
        <v>55</v>
      </c>
      <c r="D156" s="172">
        <f>(D153+D155+D154)*1.2</f>
        <v>861.12</v>
      </c>
    </row>
    <row r="157" spans="1:4" x14ac:dyDescent="0.25">
      <c r="A157" s="172">
        <v>5</v>
      </c>
      <c r="B157" s="58" t="s">
        <v>791</v>
      </c>
      <c r="C157" s="172" t="s">
        <v>528</v>
      </c>
      <c r="D157" s="1390">
        <f>(D153+D154+D155)/15</f>
        <v>47.84</v>
      </c>
    </row>
    <row r="158" spans="1:4" x14ac:dyDescent="0.25">
      <c r="C158" s="172"/>
      <c r="D158" s="172"/>
    </row>
    <row r="159" spans="1:4" x14ac:dyDescent="0.25">
      <c r="B159" s="1367" t="s">
        <v>792</v>
      </c>
      <c r="C159" s="172"/>
      <c r="D159" s="172"/>
    </row>
    <row r="160" spans="1:4" x14ac:dyDescent="0.25">
      <c r="C160" s="172"/>
      <c r="D160" s="172"/>
    </row>
    <row r="161" spans="1:4" x14ac:dyDescent="0.25">
      <c r="A161" s="58">
        <v>1</v>
      </c>
      <c r="B161" s="58" t="s">
        <v>796</v>
      </c>
      <c r="C161" s="172" t="s">
        <v>19</v>
      </c>
      <c r="D161" s="172">
        <v>16</v>
      </c>
    </row>
    <row r="162" spans="1:4" x14ac:dyDescent="0.25">
      <c r="A162" s="58">
        <v>2</v>
      </c>
      <c r="B162" s="58" t="s">
        <v>797</v>
      </c>
      <c r="C162" s="172" t="s">
        <v>19</v>
      </c>
      <c r="D162" s="172">
        <v>3</v>
      </c>
    </row>
    <row r="163" spans="1:4" x14ac:dyDescent="0.25">
      <c r="A163" s="58">
        <v>3</v>
      </c>
      <c r="B163" s="58" t="s">
        <v>798</v>
      </c>
      <c r="C163" s="172" t="s">
        <v>19</v>
      </c>
      <c r="D163" s="172">
        <v>14</v>
      </c>
    </row>
    <row r="164" spans="1:4" x14ac:dyDescent="0.25">
      <c r="A164" s="58">
        <v>4</v>
      </c>
      <c r="B164" s="58" t="s">
        <v>793</v>
      </c>
      <c r="C164" s="172" t="s">
        <v>19</v>
      </c>
      <c r="D164" s="172">
        <f>D161+D162+D163</f>
        <v>33</v>
      </c>
    </row>
    <row r="165" spans="1:4" x14ac:dyDescent="0.25">
      <c r="A165" s="58">
        <v>5</v>
      </c>
      <c r="B165" s="58" t="s">
        <v>794</v>
      </c>
      <c r="C165" s="172" t="s">
        <v>20</v>
      </c>
      <c r="D165" s="172">
        <v>14</v>
      </c>
    </row>
    <row r="166" spans="1:4" ht="30" x14ac:dyDescent="0.25">
      <c r="A166" s="58">
        <v>6</v>
      </c>
      <c r="B166" s="827" t="s">
        <v>795</v>
      </c>
      <c r="C166" s="172" t="s">
        <v>20</v>
      </c>
      <c r="D166" s="172">
        <v>19</v>
      </c>
    </row>
    <row r="167" spans="1:4" x14ac:dyDescent="0.25">
      <c r="B167" s="827"/>
      <c r="C167" s="172"/>
      <c r="D167" s="172"/>
    </row>
    <row r="168" spans="1:4" x14ac:dyDescent="0.25">
      <c r="B168" s="1367" t="s">
        <v>823</v>
      </c>
      <c r="C168" s="172"/>
      <c r="D168" s="172"/>
    </row>
    <row r="169" spans="1:4" x14ac:dyDescent="0.25">
      <c r="B169" s="827"/>
      <c r="C169" s="172"/>
      <c r="D169" s="172"/>
    </row>
    <row r="170" spans="1:4" x14ac:dyDescent="0.25">
      <c r="A170" s="58">
        <v>1</v>
      </c>
      <c r="B170" s="827" t="s">
        <v>824</v>
      </c>
      <c r="C170" s="172" t="s">
        <v>20</v>
      </c>
      <c r="D170" s="172">
        <v>25</v>
      </c>
    </row>
    <row r="171" spans="1:4" x14ac:dyDescent="0.25">
      <c r="A171" s="58">
        <v>2</v>
      </c>
      <c r="B171" s="827" t="s">
        <v>825</v>
      </c>
      <c r="C171" s="172" t="s">
        <v>20</v>
      </c>
      <c r="D171" s="172">
        <v>12</v>
      </c>
    </row>
    <row r="172" spans="1:4" x14ac:dyDescent="0.25">
      <c r="A172" s="58">
        <v>3</v>
      </c>
      <c r="B172" s="827" t="s">
        <v>826</v>
      </c>
      <c r="C172" s="172" t="s">
        <v>20</v>
      </c>
      <c r="D172" s="172">
        <v>10</v>
      </c>
    </row>
    <row r="173" spans="1:4" x14ac:dyDescent="0.25">
      <c r="A173" s="58">
        <v>4</v>
      </c>
      <c r="B173" s="827" t="s">
        <v>827</v>
      </c>
      <c r="C173" s="172" t="s">
        <v>20</v>
      </c>
      <c r="D173" s="172">
        <v>4</v>
      </c>
    </row>
    <row r="174" spans="1:4" x14ac:dyDescent="0.25">
      <c r="A174" s="58">
        <v>5</v>
      </c>
      <c r="B174" s="827" t="s">
        <v>828</v>
      </c>
      <c r="C174" s="172" t="s">
        <v>20</v>
      </c>
      <c r="D174" s="172">
        <v>120</v>
      </c>
    </row>
    <row r="175" spans="1:4" x14ac:dyDescent="0.25">
      <c r="A175" s="58">
        <v>6</v>
      </c>
      <c r="B175" s="58" t="s">
        <v>469</v>
      </c>
      <c r="C175" s="172" t="s">
        <v>19</v>
      </c>
      <c r="D175" s="172">
        <v>10</v>
      </c>
    </row>
    <row r="176" spans="1:4" x14ac:dyDescent="0.25">
      <c r="A176" s="58">
        <v>7</v>
      </c>
      <c r="B176" s="58" t="s">
        <v>472</v>
      </c>
      <c r="C176" s="172" t="s">
        <v>19</v>
      </c>
      <c r="D176" s="172">
        <v>10</v>
      </c>
    </row>
    <row r="177" spans="1:4" x14ac:dyDescent="0.25">
      <c r="A177" s="58">
        <v>8</v>
      </c>
      <c r="B177" s="58" t="s">
        <v>844</v>
      </c>
      <c r="C177" s="172" t="s">
        <v>20</v>
      </c>
      <c r="D177" s="172">
        <v>12</v>
      </c>
    </row>
    <row r="178" spans="1:4" x14ac:dyDescent="0.25">
      <c r="C178" s="172"/>
      <c r="D178" s="172"/>
    </row>
    <row r="179" spans="1:4" x14ac:dyDescent="0.25">
      <c r="B179" s="1367" t="s">
        <v>734</v>
      </c>
      <c r="C179" s="172"/>
      <c r="D179" s="172"/>
    </row>
    <row r="180" spans="1:4" x14ac:dyDescent="0.25">
      <c r="C180" s="172"/>
      <c r="D180" s="172"/>
    </row>
    <row r="181" spans="1:4" x14ac:dyDescent="0.25">
      <c r="A181" s="58">
        <v>1</v>
      </c>
      <c r="B181" s="58" t="s">
        <v>518</v>
      </c>
      <c r="C181" s="172" t="s">
        <v>23</v>
      </c>
      <c r="D181" s="172">
        <f>1240*0.12*0.44</f>
        <v>65.471999999999994</v>
      </c>
    </row>
    <row r="182" spans="1:4" x14ac:dyDescent="0.25">
      <c r="A182" s="58">
        <v>2</v>
      </c>
      <c r="B182" s="58" t="s">
        <v>861</v>
      </c>
      <c r="C182" s="172" t="s">
        <v>23</v>
      </c>
      <c r="D182" s="172">
        <f>1240*0.12*0.9</f>
        <v>133.91999999999999</v>
      </c>
    </row>
    <row r="183" spans="1:4" x14ac:dyDescent="0.25">
      <c r="A183" s="58">
        <v>3</v>
      </c>
      <c r="B183" s="58" t="s">
        <v>751</v>
      </c>
      <c r="C183" s="172" t="s">
        <v>15</v>
      </c>
      <c r="D183" s="1389">
        <f>1240/90</f>
        <v>13.777777777777779</v>
      </c>
    </row>
    <row r="184" spans="1:4" x14ac:dyDescent="0.25">
      <c r="A184" s="58">
        <v>4</v>
      </c>
      <c r="B184" s="58" t="s">
        <v>862</v>
      </c>
      <c r="C184" s="172" t="s">
        <v>298</v>
      </c>
      <c r="D184" s="172">
        <f>150*1*1.12</f>
        <v>168.00000000000003</v>
      </c>
    </row>
    <row r="186" spans="1:4" x14ac:dyDescent="0.25">
      <c r="B186" s="1391" t="s">
        <v>432</v>
      </c>
    </row>
    <row r="188" spans="1:4" ht="15.6" x14ac:dyDescent="0.3">
      <c r="B188" s="1393" t="s">
        <v>863</v>
      </c>
      <c r="C188" s="172"/>
      <c r="D188" s="172"/>
    </row>
    <row r="189" spans="1:4" x14ac:dyDescent="0.25">
      <c r="C189" s="172"/>
      <c r="D189" s="172"/>
    </row>
    <row r="190" spans="1:4" x14ac:dyDescent="0.25">
      <c r="A190" s="58">
        <v>1</v>
      </c>
      <c r="B190" s="58" t="s">
        <v>518</v>
      </c>
      <c r="C190" s="172" t="s">
        <v>23</v>
      </c>
      <c r="D190" s="172">
        <f>5050*0.12*0.44</f>
        <v>266.64</v>
      </c>
    </row>
    <row r="191" spans="1:4" x14ac:dyDescent="0.25">
      <c r="A191" s="58">
        <v>2</v>
      </c>
      <c r="B191" s="58" t="s">
        <v>861</v>
      </c>
      <c r="C191" s="172" t="s">
        <v>23</v>
      </c>
      <c r="D191" s="172">
        <f>5050*0.12*0.9</f>
        <v>545.4</v>
      </c>
    </row>
    <row r="192" spans="1:4" x14ac:dyDescent="0.25">
      <c r="A192" s="58">
        <v>3</v>
      </c>
      <c r="B192" s="58" t="s">
        <v>751</v>
      </c>
      <c r="C192" s="172" t="s">
        <v>15</v>
      </c>
      <c r="D192" s="1389">
        <f>5050/90</f>
        <v>56.111111111111114</v>
      </c>
    </row>
    <row r="193" spans="1:4" x14ac:dyDescent="0.25">
      <c r="A193" s="58">
        <v>4</v>
      </c>
      <c r="B193" s="58" t="s">
        <v>862</v>
      </c>
      <c r="C193" s="172" t="s">
        <v>298</v>
      </c>
      <c r="D193" s="172">
        <f>606*1</f>
        <v>606</v>
      </c>
    </row>
    <row r="195" spans="1:4" ht="15.6" x14ac:dyDescent="0.3">
      <c r="B195" s="1393" t="s">
        <v>864</v>
      </c>
    </row>
    <row r="196" spans="1:4" x14ac:dyDescent="0.25">
      <c r="C196" s="172"/>
      <c r="D196" s="172"/>
    </row>
    <row r="197" spans="1:4" x14ac:dyDescent="0.25">
      <c r="A197" s="58">
        <v>1</v>
      </c>
      <c r="B197" s="58" t="s">
        <v>91</v>
      </c>
      <c r="C197" s="172" t="s">
        <v>11</v>
      </c>
      <c r="D197" s="172">
        <v>4959</v>
      </c>
    </row>
    <row r="198" spans="1:4" x14ac:dyDescent="0.25">
      <c r="A198" s="58">
        <v>2</v>
      </c>
      <c r="B198" s="58" t="s">
        <v>865</v>
      </c>
      <c r="C198" s="172" t="s">
        <v>11</v>
      </c>
      <c r="D198" s="172">
        <v>361</v>
      </c>
    </row>
    <row r="199" spans="1:4" x14ac:dyDescent="0.25">
      <c r="A199" s="58">
        <v>3</v>
      </c>
      <c r="B199" s="58" t="s">
        <v>790</v>
      </c>
      <c r="C199" s="172" t="s">
        <v>55</v>
      </c>
      <c r="D199" s="172">
        <f>4959*1*1.1</f>
        <v>5454.9000000000005</v>
      </c>
    </row>
    <row r="200" spans="1:4" x14ac:dyDescent="0.25">
      <c r="A200" s="58">
        <v>4</v>
      </c>
      <c r="B200" s="58" t="s">
        <v>791</v>
      </c>
      <c r="C200" s="172" t="s">
        <v>528</v>
      </c>
      <c r="D200" s="1390">
        <f>(D196+D197+D198)/15</f>
        <v>354.66666666666669</v>
      </c>
    </row>
    <row r="202" spans="1:4" ht="15.6" x14ac:dyDescent="0.3">
      <c r="B202" s="1392" t="s">
        <v>495</v>
      </c>
    </row>
    <row r="204" spans="1:4" ht="15.6" x14ac:dyDescent="0.3">
      <c r="B204" s="1393" t="s">
        <v>863</v>
      </c>
      <c r="C204" s="172"/>
      <c r="D204" s="172"/>
    </row>
    <row r="205" spans="1:4" x14ac:dyDescent="0.25">
      <c r="C205" s="172"/>
      <c r="D205" s="172"/>
    </row>
    <row r="206" spans="1:4" x14ac:dyDescent="0.25">
      <c r="A206" s="58">
        <v>1</v>
      </c>
      <c r="B206" s="58" t="s">
        <v>518</v>
      </c>
      <c r="C206" s="172" t="s">
        <v>23</v>
      </c>
      <c r="D206" s="172">
        <f>3570*0.12*0.44</f>
        <v>188.49599999999998</v>
      </c>
    </row>
    <row r="207" spans="1:4" x14ac:dyDescent="0.25">
      <c r="A207" s="58">
        <v>2</v>
      </c>
      <c r="B207" s="58" t="s">
        <v>861</v>
      </c>
      <c r="C207" s="172" t="s">
        <v>23</v>
      </c>
      <c r="D207" s="172">
        <f>3570*0.12*0.9</f>
        <v>385.56</v>
      </c>
    </row>
    <row r="208" spans="1:4" x14ac:dyDescent="0.25">
      <c r="A208" s="58">
        <v>3</v>
      </c>
      <c r="B208" s="58" t="s">
        <v>751</v>
      </c>
      <c r="C208" s="172" t="s">
        <v>15</v>
      </c>
      <c r="D208" s="1389">
        <f>3570/90</f>
        <v>39.666666666666664</v>
      </c>
    </row>
    <row r="209" spans="1:4" x14ac:dyDescent="0.25">
      <c r="A209" s="58">
        <v>4</v>
      </c>
      <c r="B209" s="58" t="s">
        <v>862</v>
      </c>
      <c r="C209" s="172" t="s">
        <v>298</v>
      </c>
      <c r="D209" s="172">
        <f>429*1</f>
        <v>429</v>
      </c>
    </row>
    <row r="211" spans="1:4" ht="15.6" x14ac:dyDescent="0.3">
      <c r="B211" s="1393" t="s">
        <v>864</v>
      </c>
    </row>
    <row r="212" spans="1:4" x14ac:dyDescent="0.25">
      <c r="C212" s="172"/>
      <c r="D212" s="172"/>
    </row>
    <row r="213" spans="1:4" x14ac:dyDescent="0.25">
      <c r="A213" s="58">
        <v>1</v>
      </c>
      <c r="B213" s="58" t="s">
        <v>91</v>
      </c>
      <c r="C213" s="172" t="s">
        <v>11</v>
      </c>
      <c r="D213" s="172">
        <f>2328*1.2</f>
        <v>2793.6</v>
      </c>
    </row>
    <row r="214" spans="1:4" x14ac:dyDescent="0.25">
      <c r="A214" s="58">
        <v>2</v>
      </c>
      <c r="B214" s="58" t="s">
        <v>865</v>
      </c>
      <c r="C214" s="172" t="s">
        <v>11</v>
      </c>
      <c r="D214" s="172">
        <v>541</v>
      </c>
    </row>
    <row r="215" spans="1:4" x14ac:dyDescent="0.25">
      <c r="A215" s="58">
        <v>3</v>
      </c>
      <c r="B215" s="58" t="s">
        <v>790</v>
      </c>
      <c r="C215" s="172" t="s">
        <v>55</v>
      </c>
      <c r="D215" s="172">
        <f>2328*1*1.1</f>
        <v>2560.8000000000002</v>
      </c>
    </row>
    <row r="216" spans="1:4" x14ac:dyDescent="0.25">
      <c r="A216" s="58">
        <v>4</v>
      </c>
      <c r="B216" s="58" t="s">
        <v>791</v>
      </c>
      <c r="C216" s="172" t="s">
        <v>528</v>
      </c>
      <c r="D216" s="1390">
        <f>(D212+D213+D214)/15</f>
        <v>222.30666666666667</v>
      </c>
    </row>
    <row r="219" spans="1:4" ht="21" x14ac:dyDescent="0.4">
      <c r="B219" s="1377" t="s">
        <v>802</v>
      </c>
    </row>
    <row r="222" spans="1:4" x14ac:dyDescent="0.25">
      <c r="A222" s="58">
        <v>1</v>
      </c>
      <c r="B222" s="58" t="s">
        <v>808</v>
      </c>
      <c r="C222" s="58" t="s">
        <v>803</v>
      </c>
      <c r="D222" s="58">
        <v>500</v>
      </c>
    </row>
    <row r="223" spans="1:4" x14ac:dyDescent="0.25">
      <c r="A223" s="58">
        <v>2</v>
      </c>
      <c r="B223" s="58" t="s">
        <v>809</v>
      </c>
      <c r="C223" s="58" t="s">
        <v>804</v>
      </c>
      <c r="D223" s="58">
        <v>30</v>
      </c>
    </row>
    <row r="224" spans="1:4" x14ac:dyDescent="0.25">
      <c r="A224" s="58">
        <v>3</v>
      </c>
      <c r="B224" s="58" t="s">
        <v>810</v>
      </c>
      <c r="C224" s="58" t="s">
        <v>805</v>
      </c>
      <c r="D224" s="58">
        <v>2</v>
      </c>
    </row>
    <row r="225" spans="1:4" x14ac:dyDescent="0.25">
      <c r="A225" s="58">
        <v>4</v>
      </c>
      <c r="B225" s="58" t="s">
        <v>811</v>
      </c>
      <c r="C225" s="58" t="s">
        <v>805</v>
      </c>
      <c r="D225" s="58">
        <v>45</v>
      </c>
    </row>
    <row r="226" spans="1:4" x14ac:dyDescent="0.25">
      <c r="A226" s="58">
        <v>5</v>
      </c>
      <c r="B226" s="58" t="s">
        <v>812</v>
      </c>
      <c r="C226" s="58" t="s">
        <v>806</v>
      </c>
      <c r="D226" s="58">
        <v>25</v>
      </c>
    </row>
    <row r="227" spans="1:4" x14ac:dyDescent="0.25">
      <c r="A227" s="58">
        <v>6</v>
      </c>
      <c r="B227" s="58" t="s">
        <v>813</v>
      </c>
      <c r="C227" s="58" t="s">
        <v>805</v>
      </c>
      <c r="D227" s="58">
        <v>20</v>
      </c>
    </row>
    <row r="228" spans="1:4" x14ac:dyDescent="0.25">
      <c r="A228" s="58">
        <v>7</v>
      </c>
      <c r="B228" s="58" t="s">
        <v>814</v>
      </c>
      <c r="C228" s="58" t="s">
        <v>104</v>
      </c>
      <c r="D228" s="58">
        <v>10</v>
      </c>
    </row>
    <row r="229" spans="1:4" x14ac:dyDescent="0.25">
      <c r="A229" s="58">
        <v>8</v>
      </c>
      <c r="B229" s="58" t="s">
        <v>815</v>
      </c>
      <c r="C229" s="58" t="s">
        <v>807</v>
      </c>
      <c r="D229" s="58">
        <v>1</v>
      </c>
    </row>
    <row r="230" spans="1:4" x14ac:dyDescent="0.25">
      <c r="A230" s="58">
        <v>9</v>
      </c>
      <c r="B230" s="58" t="s">
        <v>829</v>
      </c>
      <c r="C230" s="58" t="s">
        <v>104</v>
      </c>
      <c r="D230" s="58">
        <v>100</v>
      </c>
    </row>
    <row r="231" spans="1:4" x14ac:dyDescent="0.25">
      <c r="A231" s="58">
        <v>10</v>
      </c>
      <c r="B231" s="58" t="s">
        <v>816</v>
      </c>
      <c r="C231" s="58" t="s">
        <v>104</v>
      </c>
      <c r="D231" s="58">
        <v>4</v>
      </c>
    </row>
    <row r="232" spans="1:4" x14ac:dyDescent="0.25">
      <c r="A232" s="58">
        <v>11</v>
      </c>
      <c r="B232" s="58" t="s">
        <v>817</v>
      </c>
      <c r="C232" s="58" t="s">
        <v>104</v>
      </c>
      <c r="D232" s="58">
        <v>20</v>
      </c>
    </row>
    <row r="233" spans="1:4" x14ac:dyDescent="0.25">
      <c r="A233" s="58">
        <v>12</v>
      </c>
      <c r="B233" s="58" t="s">
        <v>818</v>
      </c>
      <c r="C233" s="58" t="s">
        <v>104</v>
      </c>
      <c r="D233" s="58">
        <v>15</v>
      </c>
    </row>
    <row r="234" spans="1:4" x14ac:dyDescent="0.25">
      <c r="A234" s="58">
        <v>13</v>
      </c>
      <c r="B234" s="58" t="s">
        <v>819</v>
      </c>
      <c r="C234" s="58" t="s">
        <v>104</v>
      </c>
      <c r="D234" s="58">
        <v>3</v>
      </c>
    </row>
    <row r="235" spans="1:4" x14ac:dyDescent="0.25">
      <c r="A235" s="58">
        <v>14</v>
      </c>
      <c r="B235" s="58" t="s">
        <v>820</v>
      </c>
      <c r="C235" s="58" t="s">
        <v>104</v>
      </c>
      <c r="D235" s="58">
        <v>6</v>
      </c>
    </row>
    <row r="236" spans="1:4" x14ac:dyDescent="0.25">
      <c r="A236" s="58">
        <v>15</v>
      </c>
      <c r="B236" s="58" t="s">
        <v>821</v>
      </c>
      <c r="C236" s="58" t="s">
        <v>104</v>
      </c>
      <c r="D236" s="58">
        <v>6</v>
      </c>
    </row>
    <row r="237" spans="1:4" x14ac:dyDescent="0.25">
      <c r="A237" s="58">
        <v>16</v>
      </c>
      <c r="B237" s="58" t="s">
        <v>822</v>
      </c>
      <c r="C237" s="58" t="s">
        <v>804</v>
      </c>
      <c r="D237" s="58">
        <v>10</v>
      </c>
    </row>
    <row r="239" spans="1:4" ht="18" thickBot="1" x14ac:dyDescent="0.35">
      <c r="B239" s="1387" t="s">
        <v>856</v>
      </c>
    </row>
    <row r="240" spans="1:4" ht="21" x14ac:dyDescent="0.25">
      <c r="A240" s="1379">
        <v>1</v>
      </c>
      <c r="B240" s="1380" t="s">
        <v>846</v>
      </c>
      <c r="C240" s="1380" t="s">
        <v>20</v>
      </c>
      <c r="D240" s="1381">
        <v>40</v>
      </c>
    </row>
    <row r="241" spans="1:4" ht="21" x14ac:dyDescent="0.25">
      <c r="A241" s="1382">
        <v>2</v>
      </c>
      <c r="B241" s="1383" t="s">
        <v>847</v>
      </c>
      <c r="C241" s="1383" t="s">
        <v>20</v>
      </c>
      <c r="D241" s="1384">
        <v>110</v>
      </c>
    </row>
    <row r="242" spans="1:4" ht="21" x14ac:dyDescent="0.25">
      <c r="A242" s="1382">
        <v>3</v>
      </c>
      <c r="B242" s="1383" t="s">
        <v>848</v>
      </c>
      <c r="C242" s="1383" t="s">
        <v>20</v>
      </c>
      <c r="D242" s="1384">
        <v>37</v>
      </c>
    </row>
    <row r="243" spans="1:4" ht="21" x14ac:dyDescent="0.25">
      <c r="A243" s="1382">
        <v>4</v>
      </c>
      <c r="B243" s="1383" t="s">
        <v>849</v>
      </c>
      <c r="C243" s="1383" t="s">
        <v>20</v>
      </c>
      <c r="D243" s="1384">
        <v>42</v>
      </c>
    </row>
    <row r="244" spans="1:4" ht="21" x14ac:dyDescent="0.25">
      <c r="A244" s="1382">
        <v>5</v>
      </c>
      <c r="B244" s="1383" t="s">
        <v>850</v>
      </c>
      <c r="C244" s="1383" t="s">
        <v>20</v>
      </c>
      <c r="D244" s="1384">
        <v>38</v>
      </c>
    </row>
    <row r="245" spans="1:4" ht="21" x14ac:dyDescent="0.25">
      <c r="A245" s="1382">
        <v>6</v>
      </c>
      <c r="B245" s="1383" t="s">
        <v>851</v>
      </c>
      <c r="C245" s="1383" t="s">
        <v>20</v>
      </c>
      <c r="D245" s="1384">
        <v>2</v>
      </c>
    </row>
    <row r="246" spans="1:4" ht="21" x14ac:dyDescent="0.25">
      <c r="A246" s="1382">
        <v>7</v>
      </c>
      <c r="B246" s="1383" t="s">
        <v>852</v>
      </c>
      <c r="C246" s="1383" t="s">
        <v>20</v>
      </c>
      <c r="D246" s="1384">
        <v>1</v>
      </c>
    </row>
    <row r="247" spans="1:4" ht="21" x14ac:dyDescent="0.25">
      <c r="A247" s="1382">
        <v>8</v>
      </c>
      <c r="B247" s="1383" t="s">
        <v>853</v>
      </c>
      <c r="C247" s="1383" t="s">
        <v>20</v>
      </c>
      <c r="D247" s="1384">
        <v>1</v>
      </c>
    </row>
    <row r="248" spans="1:4" ht="21" x14ac:dyDescent="0.25">
      <c r="A248" s="1382">
        <v>9</v>
      </c>
      <c r="B248" s="1383" t="s">
        <v>854</v>
      </c>
      <c r="C248" s="1383" t="s">
        <v>20</v>
      </c>
      <c r="D248" s="1385">
        <v>17</v>
      </c>
    </row>
    <row r="249" spans="1:4" ht="21" x14ac:dyDescent="0.4">
      <c r="A249" s="1382">
        <v>10</v>
      </c>
      <c r="B249" s="1383" t="s">
        <v>855</v>
      </c>
      <c r="C249" s="1386" t="s">
        <v>20</v>
      </c>
      <c r="D249" s="1384">
        <v>37</v>
      </c>
    </row>
    <row r="250" spans="1:4" ht="21" x14ac:dyDescent="0.4">
      <c r="A250" s="1382">
        <v>11</v>
      </c>
      <c r="B250" s="1383" t="s">
        <v>846</v>
      </c>
      <c r="C250" s="1386" t="s">
        <v>19</v>
      </c>
      <c r="D250" s="1388">
        <v>6</v>
      </c>
    </row>
    <row r="251" spans="1:4" ht="21" x14ac:dyDescent="0.4">
      <c r="A251" s="1382">
        <v>12</v>
      </c>
      <c r="B251" s="1383" t="s">
        <v>857</v>
      </c>
      <c r="C251" s="1386" t="s">
        <v>19</v>
      </c>
      <c r="D251" s="1388">
        <v>2</v>
      </c>
    </row>
    <row r="252" spans="1:4" ht="21" x14ac:dyDescent="0.4">
      <c r="A252" s="1382">
        <v>13</v>
      </c>
      <c r="B252" s="1383" t="s">
        <v>858</v>
      </c>
      <c r="C252" s="1386" t="s">
        <v>19</v>
      </c>
      <c r="D252" s="1388">
        <v>8</v>
      </c>
    </row>
    <row r="253" spans="1:4" ht="21" x14ac:dyDescent="0.4">
      <c r="A253" s="1382">
        <v>14</v>
      </c>
      <c r="B253" s="1383" t="s">
        <v>859</v>
      </c>
      <c r="C253" s="1383" t="s">
        <v>19</v>
      </c>
      <c r="D253" s="1388">
        <v>2</v>
      </c>
    </row>
    <row r="254" spans="1:4" ht="21" x14ac:dyDescent="0.4">
      <c r="A254" s="1382">
        <v>15</v>
      </c>
      <c r="B254" s="1383" t="s">
        <v>860</v>
      </c>
      <c r="C254" s="1383" t="s">
        <v>15</v>
      </c>
      <c r="D254" s="1388">
        <v>10</v>
      </c>
    </row>
  </sheetData>
  <mergeCells count="16">
    <mergeCell ref="D40:F40"/>
    <mergeCell ref="G40:I40"/>
    <mergeCell ref="D39:F39"/>
    <mergeCell ref="D31:F31"/>
    <mergeCell ref="G31:I31"/>
    <mergeCell ref="E8:F8"/>
    <mergeCell ref="G8:H8"/>
    <mergeCell ref="I8:J8"/>
    <mergeCell ref="E10:F10"/>
    <mergeCell ref="G10:H10"/>
    <mergeCell ref="I10:J10"/>
    <mergeCell ref="G18:H21"/>
    <mergeCell ref="E19:F19"/>
    <mergeCell ref="E20:F20"/>
    <mergeCell ref="E21:F21"/>
    <mergeCell ref="D30:I30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rgb="FFFF0000"/>
  </sheetPr>
  <dimension ref="D8:S57"/>
  <sheetViews>
    <sheetView topLeftCell="A19" workbookViewId="0">
      <selection activeCell="E35" sqref="E35"/>
    </sheetView>
  </sheetViews>
  <sheetFormatPr baseColWidth="10" defaultColWidth="11.44140625" defaultRowHeight="14.4" x14ac:dyDescent="0.3"/>
  <cols>
    <col min="1" max="4" width="11.44140625" style="40"/>
    <col min="5" max="5" width="59.44140625" style="40" customWidth="1"/>
    <col min="6" max="6" width="11.44140625" style="40"/>
    <col min="7" max="8" width="11.5546875" style="40" bestFit="1" customWidth="1"/>
    <col min="9" max="9" width="12.5546875" style="40" bestFit="1" customWidth="1"/>
    <col min="10" max="10" width="14.33203125" style="40" customWidth="1"/>
    <col min="11" max="11" width="24.44140625" style="40" customWidth="1"/>
    <col min="12" max="12" width="17.5546875" style="40" bestFit="1" customWidth="1"/>
    <col min="13" max="13" width="22.109375" style="40" customWidth="1"/>
    <col min="14" max="14" width="17" style="40" customWidth="1"/>
    <col min="15" max="15" width="19.109375" style="40" customWidth="1"/>
    <col min="16" max="16" width="20" style="40" customWidth="1"/>
    <col min="17" max="17" width="21.33203125" style="40" customWidth="1"/>
    <col min="18" max="16384" width="11.44140625" style="40"/>
  </cols>
  <sheetData>
    <row r="8" spans="4:19" ht="15" x14ac:dyDescent="0.25">
      <c r="H8" s="43"/>
      <c r="I8" s="43"/>
    </row>
    <row r="9" spans="4:19" ht="24" thickBot="1" x14ac:dyDescent="0.4">
      <c r="E9" s="2062" t="s">
        <v>334</v>
      </c>
      <c r="F9" s="2062"/>
      <c r="G9" s="2062"/>
      <c r="H9" s="2062"/>
      <c r="I9" s="2062"/>
      <c r="J9" s="2062"/>
      <c r="K9" s="2062"/>
      <c r="L9" s="2062"/>
      <c r="M9" s="2062"/>
      <c r="N9" s="2062"/>
      <c r="O9" s="2062"/>
    </row>
    <row r="10" spans="4:19" ht="15.75" thickBot="1" x14ac:dyDescent="0.3">
      <c r="E10" s="43"/>
      <c r="F10" s="43"/>
      <c r="G10" s="43"/>
      <c r="H10" s="43"/>
      <c r="I10" s="43"/>
      <c r="J10" s="2152" t="s">
        <v>105</v>
      </c>
      <c r="K10" s="2127"/>
      <c r="L10" s="2127"/>
      <c r="M10" s="2127"/>
      <c r="N10" s="2127"/>
      <c r="O10" s="2153"/>
    </row>
    <row r="11" spans="4:19" ht="15.75" thickBot="1" x14ac:dyDescent="0.3">
      <c r="E11" s="43"/>
      <c r="F11" s="43"/>
      <c r="G11" s="43"/>
      <c r="H11" s="43"/>
      <c r="I11" s="43"/>
      <c r="J11" s="1908" t="s">
        <v>0</v>
      </c>
      <c r="K11" s="1909"/>
      <c r="L11" s="1908" t="s">
        <v>0</v>
      </c>
      <c r="M11" s="1909"/>
      <c r="N11" s="1908" t="s">
        <v>0</v>
      </c>
      <c r="O11" s="1909"/>
      <c r="P11" s="1838"/>
      <c r="Q11" s="1838"/>
    </row>
    <row r="12" spans="4:19" ht="19.5" thickBot="1" x14ac:dyDescent="0.35">
      <c r="E12" s="43"/>
      <c r="F12" s="43"/>
      <c r="G12" s="43"/>
      <c r="H12" s="43"/>
      <c r="I12" s="43"/>
      <c r="J12" s="563" t="s">
        <v>3</v>
      </c>
      <c r="K12" s="605" t="s">
        <v>4</v>
      </c>
      <c r="L12" s="604" t="s">
        <v>1</v>
      </c>
      <c r="M12" s="565" t="s">
        <v>2</v>
      </c>
      <c r="N12" s="601" t="s">
        <v>22</v>
      </c>
      <c r="O12" s="602" t="s">
        <v>4</v>
      </c>
      <c r="P12" s="596"/>
      <c r="Q12" s="593"/>
    </row>
    <row r="13" spans="4:19" x14ac:dyDescent="0.3">
      <c r="E13" s="43"/>
      <c r="F13" s="43"/>
      <c r="G13" s="43"/>
      <c r="H13" s="43"/>
      <c r="I13" s="43"/>
      <c r="J13" s="1857" t="s">
        <v>332</v>
      </c>
      <c r="K13" s="1858"/>
      <c r="L13" s="1857"/>
      <c r="M13" s="1858"/>
      <c r="N13" s="1857"/>
      <c r="O13" s="1858"/>
      <c r="P13" s="1838"/>
      <c r="Q13" s="1838"/>
    </row>
    <row r="14" spans="4:19" ht="15" thickBot="1" x14ac:dyDescent="0.35">
      <c r="E14" s="43"/>
      <c r="F14" s="43"/>
      <c r="G14" s="43"/>
      <c r="H14" s="43"/>
      <c r="I14" s="43"/>
      <c r="J14" s="1951"/>
      <c r="K14" s="1953"/>
      <c r="L14" s="1951"/>
      <c r="M14" s="1953"/>
      <c r="N14" s="1951"/>
      <c r="O14" s="1953"/>
      <c r="P14" s="1838"/>
      <c r="Q14" s="1838"/>
      <c r="R14" s="1849" t="s">
        <v>32</v>
      </c>
      <c r="S14" s="1846"/>
    </row>
    <row r="15" spans="4:19" ht="15" thickBot="1" x14ac:dyDescent="0.35">
      <c r="D15" s="594" t="s">
        <v>5</v>
      </c>
      <c r="E15" s="600" t="s">
        <v>6</v>
      </c>
      <c r="F15" s="597" t="s">
        <v>7</v>
      </c>
      <c r="G15" s="597" t="s">
        <v>8</v>
      </c>
      <c r="H15" s="556"/>
      <c r="I15" s="555"/>
      <c r="J15" s="594" t="s">
        <v>9</v>
      </c>
      <c r="K15" s="595" t="s">
        <v>10</v>
      </c>
      <c r="L15" s="597" t="s">
        <v>9</v>
      </c>
      <c r="M15" s="597" t="s">
        <v>10</v>
      </c>
      <c r="N15" s="604" t="s">
        <v>9</v>
      </c>
      <c r="O15" s="605" t="s">
        <v>10</v>
      </c>
      <c r="P15" s="43"/>
      <c r="Q15" s="43"/>
      <c r="R15" s="1850"/>
      <c r="S15" s="1848"/>
    </row>
    <row r="16" spans="4:19" ht="51" customHeight="1" thickBot="1" x14ac:dyDescent="0.3">
      <c r="D16" s="598">
        <v>1</v>
      </c>
      <c r="E16" s="209" t="s">
        <v>324</v>
      </c>
      <c r="F16" s="226" t="s">
        <v>20</v>
      </c>
      <c r="G16" s="226">
        <v>8</v>
      </c>
      <c r="H16" s="5"/>
      <c r="I16" s="6"/>
      <c r="J16" s="554">
        <v>6896.88</v>
      </c>
      <c r="K16" s="213">
        <f>G16*J16</f>
        <v>55175.040000000001</v>
      </c>
      <c r="L16" s="552"/>
      <c r="M16" s="227"/>
      <c r="N16" s="32"/>
      <c r="O16" s="31"/>
      <c r="P16" s="16"/>
      <c r="Q16" s="16"/>
      <c r="R16" s="35">
        <v>3558.69</v>
      </c>
      <c r="S16" s="47">
        <f>+R16*O16</f>
        <v>0</v>
      </c>
    </row>
    <row r="17" spans="4:19" ht="51" customHeight="1" thickBot="1" x14ac:dyDescent="0.3">
      <c r="D17" s="598">
        <v>2</v>
      </c>
      <c r="E17" s="209" t="s">
        <v>333</v>
      </c>
      <c r="F17" s="226" t="s">
        <v>20</v>
      </c>
      <c r="G17" s="226">
        <v>8</v>
      </c>
      <c r="H17" s="5"/>
      <c r="I17" s="6"/>
      <c r="J17" s="554">
        <v>20604.38</v>
      </c>
      <c r="K17" s="213">
        <f t="shared" ref="K17:K28" si="0">G17*J17</f>
        <v>164835.04</v>
      </c>
      <c r="L17" s="561"/>
      <c r="M17" s="250"/>
      <c r="N17" s="32"/>
      <c r="O17" s="31"/>
      <c r="P17" s="16"/>
      <c r="Q17" s="16"/>
      <c r="R17" s="6"/>
      <c r="S17" s="608"/>
    </row>
    <row r="18" spans="4:19" ht="32.25" customHeight="1" thickBot="1" x14ac:dyDescent="0.3">
      <c r="D18" s="598">
        <v>3</v>
      </c>
      <c r="E18" s="209" t="s">
        <v>325</v>
      </c>
      <c r="F18" s="226" t="s">
        <v>20</v>
      </c>
      <c r="G18" s="226">
        <v>8</v>
      </c>
      <c r="H18" s="5"/>
      <c r="I18" s="6"/>
      <c r="J18" s="554"/>
      <c r="K18" s="213">
        <f t="shared" si="0"/>
        <v>0</v>
      </c>
      <c r="L18" s="607" t="s">
        <v>10</v>
      </c>
      <c r="M18" s="250"/>
      <c r="N18" s="13"/>
      <c r="O18" s="566"/>
      <c r="P18" s="6"/>
      <c r="Q18" s="6"/>
    </row>
    <row r="19" spans="4:19" ht="15" x14ac:dyDescent="0.25">
      <c r="D19" s="598">
        <v>4</v>
      </c>
      <c r="E19" s="209" t="s">
        <v>326</v>
      </c>
      <c r="F19" s="226" t="s">
        <v>20</v>
      </c>
      <c r="G19" s="226">
        <v>30</v>
      </c>
      <c r="H19" s="5"/>
      <c r="I19" s="6"/>
      <c r="J19" s="23">
        <v>1696.43</v>
      </c>
      <c r="K19" s="213">
        <f t="shared" si="0"/>
        <v>50892.9</v>
      </c>
      <c r="L19" s="4"/>
      <c r="M19" s="4"/>
      <c r="N19" s="4"/>
      <c r="O19" s="4"/>
      <c r="P19" s="6"/>
      <c r="Q19" s="6"/>
    </row>
    <row r="20" spans="4:19" ht="30" x14ac:dyDescent="0.25">
      <c r="D20" s="598">
        <v>5</v>
      </c>
      <c r="E20" s="209" t="s">
        <v>327</v>
      </c>
      <c r="F20" s="226" t="s">
        <v>20</v>
      </c>
      <c r="G20" s="226">
        <v>30</v>
      </c>
      <c r="H20" s="5"/>
      <c r="I20" s="6"/>
      <c r="J20" s="23">
        <v>113741.07</v>
      </c>
      <c r="K20" s="213">
        <f t="shared" si="0"/>
        <v>3412232.1</v>
      </c>
      <c r="L20" s="4"/>
      <c r="M20" s="4"/>
      <c r="N20" s="4"/>
      <c r="O20" s="4"/>
      <c r="P20" s="4"/>
      <c r="Q20" s="4"/>
    </row>
    <row r="21" spans="4:19" ht="30.75" customHeight="1" x14ac:dyDescent="0.25">
      <c r="D21" s="598">
        <v>6</v>
      </c>
      <c r="E21" s="209" t="s">
        <v>328</v>
      </c>
      <c r="F21" s="226" t="s">
        <v>20</v>
      </c>
      <c r="G21" s="226">
        <v>24</v>
      </c>
      <c r="H21" s="5"/>
      <c r="I21" s="6"/>
      <c r="J21" s="23">
        <v>883.93</v>
      </c>
      <c r="K21" s="213">
        <f t="shared" si="0"/>
        <v>21214.32</v>
      </c>
      <c r="L21" s="4"/>
      <c r="M21" s="4"/>
      <c r="N21" s="4"/>
      <c r="O21" s="4"/>
      <c r="P21" s="4"/>
      <c r="Q21" s="4"/>
    </row>
    <row r="22" spans="4:19" ht="67.5" customHeight="1" x14ac:dyDescent="0.25">
      <c r="D22" s="598">
        <v>7</v>
      </c>
      <c r="E22" s="209" t="s">
        <v>329</v>
      </c>
      <c r="F22" s="226" t="s">
        <v>20</v>
      </c>
      <c r="G22" s="226">
        <v>24</v>
      </c>
      <c r="H22" s="5"/>
      <c r="I22" s="6"/>
      <c r="J22" s="23">
        <v>8241.07</v>
      </c>
      <c r="K22" s="213">
        <f t="shared" si="0"/>
        <v>197785.68</v>
      </c>
      <c r="L22" s="4"/>
      <c r="M22" s="4"/>
      <c r="N22" s="4"/>
      <c r="O22" s="4"/>
      <c r="P22" s="4"/>
      <c r="Q22" s="4"/>
    </row>
    <row r="23" spans="4:19" ht="67.5" customHeight="1" x14ac:dyDescent="0.3">
      <c r="D23" s="598">
        <v>8</v>
      </c>
      <c r="E23" s="209" t="s">
        <v>335</v>
      </c>
      <c r="F23" s="226" t="s">
        <v>20</v>
      </c>
      <c r="G23" s="226">
        <v>24</v>
      </c>
      <c r="H23" s="5"/>
      <c r="I23" s="6"/>
      <c r="J23" s="23">
        <v>2293.75</v>
      </c>
      <c r="K23" s="213">
        <f t="shared" si="0"/>
        <v>55050</v>
      </c>
      <c r="L23" s="4"/>
      <c r="M23" s="4"/>
      <c r="N23" s="4"/>
      <c r="O23" s="4"/>
      <c r="P23" s="4"/>
      <c r="Q23" s="4"/>
    </row>
    <row r="24" spans="4:19" ht="67.5" customHeight="1" x14ac:dyDescent="0.3">
      <c r="D24" s="598">
        <v>9</v>
      </c>
      <c r="E24" s="209" t="s">
        <v>336</v>
      </c>
      <c r="F24" s="226" t="s">
        <v>20</v>
      </c>
      <c r="G24" s="226">
        <v>24</v>
      </c>
      <c r="H24" s="5"/>
      <c r="I24" s="6"/>
      <c r="J24" s="23">
        <v>120.54</v>
      </c>
      <c r="K24" s="213">
        <f t="shared" si="0"/>
        <v>2892.96</v>
      </c>
      <c r="L24" s="4"/>
      <c r="M24" s="4"/>
      <c r="N24" s="4"/>
      <c r="O24" s="4"/>
      <c r="P24" s="4"/>
      <c r="Q24" s="4"/>
    </row>
    <row r="25" spans="4:19" ht="67.5" customHeight="1" x14ac:dyDescent="0.3">
      <c r="D25" s="598">
        <v>10</v>
      </c>
      <c r="E25" s="209" t="s">
        <v>337</v>
      </c>
      <c r="F25" s="226" t="s">
        <v>20</v>
      </c>
      <c r="G25" s="226">
        <v>24</v>
      </c>
      <c r="H25" s="5"/>
      <c r="I25" s="6"/>
      <c r="J25" s="23">
        <v>1776.79</v>
      </c>
      <c r="K25" s="213">
        <f>G25*J25</f>
        <v>42642.96</v>
      </c>
      <c r="L25" s="4"/>
      <c r="M25" s="4"/>
      <c r="N25" s="4"/>
      <c r="O25" s="4"/>
      <c r="P25" s="4"/>
      <c r="Q25" s="4"/>
    </row>
    <row r="26" spans="4:19" ht="67.5" customHeight="1" x14ac:dyDescent="0.3">
      <c r="D26" s="598">
        <v>11</v>
      </c>
      <c r="E26" s="209" t="s">
        <v>338</v>
      </c>
      <c r="F26" s="226" t="s">
        <v>20</v>
      </c>
      <c r="G26" s="226">
        <v>7169.64</v>
      </c>
      <c r="H26" s="5"/>
      <c r="I26" s="6"/>
      <c r="J26" s="23">
        <v>24</v>
      </c>
      <c r="K26" s="213">
        <f>G26*J26</f>
        <v>172071.36000000002</v>
      </c>
      <c r="L26" s="4"/>
      <c r="M26" s="4"/>
      <c r="N26" s="4"/>
      <c r="O26" s="4"/>
      <c r="P26" s="4"/>
      <c r="Q26" s="4"/>
    </row>
    <row r="27" spans="4:19" ht="53.25" customHeight="1" x14ac:dyDescent="0.3">
      <c r="D27" s="598">
        <v>12</v>
      </c>
      <c r="E27" s="209" t="s">
        <v>330</v>
      </c>
      <c r="F27" s="226" t="s">
        <v>20</v>
      </c>
      <c r="G27" s="226">
        <v>150</v>
      </c>
      <c r="H27" s="5"/>
      <c r="I27" s="6"/>
      <c r="J27" s="23">
        <v>1050</v>
      </c>
      <c r="K27" s="213">
        <f t="shared" si="0"/>
        <v>157500</v>
      </c>
      <c r="L27" s="4"/>
      <c r="M27" s="4"/>
      <c r="N27" s="4"/>
      <c r="O27" s="4"/>
      <c r="P27" s="4"/>
      <c r="Q27" s="4"/>
    </row>
    <row r="28" spans="4:19" ht="47.25" customHeight="1" thickBot="1" x14ac:dyDescent="0.35">
      <c r="D28" s="599">
        <v>13</v>
      </c>
      <c r="E28" s="219" t="s">
        <v>331</v>
      </c>
      <c r="F28" s="251" t="s">
        <v>20</v>
      </c>
      <c r="G28" s="251">
        <v>28</v>
      </c>
      <c r="H28" s="9"/>
      <c r="I28" s="6"/>
      <c r="J28" s="26">
        <v>2056</v>
      </c>
      <c r="K28" s="221">
        <f t="shared" si="0"/>
        <v>57568</v>
      </c>
      <c r="L28" s="4"/>
      <c r="M28" s="4"/>
      <c r="N28" s="4"/>
      <c r="O28" s="4"/>
      <c r="P28" s="4"/>
      <c r="Q28" s="4"/>
    </row>
    <row r="29" spans="4:19" ht="15.75" customHeight="1" thickBot="1" x14ac:dyDescent="0.4">
      <c r="D29" s="43"/>
      <c r="E29" s="43"/>
      <c r="F29" s="43"/>
      <c r="G29" s="606"/>
      <c r="H29" s="6"/>
      <c r="I29" s="6"/>
      <c r="J29" s="4"/>
      <c r="K29" s="609">
        <f>SUM(K16:K28)</f>
        <v>4389860.3599999994</v>
      </c>
      <c r="L29" s="4"/>
      <c r="M29" s="4"/>
      <c r="N29" s="4"/>
      <c r="O29" s="4"/>
      <c r="P29" s="4"/>
      <c r="Q29" s="4"/>
    </row>
    <row r="30" spans="4:19" ht="15.75" customHeight="1" x14ac:dyDescent="0.3"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4:19" ht="15.75" customHeight="1" x14ac:dyDescent="0.3"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4:19" ht="15.75" customHeight="1" x14ac:dyDescent="0.3"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6:19" ht="15.75" customHeight="1" x14ac:dyDescent="0.3">
      <c r="G33" s="4"/>
      <c r="H33" s="4"/>
      <c r="I33" s="4"/>
      <c r="J33" s="6"/>
      <c r="K33" s="6"/>
      <c r="L33" s="6"/>
      <c r="M33" s="6"/>
      <c r="N33" s="6"/>
      <c r="O33" s="6"/>
      <c r="P33" s="4"/>
      <c r="Q33" s="4"/>
    </row>
    <row r="34" spans="6:19" ht="15.75" customHeight="1" x14ac:dyDescent="0.3">
      <c r="G34" s="4"/>
      <c r="H34" s="4"/>
      <c r="I34" s="4"/>
      <c r="J34" s="1906"/>
      <c r="K34" s="1906"/>
      <c r="L34" s="1906"/>
      <c r="M34" s="1906"/>
      <c r="N34" s="1906"/>
      <c r="O34" s="1906"/>
      <c r="P34" s="4"/>
      <c r="Q34" s="4"/>
    </row>
    <row r="35" spans="6:19" ht="15.75" customHeight="1" x14ac:dyDescent="0.3">
      <c r="G35" s="4"/>
      <c r="H35" s="4"/>
      <c r="I35" s="4"/>
      <c r="J35" s="1838"/>
      <c r="K35" s="1838"/>
      <c r="L35" s="1838"/>
      <c r="M35" s="1838"/>
      <c r="N35" s="1838"/>
      <c r="O35" s="1838"/>
      <c r="P35" s="4"/>
      <c r="Q35" s="4"/>
    </row>
    <row r="36" spans="6:19" ht="15.75" customHeight="1" x14ac:dyDescent="0.35">
      <c r="G36" s="4"/>
      <c r="H36" s="4"/>
      <c r="I36" s="4"/>
      <c r="J36" s="593"/>
      <c r="K36" s="596"/>
      <c r="L36" s="596"/>
      <c r="M36" s="593"/>
      <c r="N36" s="596"/>
      <c r="O36" s="593"/>
      <c r="P36" s="4"/>
      <c r="Q36" s="4"/>
    </row>
    <row r="37" spans="6:19" ht="18" x14ac:dyDescent="0.35">
      <c r="G37" s="4"/>
      <c r="H37" s="4"/>
      <c r="I37" s="4"/>
      <c r="J37" s="1835"/>
      <c r="K37" s="1835"/>
      <c r="L37" s="1859"/>
      <c r="M37" s="1859"/>
      <c r="N37" s="1859"/>
      <c r="O37" s="1859"/>
      <c r="P37" s="4"/>
      <c r="Q37" s="4"/>
    </row>
    <row r="38" spans="6:19" ht="29.25" customHeight="1" x14ac:dyDescent="0.3">
      <c r="G38" s="4"/>
      <c r="H38" s="4"/>
      <c r="I38" s="4"/>
      <c r="J38" s="1835"/>
      <c r="K38" s="1835"/>
      <c r="L38" s="1835"/>
      <c r="M38" s="1835"/>
      <c r="N38" s="1835"/>
      <c r="O38" s="1835"/>
      <c r="P38" s="43"/>
      <c r="Q38" s="43"/>
      <c r="R38" s="43"/>
      <c r="S38" s="43"/>
    </row>
    <row r="39" spans="6:19" x14ac:dyDescent="0.3">
      <c r="G39" s="4"/>
      <c r="H39" s="4"/>
      <c r="I39" s="4"/>
      <c r="J39" s="25"/>
      <c r="K39" s="25"/>
      <c r="L39" s="25"/>
      <c r="M39" s="25"/>
      <c r="N39" s="25"/>
      <c r="O39" s="25"/>
      <c r="P39" s="43"/>
      <c r="Q39" s="43"/>
      <c r="R39" s="43"/>
      <c r="S39" s="43"/>
    </row>
    <row r="40" spans="6:19" x14ac:dyDescent="0.3">
      <c r="F40" s="33"/>
      <c r="G40" s="34"/>
      <c r="H40" s="34"/>
      <c r="I40" s="34"/>
      <c r="J40" s="6"/>
      <c r="K40" s="25"/>
      <c r="L40" s="50"/>
      <c r="M40" s="25"/>
      <c r="N40" s="25"/>
      <c r="O40" s="25"/>
      <c r="P40" s="43"/>
      <c r="Q40" s="43"/>
      <c r="R40" s="43"/>
      <c r="S40" s="43"/>
    </row>
    <row r="41" spans="6:19" x14ac:dyDescent="0.3">
      <c r="F41" s="33"/>
      <c r="G41" s="34"/>
      <c r="H41" s="4"/>
      <c r="I41" s="4"/>
      <c r="J41" s="6"/>
      <c r="K41" s="25"/>
      <c r="L41" s="25"/>
      <c r="M41" s="25"/>
      <c r="N41" s="25"/>
      <c r="O41" s="25"/>
      <c r="P41" s="43"/>
      <c r="Q41" s="43"/>
      <c r="R41" s="43"/>
      <c r="S41" s="43"/>
    </row>
    <row r="42" spans="6:19" x14ac:dyDescent="0.3">
      <c r="F42" s="33"/>
      <c r="G42" s="34"/>
      <c r="H42" s="4"/>
      <c r="I42" s="4"/>
      <c r="J42" s="6"/>
      <c r="K42" s="25"/>
      <c r="L42" s="25"/>
      <c r="M42" s="25"/>
      <c r="N42" s="25"/>
      <c r="O42" s="25"/>
      <c r="P42" s="43"/>
      <c r="Q42" s="43"/>
      <c r="R42" s="43"/>
      <c r="S42" s="43"/>
    </row>
    <row r="43" spans="6:19" x14ac:dyDescent="0.3">
      <c r="F43" s="33"/>
      <c r="G43" s="34"/>
      <c r="H43" s="4"/>
      <c r="I43" s="4"/>
      <c r="J43" s="6"/>
      <c r="K43" s="25"/>
      <c r="L43" s="25"/>
      <c r="M43" s="25"/>
      <c r="N43" s="25"/>
      <c r="O43" s="25"/>
      <c r="P43" s="43"/>
      <c r="Q43" s="43"/>
      <c r="R43" s="43"/>
      <c r="S43" s="43"/>
    </row>
    <row r="44" spans="6:19" x14ac:dyDescent="0.3">
      <c r="F44" s="33"/>
      <c r="G44" s="34"/>
      <c r="H44" s="4"/>
      <c r="I44" s="4"/>
      <c r="J44" s="6"/>
      <c r="K44" s="25"/>
      <c r="L44" s="25"/>
      <c r="M44" s="25"/>
      <c r="N44" s="25"/>
      <c r="O44" s="25"/>
      <c r="P44" s="43"/>
      <c r="Q44" s="43"/>
      <c r="R44" s="43"/>
      <c r="S44" s="43"/>
    </row>
    <row r="45" spans="6:19" x14ac:dyDescent="0.3">
      <c r="G45" s="4"/>
      <c r="H45" s="4"/>
      <c r="I45" s="4"/>
      <c r="J45" s="6"/>
      <c r="K45" s="6"/>
      <c r="L45" s="6"/>
      <c r="M45" s="6"/>
      <c r="N45" s="6"/>
      <c r="O45" s="6"/>
      <c r="P45" s="43"/>
      <c r="Q45" s="43"/>
      <c r="R45" s="43"/>
      <c r="S45" s="43"/>
    </row>
    <row r="46" spans="6:19" ht="18" x14ac:dyDescent="0.35">
      <c r="G46" s="4"/>
      <c r="H46" s="4"/>
      <c r="I46" s="4"/>
      <c r="J46" s="6"/>
      <c r="K46" s="36"/>
      <c r="L46" s="51"/>
      <c r="M46" s="52"/>
      <c r="N46" s="51"/>
      <c r="O46" s="53"/>
      <c r="Q46" s="37"/>
      <c r="R46" s="43"/>
      <c r="S46" s="43"/>
    </row>
    <row r="47" spans="6:19" x14ac:dyDescent="0.3">
      <c r="J47" s="43"/>
      <c r="K47" s="43"/>
      <c r="L47" s="43"/>
      <c r="M47" s="43"/>
      <c r="N47" s="43"/>
      <c r="O47" s="43"/>
    </row>
    <row r="48" spans="6:19" x14ac:dyDescent="0.3">
      <c r="J48" s="43"/>
      <c r="K48" s="43"/>
      <c r="L48" s="43"/>
      <c r="M48" s="43"/>
      <c r="N48" s="43"/>
      <c r="O48" s="43"/>
    </row>
    <row r="49" spans="10:15" ht="15.6" x14ac:dyDescent="0.3">
      <c r="J49" s="43"/>
      <c r="K49" s="43"/>
      <c r="L49" s="1834"/>
      <c r="M49" s="1834"/>
      <c r="N49" s="43"/>
      <c r="O49" s="43"/>
    </row>
    <row r="50" spans="10:15" x14ac:dyDescent="0.3">
      <c r="J50" s="43"/>
      <c r="K50" s="43"/>
      <c r="L50" s="43"/>
      <c r="M50" s="43"/>
      <c r="N50" s="43"/>
      <c r="O50" s="43"/>
    </row>
    <row r="51" spans="10:15" ht="15.6" x14ac:dyDescent="0.3">
      <c r="J51" s="43"/>
      <c r="K51" s="43"/>
      <c r="L51" s="1834"/>
      <c r="M51" s="1834"/>
      <c r="N51" s="43"/>
      <c r="O51" s="43"/>
    </row>
    <row r="52" spans="10:15" x14ac:dyDescent="0.3">
      <c r="J52" s="43"/>
      <c r="K52" s="43"/>
      <c r="L52" s="43"/>
      <c r="M52" s="43"/>
      <c r="N52" s="43"/>
      <c r="O52" s="43"/>
    </row>
    <row r="53" spans="10:15" x14ac:dyDescent="0.3">
      <c r="J53" s="43"/>
      <c r="K53" s="43"/>
      <c r="L53" s="43"/>
      <c r="M53" s="43"/>
      <c r="N53" s="43"/>
      <c r="O53" s="43"/>
    </row>
    <row r="54" spans="10:15" x14ac:dyDescent="0.3">
      <c r="J54" s="43"/>
      <c r="K54" s="43"/>
      <c r="L54" s="43"/>
      <c r="M54" s="43"/>
      <c r="N54" s="43"/>
      <c r="O54" s="43"/>
    </row>
    <row r="55" spans="10:15" x14ac:dyDescent="0.3">
      <c r="J55" s="43"/>
      <c r="K55" s="43"/>
      <c r="L55" s="43"/>
      <c r="M55" s="43"/>
      <c r="N55" s="43"/>
      <c r="O55" s="43"/>
    </row>
    <row r="56" spans="10:15" x14ac:dyDescent="0.3">
      <c r="J56" s="43"/>
      <c r="K56" s="43"/>
      <c r="L56" s="43"/>
      <c r="M56" s="43"/>
      <c r="N56" s="43"/>
      <c r="O56" s="43"/>
    </row>
    <row r="57" spans="10:15" x14ac:dyDescent="0.3">
      <c r="J57" s="43"/>
      <c r="K57" s="43"/>
      <c r="L57" s="43"/>
      <c r="M57" s="43"/>
      <c r="N57" s="43"/>
      <c r="O57" s="43"/>
    </row>
  </sheetData>
  <mergeCells count="22">
    <mergeCell ref="R14:S15"/>
    <mergeCell ref="E9:O9"/>
    <mergeCell ref="J10:O10"/>
    <mergeCell ref="J11:K11"/>
    <mergeCell ref="L11:M11"/>
    <mergeCell ref="N11:O11"/>
    <mergeCell ref="P11:Q11"/>
    <mergeCell ref="J13:K14"/>
    <mergeCell ref="L13:M14"/>
    <mergeCell ref="N13:O14"/>
    <mergeCell ref="P13:Q13"/>
    <mergeCell ref="P14:Q14"/>
    <mergeCell ref="L49:M49"/>
    <mergeCell ref="L51:M51"/>
    <mergeCell ref="J34:O34"/>
    <mergeCell ref="J35:K35"/>
    <mergeCell ref="L35:M35"/>
    <mergeCell ref="N35:O35"/>
    <mergeCell ref="J37:K38"/>
    <mergeCell ref="L37:O37"/>
    <mergeCell ref="L38:M38"/>
    <mergeCell ref="N38:O38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FF0000"/>
  </sheetPr>
  <dimension ref="A2:R39"/>
  <sheetViews>
    <sheetView topLeftCell="A4" zoomScale="85" zoomScaleNormal="85" workbookViewId="0">
      <selection activeCell="J20" sqref="J20"/>
    </sheetView>
  </sheetViews>
  <sheetFormatPr baseColWidth="10" defaultColWidth="11.44140625" defaultRowHeight="15" x14ac:dyDescent="0.25"/>
  <cols>
    <col min="1" max="1" width="11.5546875" style="58" bestFit="1" customWidth="1"/>
    <col min="2" max="2" width="59.6640625" style="58" customWidth="1"/>
    <col min="3" max="3" width="11.44140625" style="58"/>
    <col min="4" max="4" width="13.5546875" style="58" bestFit="1" customWidth="1"/>
    <col min="5" max="5" width="23.5546875" style="58" customWidth="1"/>
    <col min="6" max="6" width="26.5546875" style="58" customWidth="1"/>
    <col min="7" max="7" width="24.88671875" style="58" customWidth="1"/>
    <col min="8" max="8" width="22.33203125" style="58" customWidth="1"/>
    <col min="9" max="9" width="21.44140625" style="58" customWidth="1"/>
    <col min="10" max="10" width="22.6640625" style="58" customWidth="1"/>
    <col min="11" max="11" width="18.88671875" style="58" customWidth="1"/>
    <col min="12" max="12" width="22.5546875" style="58" customWidth="1"/>
    <col min="13" max="13" width="20" style="58" customWidth="1"/>
    <col min="14" max="14" width="21.33203125" style="58" customWidth="1"/>
    <col min="15" max="15" width="13.5546875" style="58" customWidth="1"/>
    <col min="16" max="16" width="22.6640625" style="58" customWidth="1"/>
    <col min="17" max="16384" width="11.44140625" style="58"/>
  </cols>
  <sheetData>
    <row r="2" spans="1:18" ht="15.75" x14ac:dyDescent="0.25">
      <c r="A2" s="57"/>
      <c r="B2" s="57" t="s">
        <v>26</v>
      </c>
    </row>
    <row r="4" spans="1:18" ht="15.75" customHeight="1" x14ac:dyDescent="0.2"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</row>
    <row r="5" spans="1:18" ht="15.75" customHeight="1" x14ac:dyDescent="0.2">
      <c r="B5" s="62"/>
      <c r="C5" s="62"/>
      <c r="D5" s="61"/>
      <c r="E5" s="60"/>
      <c r="F5" s="60"/>
      <c r="G5" s="60"/>
      <c r="H5" s="60"/>
      <c r="I5" s="60"/>
      <c r="J5" s="60"/>
      <c r="K5" s="60"/>
      <c r="L5" s="60"/>
      <c r="M5" s="60"/>
      <c r="N5" s="60"/>
    </row>
    <row r="6" spans="1:18" ht="29.25" customHeight="1" x14ac:dyDescent="0.25">
      <c r="B6" s="76"/>
      <c r="C6" s="77"/>
      <c r="D6" s="78"/>
      <c r="E6" s="78"/>
      <c r="F6" s="79"/>
      <c r="G6" s="97"/>
      <c r="H6" s="97"/>
      <c r="I6" s="97"/>
      <c r="J6" s="305"/>
      <c r="K6" s="97"/>
      <c r="L6" s="97"/>
      <c r="M6" s="97"/>
      <c r="N6" s="96"/>
      <c r="O6" s="57"/>
      <c r="P6" s="97"/>
      <c r="Q6" s="62"/>
      <c r="R6" s="62"/>
    </row>
    <row r="7" spans="1:18" ht="29.25" customHeight="1" x14ac:dyDescent="0.25">
      <c r="B7" s="76"/>
      <c r="C7" s="77"/>
      <c r="D7" s="78"/>
      <c r="E7" s="78"/>
      <c r="F7" s="79"/>
      <c r="G7" s="97"/>
      <c r="H7" s="97"/>
      <c r="I7" s="97"/>
      <c r="J7" s="305"/>
      <c r="K7" s="97"/>
      <c r="L7" s="97"/>
      <c r="M7" s="97"/>
      <c r="N7" s="96"/>
      <c r="O7" s="57"/>
      <c r="P7" s="97"/>
      <c r="Q7" s="62"/>
      <c r="R7" s="62"/>
    </row>
    <row r="8" spans="1:18" ht="29.25" customHeight="1" x14ac:dyDescent="0.25">
      <c r="B8" s="76"/>
      <c r="C8" s="77"/>
      <c r="D8" s="78"/>
      <c r="E8" s="78"/>
      <c r="F8" s="79"/>
      <c r="G8" s="97"/>
      <c r="H8" s="97"/>
      <c r="I8" s="97"/>
      <c r="J8" s="97"/>
      <c r="K8" s="97"/>
      <c r="L8" s="97"/>
      <c r="M8" s="97"/>
      <c r="N8" s="96"/>
      <c r="O8" s="57"/>
      <c r="P8" s="97"/>
      <c r="Q8" s="62"/>
      <c r="R8" s="62"/>
    </row>
    <row r="9" spans="1:18" ht="29.25" customHeight="1" thickBot="1" x14ac:dyDescent="0.25">
      <c r="B9" s="76"/>
      <c r="C9" s="77"/>
      <c r="D9" s="78"/>
      <c r="E9" s="1874"/>
      <c r="F9" s="1874"/>
      <c r="G9" s="72"/>
      <c r="H9" s="72"/>
      <c r="I9" s="72"/>
      <c r="J9" s="72"/>
      <c r="K9" s="72"/>
      <c r="L9" s="72"/>
      <c r="M9" s="72"/>
      <c r="N9" s="62"/>
      <c r="Q9" s="62"/>
      <c r="R9" s="62"/>
    </row>
    <row r="10" spans="1:18" ht="29.25" customHeight="1" thickBot="1" x14ac:dyDescent="0.4">
      <c r="E10" s="2045" t="s">
        <v>438</v>
      </c>
      <c r="F10" s="2046"/>
      <c r="G10" s="2046"/>
      <c r="H10" s="2046"/>
      <c r="I10" s="2046"/>
      <c r="J10" s="2046"/>
      <c r="K10" s="2046"/>
      <c r="L10" s="2047"/>
      <c r="M10" s="72"/>
      <c r="N10" s="62"/>
      <c r="Q10" s="62"/>
      <c r="R10" s="62"/>
    </row>
    <row r="11" spans="1:18" ht="29.25" customHeight="1" x14ac:dyDescent="0.25">
      <c r="E11" s="2002" t="s">
        <v>0</v>
      </c>
      <c r="F11" s="2013"/>
      <c r="G11" s="2002" t="s">
        <v>0</v>
      </c>
      <c r="H11" s="2013"/>
      <c r="I11" s="2002" t="s">
        <v>0</v>
      </c>
      <c r="J11" s="2013"/>
      <c r="K11" s="2002" t="s">
        <v>0</v>
      </c>
      <c r="L11" s="2003"/>
      <c r="M11" s="118"/>
      <c r="N11" s="1874"/>
      <c r="O11" s="1874"/>
      <c r="P11" s="1874"/>
      <c r="Q11" s="62"/>
      <c r="R11" s="62"/>
    </row>
    <row r="12" spans="1:18" ht="29.25" customHeight="1" thickBot="1" x14ac:dyDescent="0.45">
      <c r="E12" s="87" t="s">
        <v>22</v>
      </c>
      <c r="F12" s="87" t="s">
        <v>62</v>
      </c>
      <c r="G12" s="119" t="s">
        <v>1</v>
      </c>
      <c r="H12" s="123" t="s">
        <v>2</v>
      </c>
      <c r="I12" s="123" t="s">
        <v>452</v>
      </c>
      <c r="J12" s="119" t="s">
        <v>2</v>
      </c>
      <c r="K12" s="119" t="s">
        <v>1</v>
      </c>
      <c r="L12" s="123" t="s">
        <v>2</v>
      </c>
      <c r="M12" s="855"/>
      <c r="N12" s="854"/>
      <c r="O12" s="855"/>
      <c r="P12" s="855"/>
      <c r="Q12" s="62"/>
      <c r="R12" s="62"/>
    </row>
    <row r="13" spans="1:18" ht="29.25" customHeight="1" thickBot="1" x14ac:dyDescent="0.3">
      <c r="E13" s="1993" t="s">
        <v>440</v>
      </c>
      <c r="F13" s="1994"/>
      <c r="G13" s="1993" t="s">
        <v>444</v>
      </c>
      <c r="H13" s="1994"/>
      <c r="I13" s="2010" t="s">
        <v>450</v>
      </c>
      <c r="J13" s="2011"/>
      <c r="K13" s="1993" t="s">
        <v>451</v>
      </c>
      <c r="L13" s="1994"/>
      <c r="M13" s="72"/>
      <c r="N13" s="62"/>
      <c r="Q13" s="62"/>
      <c r="R13" s="62"/>
    </row>
    <row r="14" spans="1:18" ht="29.25" customHeight="1" thickBot="1" x14ac:dyDescent="0.3">
      <c r="B14" s="886" t="s">
        <v>6</v>
      </c>
      <c r="C14" s="109" t="s">
        <v>7</v>
      </c>
      <c r="D14" s="878" t="s">
        <v>8</v>
      </c>
      <c r="E14" s="884" t="s">
        <v>9</v>
      </c>
      <c r="F14" s="884" t="s">
        <v>10</v>
      </c>
      <c r="G14" s="857" t="s">
        <v>9</v>
      </c>
      <c r="H14" s="304" t="s">
        <v>10</v>
      </c>
      <c r="I14" s="857" t="s">
        <v>9</v>
      </c>
      <c r="J14" s="859" t="s">
        <v>10</v>
      </c>
      <c r="K14" s="857" t="s">
        <v>9</v>
      </c>
      <c r="L14" s="857" t="s">
        <v>10</v>
      </c>
      <c r="M14" s="72"/>
      <c r="N14" s="62"/>
      <c r="Q14" s="62"/>
      <c r="R14" s="62"/>
    </row>
    <row r="15" spans="1:18" ht="42.75" customHeight="1" x14ac:dyDescent="0.25">
      <c r="A15" s="59">
        <v>1</v>
      </c>
      <c r="B15" s="481" t="s">
        <v>439</v>
      </c>
      <c r="C15" s="132" t="s">
        <v>41</v>
      </c>
      <c r="D15" s="483">
        <v>10</v>
      </c>
      <c r="E15" s="130">
        <v>10714.29</v>
      </c>
      <c r="F15" s="130">
        <f>+D15*E15</f>
        <v>107142.90000000001</v>
      </c>
      <c r="G15" s="751"/>
      <c r="H15" s="306"/>
      <c r="I15" s="665"/>
      <c r="J15" s="480"/>
      <c r="K15" s="108"/>
      <c r="L15" s="483"/>
      <c r="M15" s="72"/>
      <c r="N15" s="62"/>
      <c r="Q15" s="62"/>
      <c r="R15" s="62"/>
    </row>
    <row r="16" spans="1:18" ht="42.75" customHeight="1" x14ac:dyDescent="0.25">
      <c r="A16" s="59">
        <f>+A15+1</f>
        <v>2</v>
      </c>
      <c r="B16" s="484" t="s">
        <v>439</v>
      </c>
      <c r="C16" s="887" t="s">
        <v>41</v>
      </c>
      <c r="D16" s="480">
        <v>10</v>
      </c>
      <c r="E16" s="78"/>
      <c r="F16" s="78"/>
      <c r="G16" s="665">
        <v>40000</v>
      </c>
      <c r="H16" s="78">
        <f>D16*G16</f>
        <v>400000</v>
      </c>
      <c r="I16" s="665"/>
      <c r="J16" s="480"/>
      <c r="K16" s="665"/>
      <c r="L16" s="480"/>
      <c r="M16" s="72"/>
      <c r="N16" s="62"/>
      <c r="Q16" s="62"/>
      <c r="R16" s="62"/>
    </row>
    <row r="17" spans="1:18" ht="42.75" customHeight="1" x14ac:dyDescent="0.25">
      <c r="A17" s="59">
        <f t="shared" ref="A17" si="0">+A16+1</f>
        <v>3</v>
      </c>
      <c r="B17" s="484" t="s">
        <v>445</v>
      </c>
      <c r="C17" s="887" t="s">
        <v>41</v>
      </c>
      <c r="D17" s="480">
        <v>6</v>
      </c>
      <c r="E17" s="78"/>
      <c r="F17" s="78"/>
      <c r="G17" s="665"/>
      <c r="H17" s="78"/>
      <c r="I17" s="665">
        <v>9850</v>
      </c>
      <c r="J17" s="480">
        <f>D17*I17</f>
        <v>59100</v>
      </c>
      <c r="K17" s="665"/>
      <c r="L17" s="480"/>
      <c r="M17" s="72"/>
      <c r="N17" s="62"/>
      <c r="Q17" s="62"/>
      <c r="R17" s="62"/>
    </row>
    <row r="18" spans="1:18" ht="57.75" customHeight="1" x14ac:dyDescent="0.25">
      <c r="A18" s="59">
        <f>+A17+1</f>
        <v>4</v>
      </c>
      <c r="B18" s="484"/>
      <c r="C18" s="887"/>
      <c r="D18" s="480"/>
      <c r="E18" s="78"/>
      <c r="F18" s="78"/>
      <c r="G18" s="665"/>
      <c r="H18" s="78"/>
      <c r="I18" s="665"/>
      <c r="J18" s="480"/>
      <c r="K18" s="665"/>
      <c r="L18" s="480"/>
      <c r="M18" s="72"/>
      <c r="N18" s="62"/>
      <c r="Q18" s="62"/>
      <c r="R18" s="62"/>
    </row>
    <row r="19" spans="1:18" ht="42.75" customHeight="1" thickBot="1" x14ac:dyDescent="0.3">
      <c r="A19" s="172"/>
      <c r="B19" s="485"/>
      <c r="C19" s="111"/>
      <c r="D19" s="587"/>
      <c r="E19" s="110"/>
      <c r="F19" s="110"/>
      <c r="G19" s="86"/>
      <c r="H19" s="110"/>
      <c r="I19" s="86"/>
      <c r="J19" s="100"/>
      <c r="K19" s="86"/>
      <c r="L19" s="100"/>
      <c r="M19" s="72"/>
      <c r="N19" s="62"/>
      <c r="Q19" s="62"/>
      <c r="R19" s="62"/>
    </row>
    <row r="20" spans="1:18" ht="29.25" customHeight="1" thickBot="1" x14ac:dyDescent="0.3">
      <c r="B20" s="76"/>
      <c r="C20" s="77"/>
      <c r="D20" s="78"/>
      <c r="E20" s="79"/>
      <c r="F20" s="885">
        <f>SUM(F15:F19)</f>
        <v>107142.90000000001</v>
      </c>
      <c r="G20" s="749"/>
      <c r="H20" s="885">
        <f>SUM(H16:H19)</f>
        <v>400000</v>
      </c>
      <c r="I20" s="78"/>
      <c r="J20" s="885">
        <f>SUM(J15:J19)</f>
        <v>59100</v>
      </c>
      <c r="K20" s="78"/>
      <c r="L20" s="885">
        <f>SUM(L15:L19)</f>
        <v>0</v>
      </c>
      <c r="M20" s="72"/>
      <c r="N20" s="62"/>
      <c r="Q20" s="62"/>
      <c r="R20" s="62"/>
    </row>
    <row r="21" spans="1:18" ht="29.25" customHeight="1" x14ac:dyDescent="0.25">
      <c r="B21" s="76"/>
      <c r="C21" s="77"/>
      <c r="D21" s="78"/>
      <c r="E21" s="860"/>
      <c r="F21" s="860"/>
      <c r="G21" s="860"/>
      <c r="H21" s="860"/>
      <c r="I21" s="860"/>
      <c r="J21" s="860"/>
      <c r="K21" s="860"/>
      <c r="L21" s="860"/>
      <c r="M21" s="72"/>
      <c r="N21" s="62"/>
      <c r="Q21" s="62"/>
      <c r="R21" s="62"/>
    </row>
    <row r="22" spans="1:18" ht="29.25" customHeight="1" thickBot="1" x14ac:dyDescent="0.3">
      <c r="B22" s="76"/>
      <c r="C22" s="77"/>
      <c r="D22" s="78"/>
      <c r="E22" s="860"/>
      <c r="F22" s="860"/>
      <c r="G22" s="860"/>
      <c r="H22" s="860"/>
      <c r="I22" s="860"/>
      <c r="J22" s="860"/>
      <c r="K22" s="860"/>
      <c r="L22" s="860"/>
      <c r="M22" s="72"/>
      <c r="N22" s="62"/>
      <c r="Q22" s="62"/>
      <c r="R22" s="62"/>
    </row>
    <row r="23" spans="1:18" ht="29.25" customHeight="1" thickBot="1" x14ac:dyDescent="0.45">
      <c r="E23" s="2045" t="s">
        <v>446</v>
      </c>
      <c r="F23" s="2046"/>
      <c r="G23" s="2046"/>
      <c r="H23" s="2046"/>
      <c r="I23" s="2046"/>
      <c r="J23" s="2046"/>
      <c r="K23" s="2046"/>
      <c r="L23" s="2047"/>
      <c r="M23" s="72"/>
      <c r="N23" s="62"/>
      <c r="Q23" s="62"/>
      <c r="R23" s="62"/>
    </row>
    <row r="24" spans="1:18" ht="29.25" customHeight="1" x14ac:dyDescent="0.25">
      <c r="E24" s="2002" t="s">
        <v>0</v>
      </c>
      <c r="F24" s="2013"/>
      <c r="G24" s="2002" t="s">
        <v>0</v>
      </c>
      <c r="H24" s="2013"/>
      <c r="I24" s="2002" t="s">
        <v>0</v>
      </c>
      <c r="J24" s="2013"/>
      <c r="K24" s="2002" t="s">
        <v>0</v>
      </c>
      <c r="L24" s="2003"/>
      <c r="M24" s="118"/>
      <c r="N24" s="1874"/>
      <c r="O24" s="1874"/>
      <c r="P24" s="1874"/>
      <c r="Q24" s="62"/>
      <c r="R24" s="62"/>
    </row>
    <row r="25" spans="1:18" ht="29.25" customHeight="1" thickBot="1" x14ac:dyDescent="0.45">
      <c r="B25" s="172">
        <f>7.4*2+3.62*2</f>
        <v>22.04</v>
      </c>
      <c r="E25" s="120" t="s">
        <v>3</v>
      </c>
      <c r="F25" s="87" t="s">
        <v>62</v>
      </c>
      <c r="G25" s="119" t="s">
        <v>1</v>
      </c>
      <c r="H25" s="123" t="s">
        <v>2</v>
      </c>
      <c r="I25" s="119" t="s">
        <v>1</v>
      </c>
      <c r="J25" s="123" t="s">
        <v>2</v>
      </c>
      <c r="K25" s="119" t="s">
        <v>1</v>
      </c>
      <c r="L25" s="123" t="s">
        <v>2</v>
      </c>
      <c r="M25" s="877"/>
      <c r="N25" s="876"/>
      <c r="O25" s="877"/>
      <c r="P25" s="877"/>
      <c r="Q25" s="62"/>
      <c r="R25" s="62"/>
    </row>
    <row r="26" spans="1:18" ht="29.25" customHeight="1" thickBot="1" x14ac:dyDescent="0.3">
      <c r="E26" s="1993" t="s">
        <v>102</v>
      </c>
      <c r="F26" s="1994"/>
      <c r="G26" s="1993"/>
      <c r="H26" s="1994"/>
      <c r="I26" s="2010"/>
      <c r="J26" s="2011"/>
      <c r="K26" s="1993"/>
      <c r="L26" s="1994"/>
      <c r="M26" s="72"/>
      <c r="N26" s="62"/>
      <c r="Q26" s="62"/>
      <c r="R26" s="62"/>
    </row>
    <row r="27" spans="1:18" ht="29.25" customHeight="1" thickBot="1" x14ac:dyDescent="0.3">
      <c r="B27" s="886" t="s">
        <v>6</v>
      </c>
      <c r="C27" s="109" t="s">
        <v>7</v>
      </c>
      <c r="D27" s="878" t="s">
        <v>8</v>
      </c>
      <c r="E27" s="884" t="s">
        <v>9</v>
      </c>
      <c r="F27" s="884" t="s">
        <v>10</v>
      </c>
      <c r="G27" s="506" t="s">
        <v>9</v>
      </c>
      <c r="H27" s="304" t="s">
        <v>10</v>
      </c>
      <c r="I27" s="858" t="s">
        <v>9</v>
      </c>
      <c r="J27" s="859" t="s">
        <v>10</v>
      </c>
      <c r="K27" s="507" t="s">
        <v>9</v>
      </c>
      <c r="L27" s="884" t="s">
        <v>10</v>
      </c>
      <c r="M27" s="72"/>
      <c r="N27" s="62"/>
      <c r="Q27" s="62"/>
      <c r="R27" s="62"/>
    </row>
    <row r="28" spans="1:18" ht="42.75" customHeight="1" x14ac:dyDescent="0.25">
      <c r="A28" s="59">
        <v>1</v>
      </c>
      <c r="B28" s="481" t="s">
        <v>447</v>
      </c>
      <c r="C28" s="132" t="s">
        <v>306</v>
      </c>
      <c r="D28" s="483">
        <v>1</v>
      </c>
      <c r="E28" s="130"/>
      <c r="F28" s="130"/>
      <c r="G28" s="751"/>
      <c r="H28" s="306"/>
      <c r="I28" s="665"/>
      <c r="J28" s="480"/>
      <c r="K28" s="130"/>
      <c r="L28" s="483"/>
      <c r="M28" s="72"/>
      <c r="N28" s="62"/>
      <c r="Q28" s="62"/>
      <c r="R28" s="62"/>
    </row>
    <row r="29" spans="1:18" ht="42.75" customHeight="1" x14ac:dyDescent="0.25">
      <c r="A29" s="59">
        <f>+A28+1</f>
        <v>2</v>
      </c>
      <c r="B29" s="484" t="s">
        <v>448</v>
      </c>
      <c r="C29" s="887" t="s">
        <v>12</v>
      </c>
      <c r="D29" s="480">
        <v>23</v>
      </c>
      <c r="E29" s="78"/>
      <c r="F29" s="78"/>
      <c r="G29" s="665"/>
      <c r="H29" s="78"/>
      <c r="I29" s="665"/>
      <c r="J29" s="480"/>
      <c r="K29" s="78"/>
      <c r="L29" s="480"/>
      <c r="M29" s="72"/>
      <c r="N29" s="62"/>
      <c r="Q29" s="62"/>
      <c r="R29" s="62"/>
    </row>
    <row r="30" spans="1:18" ht="42.75" customHeight="1" x14ac:dyDescent="0.25">
      <c r="A30" s="59">
        <f t="shared" ref="A30" si="1">+A29+1</f>
        <v>3</v>
      </c>
      <c r="B30" s="484" t="s">
        <v>449</v>
      </c>
      <c r="C30" s="887" t="s">
        <v>11</v>
      </c>
      <c r="D30" s="480">
        <v>100</v>
      </c>
      <c r="E30" s="78"/>
      <c r="F30" s="78"/>
      <c r="G30" s="665"/>
      <c r="H30" s="78"/>
      <c r="I30" s="665"/>
      <c r="J30" s="480"/>
      <c r="K30" s="78"/>
      <c r="L30" s="480"/>
      <c r="M30" s="72"/>
      <c r="N30" s="62"/>
      <c r="Q30" s="62"/>
      <c r="R30" s="62"/>
    </row>
    <row r="31" spans="1:18" ht="57.75" customHeight="1" x14ac:dyDescent="0.25">
      <c r="A31" s="59"/>
      <c r="B31" s="484"/>
      <c r="C31" s="887"/>
      <c r="D31" s="480"/>
      <c r="E31" s="78"/>
      <c r="F31" s="78"/>
      <c r="G31" s="665"/>
      <c r="H31" s="78"/>
      <c r="I31" s="665"/>
      <c r="J31" s="480"/>
      <c r="K31" s="78"/>
      <c r="L31" s="480"/>
      <c r="M31" s="72"/>
      <c r="N31" s="62"/>
      <c r="Q31" s="62"/>
      <c r="R31" s="62"/>
    </row>
    <row r="32" spans="1:18" ht="42.75" customHeight="1" thickBot="1" x14ac:dyDescent="0.3">
      <c r="A32" s="172"/>
      <c r="B32" s="485"/>
      <c r="C32" s="111"/>
      <c r="D32" s="587"/>
      <c r="E32" s="110"/>
      <c r="F32" s="110"/>
      <c r="G32" s="86"/>
      <c r="H32" s="110"/>
      <c r="I32" s="86"/>
      <c r="J32" s="100"/>
      <c r="K32" s="110"/>
      <c r="L32" s="100"/>
      <c r="M32" s="72"/>
      <c r="N32" s="62"/>
      <c r="Q32" s="62"/>
      <c r="R32" s="62"/>
    </row>
    <row r="33" spans="2:18" ht="29.25" customHeight="1" thickBot="1" x14ac:dyDescent="0.3">
      <c r="B33" s="76"/>
      <c r="C33" s="77"/>
      <c r="D33" s="78"/>
      <c r="E33" s="79"/>
      <c r="F33" s="885">
        <f>SUM(F28:F32)</f>
        <v>0</v>
      </c>
      <c r="G33" s="749"/>
      <c r="H33" s="885">
        <f>SUM(H29:H32)</f>
        <v>0</v>
      </c>
      <c r="I33" s="78"/>
      <c r="J33" s="885">
        <f>SUM(J28:J32)</f>
        <v>0</v>
      </c>
      <c r="K33" s="78"/>
      <c r="L33" s="885">
        <f>SUM(L28:L32)</f>
        <v>0</v>
      </c>
      <c r="M33" s="72"/>
      <c r="N33" s="62"/>
      <c r="Q33" s="62"/>
      <c r="R33" s="62"/>
    </row>
    <row r="34" spans="2:18" x14ac:dyDescent="0.25">
      <c r="F34" s="62"/>
    </row>
    <row r="35" spans="2:18" x14ac:dyDescent="0.25">
      <c r="F35" s="62"/>
    </row>
    <row r="36" spans="2:18" x14ac:dyDescent="0.25">
      <c r="F36" s="62"/>
    </row>
    <row r="37" spans="2:18" ht="34.5" customHeight="1" x14ac:dyDescent="0.25">
      <c r="D37" s="95"/>
    </row>
    <row r="38" spans="2:18" ht="34.5" customHeight="1" x14ac:dyDescent="0.25">
      <c r="D38" s="95"/>
    </row>
    <row r="39" spans="2:18" ht="34.5" customHeight="1" x14ac:dyDescent="0.25">
      <c r="D39" s="95"/>
    </row>
  </sheetData>
  <mergeCells count="21">
    <mergeCell ref="N24:P24"/>
    <mergeCell ref="E26:F26"/>
    <mergeCell ref="G26:H26"/>
    <mergeCell ref="I26:J26"/>
    <mergeCell ref="K26:L26"/>
    <mergeCell ref="E23:L23"/>
    <mergeCell ref="E24:F24"/>
    <mergeCell ref="G24:H24"/>
    <mergeCell ref="I24:J24"/>
    <mergeCell ref="K24:L24"/>
    <mergeCell ref="E13:F13"/>
    <mergeCell ref="G13:H13"/>
    <mergeCell ref="I13:J13"/>
    <mergeCell ref="K13:L13"/>
    <mergeCell ref="E10:L10"/>
    <mergeCell ref="E9:F9"/>
    <mergeCell ref="G11:H11"/>
    <mergeCell ref="I11:J11"/>
    <mergeCell ref="K11:L11"/>
    <mergeCell ref="N11:P11"/>
    <mergeCell ref="E11:F1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B1:T26"/>
  <sheetViews>
    <sheetView view="pageBreakPreview" topLeftCell="C1" zoomScale="85" zoomScaleNormal="100" zoomScaleSheetLayoutView="85" workbookViewId="0">
      <selection activeCell="F37" sqref="F37"/>
    </sheetView>
  </sheetViews>
  <sheetFormatPr baseColWidth="10" defaultColWidth="11.44140625" defaultRowHeight="14.4" x14ac:dyDescent="0.3"/>
  <cols>
    <col min="1" max="1" width="11.44140625" style="40"/>
    <col min="2" max="2" width="15.5546875" style="40" customWidth="1"/>
    <col min="3" max="3" width="18.109375" style="40" customWidth="1"/>
    <col min="4" max="4" width="33.5546875" style="40" customWidth="1"/>
    <col min="5" max="5" width="42.44140625" style="40" bestFit="1" customWidth="1"/>
    <col min="6" max="6" width="31.88671875" style="40" customWidth="1"/>
    <col min="7" max="8" width="29.109375" style="40" customWidth="1"/>
    <col min="9" max="9" width="20" style="40" customWidth="1"/>
    <col min="10" max="13" width="29.44140625" style="40" customWidth="1"/>
    <col min="14" max="14" width="28.33203125" style="40" customWidth="1"/>
    <col min="15" max="20" width="21.88671875" style="40" customWidth="1"/>
    <col min="21" max="16384" width="11.44140625" style="40"/>
  </cols>
  <sheetData>
    <row r="1" spans="2:20" ht="15" x14ac:dyDescent="0.25">
      <c r="B1" s="40" t="s">
        <v>18</v>
      </c>
    </row>
    <row r="2" spans="2:20" ht="15.75" x14ac:dyDescent="0.25">
      <c r="B2" s="313" t="s">
        <v>162</v>
      </c>
    </row>
    <row r="3" spans="2:20" ht="15.75" x14ac:dyDescent="0.25">
      <c r="N3" s="314" t="s">
        <v>163</v>
      </c>
      <c r="O3" s="314" t="s">
        <v>164</v>
      </c>
      <c r="P3" s="314" t="s">
        <v>165</v>
      </c>
      <c r="Q3" s="314" t="s">
        <v>166</v>
      </c>
      <c r="R3" s="314" t="s">
        <v>167</v>
      </c>
      <c r="S3" s="314" t="s">
        <v>168</v>
      </c>
      <c r="T3" s="314" t="s">
        <v>169</v>
      </c>
    </row>
    <row r="4" spans="2:20" ht="15.75" customHeight="1" x14ac:dyDescent="0.25">
      <c r="B4" s="315" t="s">
        <v>170</v>
      </c>
      <c r="C4" s="2166" t="s">
        <v>171</v>
      </c>
      <c r="D4" s="2166"/>
      <c r="E4" s="316" t="s">
        <v>172</v>
      </c>
      <c r="F4" s="317" t="s">
        <v>173</v>
      </c>
      <c r="G4" s="317" t="s">
        <v>174</v>
      </c>
      <c r="H4" s="317" t="s">
        <v>31</v>
      </c>
      <c r="I4" s="317" t="s">
        <v>36</v>
      </c>
      <c r="J4" s="318" t="s">
        <v>175</v>
      </c>
      <c r="K4" s="314" t="s">
        <v>176</v>
      </c>
      <c r="L4" s="314" t="s">
        <v>177</v>
      </c>
      <c r="M4" s="314" t="s">
        <v>178</v>
      </c>
      <c r="N4" s="319">
        <v>42222</v>
      </c>
      <c r="O4" s="319">
        <v>42229</v>
      </c>
      <c r="P4" s="319">
        <v>42236</v>
      </c>
      <c r="Q4" s="319">
        <v>42243</v>
      </c>
      <c r="R4" s="319">
        <v>42250</v>
      </c>
      <c r="S4" s="319">
        <v>42257</v>
      </c>
      <c r="T4" s="319">
        <v>42264</v>
      </c>
    </row>
    <row r="5" spans="2:20" ht="30.75" customHeight="1" x14ac:dyDescent="0.25">
      <c r="B5" s="320" t="s">
        <v>179</v>
      </c>
      <c r="C5" s="2163" t="s">
        <v>180</v>
      </c>
      <c r="D5" s="2164"/>
      <c r="E5" s="321" t="s">
        <v>181</v>
      </c>
      <c r="F5" s="322">
        <f t="shared" ref="F5:F8" si="0">G5*1.12</f>
        <v>1593271.0080000001</v>
      </c>
      <c r="G5" s="323">
        <v>1422563.4</v>
      </c>
      <c r="H5" s="322">
        <f>F5-G5</f>
        <v>170707.60800000024</v>
      </c>
      <c r="I5" s="324">
        <v>772000</v>
      </c>
      <c r="J5" s="325" t="s">
        <v>182</v>
      </c>
      <c r="K5" s="326">
        <f>SUM(N5:T5)+I5</f>
        <v>1422563.4</v>
      </c>
      <c r="L5" s="326">
        <f>G5-K5</f>
        <v>0</v>
      </c>
      <c r="M5" s="326">
        <f>L5+H5</f>
        <v>170707.60800000024</v>
      </c>
      <c r="N5" s="327">
        <v>650563.4</v>
      </c>
      <c r="O5" s="328"/>
      <c r="P5" s="328"/>
      <c r="Q5" s="328"/>
      <c r="R5" s="328"/>
      <c r="S5" s="328"/>
      <c r="T5" s="328"/>
    </row>
    <row r="6" spans="2:20" ht="29.25" customHeight="1" x14ac:dyDescent="0.25">
      <c r="B6" s="320" t="s">
        <v>179</v>
      </c>
      <c r="C6" s="2163" t="s">
        <v>183</v>
      </c>
      <c r="D6" s="2164"/>
      <c r="E6" s="321" t="s">
        <v>184</v>
      </c>
      <c r="F6" s="323">
        <f>G6*1.12</f>
        <v>1181895.6800000002</v>
      </c>
      <c r="G6" s="323">
        <v>1055264</v>
      </c>
      <c r="H6" s="322">
        <f t="shared" ref="H6:H12" si="1">F6-G6</f>
        <v>126631.68000000017</v>
      </c>
      <c r="I6" s="322">
        <v>527632</v>
      </c>
      <c r="J6" s="320" t="s">
        <v>182</v>
      </c>
      <c r="K6" s="326">
        <f t="shared" ref="K6:K11" si="2">SUM(N6:T6)+I6</f>
        <v>1055264</v>
      </c>
      <c r="L6" s="326">
        <f t="shared" ref="L6:L12" si="3">G6-K6</f>
        <v>0</v>
      </c>
      <c r="M6" s="326">
        <f t="shared" ref="M6:M11" si="4">L6+H6</f>
        <v>126631.68000000017</v>
      </c>
      <c r="N6" s="329"/>
      <c r="O6" s="330"/>
      <c r="P6" s="330"/>
      <c r="Q6" s="331">
        <v>527632</v>
      </c>
      <c r="R6" s="330"/>
      <c r="S6" s="330"/>
      <c r="T6" s="330"/>
    </row>
    <row r="7" spans="2:20" ht="49.5" customHeight="1" x14ac:dyDescent="0.25">
      <c r="B7" s="320" t="s">
        <v>179</v>
      </c>
      <c r="C7" s="2163" t="s">
        <v>185</v>
      </c>
      <c r="D7" s="2164"/>
      <c r="E7" s="321" t="s">
        <v>186</v>
      </c>
      <c r="F7" s="323">
        <f t="shared" si="0"/>
        <v>12533151.680000002</v>
      </c>
      <c r="G7" s="323">
        <f>10909114+(12*8850)+(2*87500)</f>
        <v>11190314</v>
      </c>
      <c r="H7" s="322">
        <f t="shared" si="1"/>
        <v>1342837.6800000016</v>
      </c>
      <c r="I7" s="323">
        <f>3466403.64-593762.61+1110375.16</f>
        <v>3983016.1900000004</v>
      </c>
      <c r="J7" s="67" t="s">
        <v>187</v>
      </c>
      <c r="K7" s="326">
        <f t="shared" si="2"/>
        <v>11190314</v>
      </c>
      <c r="L7" s="326">
        <f t="shared" si="3"/>
        <v>0</v>
      </c>
      <c r="M7" s="326">
        <f t="shared" si="4"/>
        <v>1342837.6800000016</v>
      </c>
      <c r="N7" s="332"/>
      <c r="O7" s="323">
        <v>100000</v>
      </c>
      <c r="P7" s="323">
        <v>2500000</v>
      </c>
      <c r="Q7" s="330"/>
      <c r="R7" s="323">
        <v>2500000</v>
      </c>
      <c r="S7" s="331">
        <v>2107297.81</v>
      </c>
      <c r="T7" s="330"/>
    </row>
    <row r="8" spans="2:20" ht="31.5" customHeight="1" x14ac:dyDescent="0.3">
      <c r="B8" s="320" t="s">
        <v>179</v>
      </c>
      <c r="C8" s="2163" t="s">
        <v>188</v>
      </c>
      <c r="D8" s="2164"/>
      <c r="E8" s="321" t="s">
        <v>189</v>
      </c>
      <c r="F8" s="323">
        <f t="shared" si="0"/>
        <v>222600.00000000003</v>
      </c>
      <c r="G8" s="323">
        <v>198750</v>
      </c>
      <c r="H8" s="322">
        <f t="shared" si="1"/>
        <v>23850.000000000029</v>
      </c>
      <c r="I8" s="333">
        <v>139125.14000000001</v>
      </c>
      <c r="J8" s="325" t="s">
        <v>190</v>
      </c>
      <c r="K8" s="326">
        <f t="shared" si="2"/>
        <v>198750</v>
      </c>
      <c r="L8" s="326">
        <f t="shared" si="3"/>
        <v>0</v>
      </c>
      <c r="M8" s="326">
        <f t="shared" si="4"/>
        <v>23850.000000000029</v>
      </c>
      <c r="N8" s="334"/>
      <c r="O8" s="333"/>
      <c r="P8" s="335">
        <v>59624.86</v>
      </c>
      <c r="Q8" s="333"/>
      <c r="R8" s="333"/>
      <c r="S8" s="333"/>
      <c r="T8" s="333"/>
    </row>
    <row r="9" spans="2:20" ht="46.5" customHeight="1" x14ac:dyDescent="0.3">
      <c r="B9" s="320" t="s">
        <v>179</v>
      </c>
      <c r="C9" s="2163" t="s">
        <v>191</v>
      </c>
      <c r="D9" s="2164"/>
      <c r="E9" s="321" t="s">
        <v>192</v>
      </c>
      <c r="F9" s="323">
        <v>3663665.6</v>
      </c>
      <c r="G9" s="323">
        <v>3271130</v>
      </c>
      <c r="H9" s="322">
        <f t="shared" si="1"/>
        <v>392535.60000000009</v>
      </c>
      <c r="I9" s="323">
        <f>(G9*30%)+273936+154196.12+95202.58+215255.48+60152.4</f>
        <v>1780081.58</v>
      </c>
      <c r="J9" s="336">
        <v>0.3</v>
      </c>
      <c r="K9" s="326">
        <f>SUM(N9:T9)+I9</f>
        <v>3271130</v>
      </c>
      <c r="L9" s="326">
        <f t="shared" si="3"/>
        <v>0</v>
      </c>
      <c r="M9" s="326">
        <f t="shared" si="4"/>
        <v>392535.60000000009</v>
      </c>
      <c r="N9" s="323"/>
      <c r="O9" s="323">
        <v>112079.88</v>
      </c>
      <c r="P9" s="323">
        <v>800000</v>
      </c>
      <c r="Q9" s="331">
        <v>578968.54</v>
      </c>
      <c r="R9" s="323"/>
      <c r="S9" s="323"/>
      <c r="T9" s="320"/>
    </row>
    <row r="10" spans="2:20" ht="24.75" customHeight="1" x14ac:dyDescent="0.3">
      <c r="B10" s="320" t="s">
        <v>179</v>
      </c>
      <c r="C10" s="2163" t="s">
        <v>35</v>
      </c>
      <c r="D10" s="2164"/>
      <c r="E10" s="337" t="s">
        <v>193</v>
      </c>
      <c r="F10" s="323">
        <f>G10*1.12</f>
        <v>1061760</v>
      </c>
      <c r="G10" s="323">
        <v>948000</v>
      </c>
      <c r="H10" s="322">
        <f t="shared" si="1"/>
        <v>113760</v>
      </c>
      <c r="I10" s="323">
        <f>100000+80000+80000+80000</f>
        <v>340000</v>
      </c>
      <c r="J10" s="66"/>
      <c r="K10" s="326">
        <f t="shared" si="2"/>
        <v>948000</v>
      </c>
      <c r="L10" s="326">
        <f t="shared" si="3"/>
        <v>0</v>
      </c>
      <c r="M10" s="326">
        <f>L10+H10</f>
        <v>113760</v>
      </c>
      <c r="N10" s="332"/>
      <c r="O10" s="338"/>
      <c r="P10" s="323"/>
      <c r="Q10" s="323"/>
      <c r="R10" s="323">
        <v>80000</v>
      </c>
      <c r="S10" s="323">
        <v>80000</v>
      </c>
      <c r="T10" s="331">
        <v>448000</v>
      </c>
    </row>
    <row r="11" spans="2:20" ht="42.75" customHeight="1" x14ac:dyDescent="0.3">
      <c r="B11" s="320" t="s">
        <v>179</v>
      </c>
      <c r="C11" s="2163" t="s">
        <v>194</v>
      </c>
      <c r="D11" s="2164"/>
      <c r="E11" s="321" t="s">
        <v>195</v>
      </c>
      <c r="F11" s="323">
        <f>G11*1.12</f>
        <v>1314488.0000000002</v>
      </c>
      <c r="G11" s="322">
        <v>1173650</v>
      </c>
      <c r="H11" s="322">
        <f t="shared" si="1"/>
        <v>140838.00000000023</v>
      </c>
      <c r="I11" s="322">
        <f>(G11*50%)+75500</f>
        <v>662325</v>
      </c>
      <c r="J11" s="339">
        <v>0.5</v>
      </c>
      <c r="K11" s="326">
        <f t="shared" si="2"/>
        <v>1173650</v>
      </c>
      <c r="L11" s="326">
        <f t="shared" si="3"/>
        <v>0</v>
      </c>
      <c r="M11" s="326">
        <f t="shared" si="4"/>
        <v>140838.00000000023</v>
      </c>
      <c r="N11" s="67"/>
      <c r="O11" s="322"/>
      <c r="P11" s="322"/>
      <c r="Q11" s="322"/>
      <c r="R11" s="322"/>
      <c r="S11" s="340">
        <v>511325</v>
      </c>
      <c r="T11" s="322"/>
    </row>
    <row r="12" spans="2:20" ht="30" customHeight="1" x14ac:dyDescent="0.3">
      <c r="B12" s="320" t="s">
        <v>179</v>
      </c>
      <c r="C12" s="2163" t="s">
        <v>196</v>
      </c>
      <c r="D12" s="2164"/>
      <c r="E12" s="337" t="s">
        <v>197</v>
      </c>
      <c r="F12" s="323">
        <f>G12*1.12</f>
        <v>367080.44800000003</v>
      </c>
      <c r="G12" s="323">
        <f>287750.4+40000</f>
        <v>327750.40000000002</v>
      </c>
      <c r="H12" s="322">
        <f t="shared" si="1"/>
        <v>39330.04800000001</v>
      </c>
      <c r="I12" s="341">
        <f>30638.4+34032+41034+36183.6+35202+39432+32360.4</f>
        <v>248882.4</v>
      </c>
      <c r="J12" s="342"/>
      <c r="K12" s="326">
        <f>SUM(N12:T12)+I12</f>
        <v>327750.40000000002</v>
      </c>
      <c r="L12" s="326">
        <f t="shared" si="3"/>
        <v>0</v>
      </c>
      <c r="M12" s="326">
        <f>L12+H12</f>
        <v>39330.04800000001</v>
      </c>
      <c r="N12" s="322">
        <v>38868</v>
      </c>
      <c r="O12" s="340">
        <v>40000</v>
      </c>
      <c r="P12" s="322"/>
      <c r="Q12" s="322"/>
      <c r="R12" s="322"/>
      <c r="S12" s="322"/>
      <c r="T12" s="323"/>
    </row>
    <row r="14" spans="2:20" x14ac:dyDescent="0.3">
      <c r="C14" s="343"/>
      <c r="D14" s="343"/>
      <c r="E14" s="344"/>
    </row>
    <row r="15" spans="2:20" x14ac:dyDescent="0.3">
      <c r="C15" s="2165"/>
      <c r="D15" s="2165"/>
      <c r="E15" s="265"/>
    </row>
    <row r="16" spans="2:20" x14ac:dyDescent="0.3">
      <c r="C16" s="345"/>
      <c r="D16" s="345"/>
      <c r="E16" s="345"/>
    </row>
    <row r="26" spans="9:9" x14ac:dyDescent="0.3">
      <c r="I26" s="70"/>
    </row>
  </sheetData>
  <mergeCells count="10">
    <mergeCell ref="C10:D10"/>
    <mergeCell ref="C11:D11"/>
    <mergeCell ref="C12:D12"/>
    <mergeCell ref="C15:D15"/>
    <mergeCell ref="C4:D4"/>
    <mergeCell ref="C5:D5"/>
    <mergeCell ref="C6:D6"/>
    <mergeCell ref="C7:D7"/>
    <mergeCell ref="C8:D8"/>
    <mergeCell ref="C9:D9"/>
  </mergeCells>
  <pageMargins left="0.7" right="0.7" top="0.75" bottom="0.75" header="0.3" footer="0.3"/>
  <pageSetup scale="24" orientation="landscape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C4:H10"/>
  <sheetViews>
    <sheetView workbookViewId="0">
      <selection activeCell="E4" sqref="E4:F5"/>
    </sheetView>
  </sheetViews>
  <sheetFormatPr baseColWidth="10" defaultRowHeight="14.4" x14ac:dyDescent="0.3"/>
  <cols>
    <col min="3" max="3" width="16.109375" customWidth="1"/>
    <col min="4" max="4" width="53.6640625" customWidth="1"/>
    <col min="7" max="7" width="21.44140625" customWidth="1"/>
    <col min="8" max="8" width="34.33203125" customWidth="1"/>
  </cols>
  <sheetData>
    <row r="4" spans="3:8" ht="22.5" customHeight="1" x14ac:dyDescent="0.3">
      <c r="C4" s="40"/>
      <c r="D4" s="475" t="s">
        <v>95</v>
      </c>
      <c r="E4" s="40"/>
      <c r="F4" s="40"/>
      <c r="G4" s="1874"/>
      <c r="H4" s="1874"/>
    </row>
    <row r="5" spans="3:8" ht="18.75" x14ac:dyDescent="0.3">
      <c r="C5" s="40"/>
      <c r="D5" s="151" t="s">
        <v>161</v>
      </c>
      <c r="E5" s="155"/>
      <c r="F5" s="155"/>
      <c r="G5" s="476" t="s">
        <v>264</v>
      </c>
      <c r="H5" s="476"/>
    </row>
    <row r="6" spans="3:8" ht="40.5" customHeight="1" x14ac:dyDescent="0.3">
      <c r="C6" s="40"/>
      <c r="D6" s="152"/>
      <c r="E6" s="151"/>
      <c r="F6" s="151"/>
      <c r="G6" s="2167" t="s">
        <v>263</v>
      </c>
      <c r="H6" s="2167"/>
    </row>
    <row r="7" spans="3:8" ht="20.25" customHeight="1" x14ac:dyDescent="0.25">
      <c r="C7" s="40"/>
      <c r="D7" s="477" t="s">
        <v>6</v>
      </c>
      <c r="E7" s="477" t="s">
        <v>7</v>
      </c>
      <c r="F7" s="478" t="s">
        <v>8</v>
      </c>
      <c r="G7" s="479" t="s">
        <v>9</v>
      </c>
      <c r="H7" s="477" t="s">
        <v>28</v>
      </c>
    </row>
    <row r="8" spans="3:8" ht="110.25" customHeight="1" x14ac:dyDescent="0.3">
      <c r="C8" s="67">
        <v>1</v>
      </c>
      <c r="D8" s="210" t="s">
        <v>262</v>
      </c>
      <c r="E8" s="67" t="s">
        <v>12</v>
      </c>
      <c r="F8" s="146">
        <v>4.5199999999999996</v>
      </c>
      <c r="G8" s="145">
        <v>11928.59</v>
      </c>
      <c r="H8" s="139">
        <f>+G8*F8</f>
        <v>53917.226799999997</v>
      </c>
    </row>
    <row r="10" spans="3:8" x14ac:dyDescent="0.3">
      <c r="D10" s="70" t="s">
        <v>265</v>
      </c>
    </row>
  </sheetData>
  <mergeCells count="2">
    <mergeCell ref="G4:H4"/>
    <mergeCell ref="G6:H6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"/>
  <sheetViews>
    <sheetView workbookViewId="0">
      <selection activeCell="I16" sqref="I16"/>
    </sheetView>
  </sheetViews>
  <sheetFormatPr baseColWidth="10" defaultRowHeight="14.4" x14ac:dyDescent="0.3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L227"/>
  <sheetViews>
    <sheetView zoomScale="85" zoomScaleNormal="85" workbookViewId="0">
      <selection activeCell="F12" sqref="F12"/>
    </sheetView>
  </sheetViews>
  <sheetFormatPr baseColWidth="10" defaultColWidth="11.44140625" defaultRowHeight="15" x14ac:dyDescent="0.25"/>
  <cols>
    <col min="1" max="1" width="9.44140625" style="58" customWidth="1"/>
    <col min="2" max="2" width="118.33203125" style="58" customWidth="1"/>
    <col min="3" max="3" width="11.44140625" style="58"/>
    <col min="4" max="4" width="16.44140625" style="58" bestFit="1" customWidth="1"/>
    <col min="5" max="5" width="14.33203125" style="58" customWidth="1"/>
    <col min="6" max="6" width="32.44140625" style="58" customWidth="1"/>
    <col min="7" max="7" width="20.5546875" style="58" customWidth="1"/>
    <col min="8" max="8" width="17.5546875" style="58" customWidth="1"/>
    <col min="9" max="9" width="17" style="58" customWidth="1"/>
    <col min="10" max="10" width="25.88671875" style="58" customWidth="1"/>
    <col min="11" max="11" width="20" style="58" customWidth="1"/>
    <col min="12" max="12" width="21.33203125" style="58" customWidth="1"/>
    <col min="13" max="16384" width="11.44140625" style="58"/>
  </cols>
  <sheetData>
    <row r="2" spans="1:12" ht="15.6" x14ac:dyDescent="0.3">
      <c r="A2" s="57" t="s">
        <v>722</v>
      </c>
    </row>
    <row r="4" spans="1:12" x14ac:dyDescent="0.25">
      <c r="A4" s="58" t="s">
        <v>30</v>
      </c>
    </row>
    <row r="6" spans="1:12" ht="15.6" thickBot="1" x14ac:dyDescent="0.3">
      <c r="D6" s="60"/>
      <c r="E6" s="60"/>
      <c r="F6" s="60"/>
      <c r="G6" s="60"/>
      <c r="H6" s="60"/>
      <c r="I6" s="60"/>
      <c r="J6" s="60"/>
      <c r="K6" s="60"/>
      <c r="L6" s="60"/>
    </row>
    <row r="7" spans="1:12" ht="16.5" customHeight="1" thickBot="1" x14ac:dyDescent="0.35">
      <c r="A7" s="819"/>
      <c r="B7" s="820"/>
      <c r="C7" s="820"/>
      <c r="D7" s="821"/>
      <c r="E7" s="822" t="s">
        <v>245</v>
      </c>
      <c r="F7" s="822"/>
      <c r="G7" s="822"/>
      <c r="H7" s="822"/>
      <c r="I7" s="822"/>
      <c r="J7" s="823"/>
      <c r="K7" s="60"/>
      <c r="L7" s="60"/>
    </row>
    <row r="8" spans="1:12" x14ac:dyDescent="0.25">
      <c r="B8" s="58">
        <f>150000/9</f>
        <v>16666.666666666668</v>
      </c>
      <c r="D8" s="60"/>
      <c r="E8" s="1796" t="s">
        <v>0</v>
      </c>
      <c r="F8" s="1797"/>
      <c r="G8" s="1796" t="s">
        <v>0</v>
      </c>
      <c r="H8" s="1797"/>
      <c r="I8" s="1796" t="s">
        <v>0</v>
      </c>
      <c r="J8" s="1797"/>
      <c r="K8" s="60"/>
      <c r="L8" s="60"/>
    </row>
    <row r="9" spans="1:12" ht="15.6" thickBot="1" x14ac:dyDescent="0.3">
      <c r="D9" s="60"/>
      <c r="E9" s="810" t="s">
        <v>1</v>
      </c>
      <c r="F9" s="811" t="s">
        <v>2</v>
      </c>
      <c r="G9" s="810" t="s">
        <v>1</v>
      </c>
      <c r="H9" s="811" t="s">
        <v>2</v>
      </c>
      <c r="I9" s="810" t="s">
        <v>3</v>
      </c>
      <c r="J9" s="811" t="s">
        <v>4</v>
      </c>
      <c r="K9" s="60"/>
      <c r="L9" s="60"/>
    </row>
    <row r="10" spans="1:12" ht="43.5" customHeight="1" thickBot="1" x14ac:dyDescent="0.3">
      <c r="D10" s="60"/>
      <c r="E10" s="1798" t="s">
        <v>426</v>
      </c>
      <c r="F10" s="1799"/>
      <c r="G10" s="1793"/>
      <c r="H10" s="1794"/>
      <c r="I10" s="1793"/>
      <c r="J10" s="1795"/>
      <c r="K10" s="824"/>
      <c r="L10" s="60"/>
    </row>
    <row r="11" spans="1:12" ht="15.6" x14ac:dyDescent="0.3">
      <c r="A11" s="870"/>
      <c r="B11" s="104"/>
      <c r="C11" s="1472" t="s">
        <v>7</v>
      </c>
      <c r="D11" s="1756" t="s">
        <v>8</v>
      </c>
      <c r="E11" s="1754" t="s">
        <v>9</v>
      </c>
      <c r="F11" s="1756" t="s">
        <v>10</v>
      </c>
      <c r="G11" s="1755"/>
      <c r="H11" s="1756"/>
      <c r="L11" s="60"/>
    </row>
    <row r="12" spans="1:12" ht="72.75" customHeight="1" x14ac:dyDescent="0.3">
      <c r="A12" s="1473">
        <v>1</v>
      </c>
      <c r="B12" s="1376" t="s">
        <v>1181</v>
      </c>
      <c r="C12" s="1474" t="s">
        <v>11</v>
      </c>
      <c r="D12" s="113">
        <v>723.48</v>
      </c>
      <c r="E12" s="813">
        <v>10000</v>
      </c>
      <c r="F12" s="818">
        <f>D12*E12</f>
        <v>7234800</v>
      </c>
      <c r="G12" s="817"/>
      <c r="H12" s="818"/>
      <c r="K12" s="812"/>
      <c r="L12" s="60"/>
    </row>
    <row r="13" spans="1:12" ht="15.75" customHeight="1" thickBot="1" x14ac:dyDescent="0.35">
      <c r="A13" s="509"/>
      <c r="B13" s="117"/>
      <c r="C13" s="117"/>
      <c r="D13" s="815"/>
      <c r="E13" s="841"/>
      <c r="F13" s="832"/>
      <c r="G13" s="814"/>
      <c r="H13" s="815"/>
      <c r="K13" s="60"/>
      <c r="L13" s="60"/>
    </row>
    <row r="14" spans="1:12" ht="15.75" customHeight="1" x14ac:dyDescent="0.3">
      <c r="D14" s="60"/>
      <c r="E14" s="61"/>
      <c r="F14" s="61"/>
      <c r="G14" s="61"/>
      <c r="H14" s="61"/>
      <c r="I14" s="830"/>
      <c r="J14" s="830"/>
      <c r="K14" s="60"/>
      <c r="L14" s="60"/>
    </row>
    <row r="15" spans="1:12" ht="15.75" customHeight="1" x14ac:dyDescent="0.3">
      <c r="D15" s="60"/>
      <c r="E15" s="61"/>
      <c r="F15" s="61"/>
      <c r="G15" s="61"/>
      <c r="H15" s="61"/>
      <c r="I15" s="830"/>
      <c r="J15" s="830"/>
      <c r="K15" s="60"/>
      <c r="L15" s="60"/>
    </row>
    <row r="16" spans="1:12" ht="31.5" customHeight="1" x14ac:dyDescent="0.25">
      <c r="D16" s="61"/>
      <c r="E16" s="847"/>
      <c r="F16" s="848"/>
      <c r="G16" s="848"/>
      <c r="H16" s="848"/>
      <c r="I16" s="848"/>
    </row>
    <row r="18" spans="1:4" ht="17.399999999999999" x14ac:dyDescent="0.3">
      <c r="B18" s="1378" t="s">
        <v>747</v>
      </c>
      <c r="C18" s="58" t="s">
        <v>19</v>
      </c>
      <c r="D18" s="58" t="s">
        <v>684</v>
      </c>
    </row>
    <row r="19" spans="1:4" x14ac:dyDescent="0.25">
      <c r="B19" s="172"/>
    </row>
    <row r="20" spans="1:4" x14ac:dyDescent="0.25">
      <c r="B20" s="1366" t="s">
        <v>729</v>
      </c>
    </row>
    <row r="21" spans="1:4" x14ac:dyDescent="0.25">
      <c r="A21" s="172">
        <v>1</v>
      </c>
      <c r="B21" s="58" t="s">
        <v>723</v>
      </c>
      <c r="C21" s="1369" t="s">
        <v>15</v>
      </c>
      <c r="D21" s="1375">
        <f>1381/9</f>
        <v>153.44444444444446</v>
      </c>
    </row>
    <row r="22" spans="1:4" x14ac:dyDescent="0.25">
      <c r="A22" s="172">
        <v>2</v>
      </c>
      <c r="B22" s="58" t="s">
        <v>726</v>
      </c>
      <c r="C22" s="1369" t="s">
        <v>724</v>
      </c>
      <c r="D22" s="1375">
        <f>(1381/60)</f>
        <v>23.016666666666666</v>
      </c>
    </row>
    <row r="23" spans="1:4" x14ac:dyDescent="0.25">
      <c r="A23" s="172">
        <v>3</v>
      </c>
      <c r="B23" s="58" t="s">
        <v>725</v>
      </c>
      <c r="C23" s="1369" t="s">
        <v>724</v>
      </c>
      <c r="D23" s="1233">
        <v>20</v>
      </c>
    </row>
    <row r="24" spans="1:4" x14ac:dyDescent="0.25">
      <c r="A24" s="172">
        <v>4</v>
      </c>
      <c r="B24" s="58" t="s">
        <v>727</v>
      </c>
      <c r="C24" s="1369" t="s">
        <v>724</v>
      </c>
      <c r="D24" s="1375">
        <f>1381/60</f>
        <v>23.016666666666666</v>
      </c>
    </row>
    <row r="25" spans="1:4" x14ac:dyDescent="0.25">
      <c r="A25" s="172">
        <v>5</v>
      </c>
      <c r="B25" s="58" t="s">
        <v>728</v>
      </c>
      <c r="C25" s="1369" t="s">
        <v>19</v>
      </c>
      <c r="D25" s="1233"/>
    </row>
    <row r="26" spans="1:4" x14ac:dyDescent="0.25">
      <c r="A26" s="172"/>
      <c r="C26" s="1369"/>
      <c r="D26" s="1369"/>
    </row>
    <row r="27" spans="1:4" x14ac:dyDescent="0.25">
      <c r="B27" s="1367" t="s">
        <v>730</v>
      </c>
      <c r="C27" s="1369"/>
      <c r="D27" s="1369"/>
    </row>
    <row r="28" spans="1:4" x14ac:dyDescent="0.25">
      <c r="A28" s="172">
        <v>1</v>
      </c>
      <c r="B28" s="58" t="s">
        <v>518</v>
      </c>
      <c r="C28" s="1369" t="s">
        <v>23</v>
      </c>
      <c r="D28" s="1375">
        <f>(200+239.48+283)*0.05</f>
        <v>36.124000000000002</v>
      </c>
    </row>
    <row r="29" spans="1:4" x14ac:dyDescent="0.25">
      <c r="A29" s="172">
        <v>2</v>
      </c>
      <c r="B29" s="58" t="s">
        <v>472</v>
      </c>
      <c r="C29" s="1369" t="s">
        <v>19</v>
      </c>
      <c r="D29" s="1369">
        <v>15</v>
      </c>
    </row>
    <row r="30" spans="1:4" x14ac:dyDescent="0.25">
      <c r="C30" s="1369"/>
      <c r="D30" s="1369"/>
    </row>
    <row r="31" spans="1:4" x14ac:dyDescent="0.25">
      <c r="B31" s="1367" t="s">
        <v>734</v>
      </c>
      <c r="C31" s="1369"/>
      <c r="D31" s="1369"/>
    </row>
    <row r="32" spans="1:4" x14ac:dyDescent="0.25">
      <c r="A32" s="172">
        <v>1</v>
      </c>
      <c r="B32" s="58" t="s">
        <v>735</v>
      </c>
      <c r="C32" s="1369" t="s">
        <v>19</v>
      </c>
      <c r="D32" s="1233">
        <v>14</v>
      </c>
    </row>
    <row r="33" spans="1:6" x14ac:dyDescent="0.25">
      <c r="A33" s="172">
        <v>2</v>
      </c>
      <c r="B33" s="58" t="s">
        <v>736</v>
      </c>
      <c r="C33" s="1369" t="s">
        <v>19</v>
      </c>
      <c r="D33" s="1233">
        <v>10</v>
      </c>
    </row>
    <row r="34" spans="1:6" x14ac:dyDescent="0.25">
      <c r="A34" s="172">
        <v>3</v>
      </c>
      <c r="B34" s="58" t="s">
        <v>737</v>
      </c>
      <c r="C34" s="1369" t="s">
        <v>20</v>
      </c>
      <c r="D34" s="1233">
        <v>15</v>
      </c>
    </row>
    <row r="35" spans="1:6" x14ac:dyDescent="0.25">
      <c r="A35" s="172">
        <v>4</v>
      </c>
      <c r="B35" s="58" t="s">
        <v>738</v>
      </c>
      <c r="C35" s="1369" t="s">
        <v>20</v>
      </c>
      <c r="D35" s="1233">
        <v>15</v>
      </c>
    </row>
    <row r="36" spans="1:6" x14ac:dyDescent="0.25">
      <c r="A36" s="172">
        <v>5</v>
      </c>
      <c r="B36" s="58" t="s">
        <v>739</v>
      </c>
      <c r="C36" s="1369" t="s">
        <v>20</v>
      </c>
      <c r="D36" s="1233">
        <v>10</v>
      </c>
    </row>
    <row r="37" spans="1:6" x14ac:dyDescent="0.25">
      <c r="A37" s="172">
        <v>6</v>
      </c>
      <c r="B37" s="58" t="s">
        <v>740</v>
      </c>
      <c r="C37" s="1369" t="s">
        <v>20</v>
      </c>
      <c r="D37" s="1233">
        <v>10</v>
      </c>
    </row>
    <row r="38" spans="1:6" x14ac:dyDescent="0.25">
      <c r="A38" s="172">
        <v>7</v>
      </c>
      <c r="B38" s="58" t="s">
        <v>741</v>
      </c>
      <c r="C38" s="1369" t="s">
        <v>298</v>
      </c>
      <c r="D38" s="1233">
        <v>30</v>
      </c>
    </row>
    <row r="39" spans="1:6" x14ac:dyDescent="0.25">
      <c r="A39" s="172">
        <v>8</v>
      </c>
      <c r="B39" s="58" t="s">
        <v>742</v>
      </c>
      <c r="C39" s="1369" t="s">
        <v>298</v>
      </c>
      <c r="D39" s="1233">
        <v>30</v>
      </c>
    </row>
    <row r="40" spans="1:6" x14ac:dyDescent="0.25">
      <c r="A40" s="172">
        <v>10</v>
      </c>
      <c r="B40" s="58" t="s">
        <v>751</v>
      </c>
      <c r="C40" s="1369" t="s">
        <v>750</v>
      </c>
      <c r="D40" s="1375">
        <f>(1385+470)/100</f>
        <v>18.55</v>
      </c>
      <c r="F40" s="172">
        <f>1385+470</f>
        <v>1855</v>
      </c>
    </row>
    <row r="41" spans="1:6" x14ac:dyDescent="0.25">
      <c r="A41" s="172"/>
      <c r="C41" s="1369"/>
      <c r="D41" s="1370"/>
    </row>
    <row r="42" spans="1:6" x14ac:dyDescent="0.25">
      <c r="A42" s="172"/>
      <c r="B42" s="1367" t="s">
        <v>748</v>
      </c>
      <c r="C42" s="1369"/>
      <c r="D42" s="1369"/>
    </row>
    <row r="43" spans="1:6" x14ac:dyDescent="0.25">
      <c r="A43" s="172">
        <v>1</v>
      </c>
      <c r="B43" s="58" t="s">
        <v>743</v>
      </c>
      <c r="C43" s="1369" t="s">
        <v>298</v>
      </c>
      <c r="D43" s="1233">
        <v>6</v>
      </c>
    </row>
    <row r="44" spans="1:6" x14ac:dyDescent="0.25">
      <c r="A44" s="172">
        <v>2</v>
      </c>
      <c r="B44" s="58" t="s">
        <v>744</v>
      </c>
      <c r="C44" s="1369" t="s">
        <v>298</v>
      </c>
      <c r="D44" s="1233">
        <v>6</v>
      </c>
    </row>
    <row r="45" spans="1:6" x14ac:dyDescent="0.25">
      <c r="A45" s="172">
        <v>3</v>
      </c>
      <c r="B45" s="58" t="s">
        <v>745</v>
      </c>
      <c r="C45" s="1369" t="s">
        <v>19</v>
      </c>
      <c r="D45" s="1233">
        <v>100</v>
      </c>
    </row>
    <row r="46" spans="1:6" x14ac:dyDescent="0.25">
      <c r="A46" s="172">
        <v>4</v>
      </c>
      <c r="B46" s="58" t="s">
        <v>746</v>
      </c>
      <c r="C46" s="1369" t="s">
        <v>19</v>
      </c>
      <c r="D46" s="1233">
        <v>100</v>
      </c>
    </row>
    <row r="47" spans="1:6" x14ac:dyDescent="0.25">
      <c r="A47" s="172">
        <v>5</v>
      </c>
      <c r="B47" s="58" t="s">
        <v>742</v>
      </c>
      <c r="C47" s="1369" t="s">
        <v>298</v>
      </c>
      <c r="D47" s="1233">
        <v>10</v>
      </c>
    </row>
    <row r="48" spans="1:6" x14ac:dyDescent="0.25">
      <c r="A48" s="172"/>
      <c r="C48" s="1369"/>
      <c r="D48" s="1369"/>
    </row>
    <row r="49" spans="1:4" x14ac:dyDescent="0.25">
      <c r="B49" s="1367" t="s">
        <v>749</v>
      </c>
      <c r="C49" s="1369"/>
      <c r="D49" s="1369"/>
    </row>
    <row r="50" spans="1:4" x14ac:dyDescent="0.25">
      <c r="A50" s="172">
        <v>1</v>
      </c>
      <c r="B50" s="58" t="s">
        <v>775</v>
      </c>
      <c r="C50" s="1369"/>
      <c r="D50" s="1369"/>
    </row>
    <row r="51" spans="1:4" x14ac:dyDescent="0.25">
      <c r="A51" s="172">
        <v>2</v>
      </c>
      <c r="B51" s="58" t="s">
        <v>776</v>
      </c>
      <c r="C51" s="1369" t="s">
        <v>19</v>
      </c>
      <c r="D51" s="1233">
        <f>45/3</f>
        <v>15</v>
      </c>
    </row>
    <row r="52" spans="1:4" x14ac:dyDescent="0.25">
      <c r="A52" s="172">
        <v>3</v>
      </c>
      <c r="B52" s="58" t="s">
        <v>777</v>
      </c>
      <c r="C52" s="1369" t="s">
        <v>19</v>
      </c>
      <c r="D52" s="1233">
        <f>90/3</f>
        <v>30</v>
      </c>
    </row>
    <row r="53" spans="1:4" x14ac:dyDescent="0.25">
      <c r="A53" s="172">
        <v>4</v>
      </c>
      <c r="B53" s="58" t="s">
        <v>778</v>
      </c>
      <c r="C53" s="1369" t="s">
        <v>19</v>
      </c>
      <c r="D53" s="1233">
        <f>60/3</f>
        <v>20</v>
      </c>
    </row>
    <row r="54" spans="1:4" x14ac:dyDescent="0.25">
      <c r="A54" s="172">
        <v>5</v>
      </c>
      <c r="B54" s="58" t="s">
        <v>752</v>
      </c>
      <c r="C54" s="1369"/>
      <c r="D54" s="1233"/>
    </row>
    <row r="55" spans="1:4" x14ac:dyDescent="0.25">
      <c r="A55" s="172">
        <v>6</v>
      </c>
      <c r="B55" s="58" t="s">
        <v>779</v>
      </c>
      <c r="C55" s="1369" t="s">
        <v>19</v>
      </c>
      <c r="D55" s="1375">
        <f>85/6</f>
        <v>14.166666666666666</v>
      </c>
    </row>
    <row r="56" spans="1:4" x14ac:dyDescent="0.25">
      <c r="A56" s="172">
        <v>7</v>
      </c>
      <c r="B56" s="58" t="s">
        <v>780</v>
      </c>
      <c r="C56" s="1369" t="s">
        <v>19</v>
      </c>
      <c r="D56" s="1375">
        <f>110/3</f>
        <v>36.666666666666664</v>
      </c>
    </row>
    <row r="57" spans="1:4" x14ac:dyDescent="0.25">
      <c r="A57" s="172">
        <v>8</v>
      </c>
      <c r="B57" s="58" t="s">
        <v>781</v>
      </c>
      <c r="C57" s="1369" t="s">
        <v>19</v>
      </c>
      <c r="D57" s="1375">
        <f>400/3</f>
        <v>133.33333333333334</v>
      </c>
    </row>
    <row r="58" spans="1:4" x14ac:dyDescent="0.25">
      <c r="A58" s="172">
        <v>9</v>
      </c>
      <c r="B58" s="58" t="s">
        <v>782</v>
      </c>
      <c r="C58" s="1369" t="s">
        <v>19</v>
      </c>
      <c r="D58" s="1375">
        <f>25/3</f>
        <v>8.3333333333333339</v>
      </c>
    </row>
    <row r="59" spans="1:4" x14ac:dyDescent="0.25">
      <c r="A59" s="172">
        <v>10</v>
      </c>
      <c r="B59" s="58" t="s">
        <v>783</v>
      </c>
      <c r="C59" s="1369" t="s">
        <v>19</v>
      </c>
      <c r="D59" s="1233">
        <v>1</v>
      </c>
    </row>
    <row r="60" spans="1:4" x14ac:dyDescent="0.25">
      <c r="A60" s="172">
        <v>11</v>
      </c>
      <c r="B60" s="58" t="s">
        <v>784</v>
      </c>
      <c r="C60" s="1369" t="s">
        <v>19</v>
      </c>
      <c r="D60" s="1233">
        <v>14</v>
      </c>
    </row>
    <row r="61" spans="1:4" x14ac:dyDescent="0.25">
      <c r="A61" s="172">
        <v>12</v>
      </c>
      <c r="B61" s="58" t="s">
        <v>753</v>
      </c>
      <c r="C61" s="1369" t="s">
        <v>41</v>
      </c>
      <c r="D61" s="1233">
        <f>100/20</f>
        <v>5</v>
      </c>
    </row>
    <row r="62" spans="1:4" x14ac:dyDescent="0.25">
      <c r="A62" s="172">
        <v>13</v>
      </c>
      <c r="B62" s="58" t="s">
        <v>754</v>
      </c>
      <c r="C62" s="1369" t="s">
        <v>41</v>
      </c>
      <c r="D62" s="1233">
        <v>5</v>
      </c>
    </row>
    <row r="63" spans="1:4" x14ac:dyDescent="0.25">
      <c r="A63" s="172">
        <v>14</v>
      </c>
      <c r="B63" s="58" t="s">
        <v>785</v>
      </c>
      <c r="C63" s="1369" t="s">
        <v>19</v>
      </c>
      <c r="D63" s="1233">
        <v>2</v>
      </c>
    </row>
    <row r="64" spans="1:4" x14ac:dyDescent="0.25">
      <c r="C64" s="1369"/>
      <c r="D64" s="1369"/>
    </row>
    <row r="65" spans="1:4" x14ac:dyDescent="0.25">
      <c r="B65" s="1367" t="s">
        <v>755</v>
      </c>
      <c r="C65" s="1369"/>
      <c r="D65" s="1369"/>
    </row>
    <row r="66" spans="1:4" x14ac:dyDescent="0.25">
      <c r="A66" s="172">
        <v>1</v>
      </c>
      <c r="B66" s="1368" t="s">
        <v>757</v>
      </c>
      <c r="C66" s="1369" t="s">
        <v>19</v>
      </c>
      <c r="D66" s="1233">
        <v>6</v>
      </c>
    </row>
    <row r="67" spans="1:4" x14ac:dyDescent="0.25">
      <c r="A67" s="172">
        <v>2</v>
      </c>
      <c r="B67" s="1368" t="s">
        <v>758</v>
      </c>
      <c r="C67" s="1369" t="s">
        <v>20</v>
      </c>
      <c r="D67" s="1233">
        <v>9</v>
      </c>
    </row>
    <row r="68" spans="1:4" x14ac:dyDescent="0.25">
      <c r="A68" s="172">
        <v>3</v>
      </c>
      <c r="B68" s="1368" t="s">
        <v>759</v>
      </c>
      <c r="C68" s="1369" t="s">
        <v>20</v>
      </c>
      <c r="D68" s="1233">
        <v>25</v>
      </c>
    </row>
    <row r="69" spans="1:4" x14ac:dyDescent="0.25">
      <c r="A69" s="172">
        <v>4</v>
      </c>
      <c r="B69" s="1368" t="s">
        <v>760</v>
      </c>
      <c r="C69" s="1369" t="s">
        <v>20</v>
      </c>
      <c r="D69" s="1233">
        <v>48</v>
      </c>
    </row>
    <row r="70" spans="1:4" x14ac:dyDescent="0.25">
      <c r="A70" s="172">
        <v>5</v>
      </c>
      <c r="B70" s="1368" t="s">
        <v>761</v>
      </c>
      <c r="C70" s="1369" t="s">
        <v>20</v>
      </c>
      <c r="D70" s="1233">
        <v>21</v>
      </c>
    </row>
    <row r="71" spans="1:4" x14ac:dyDescent="0.25">
      <c r="A71" s="172">
        <v>6</v>
      </c>
      <c r="B71" s="1368" t="s">
        <v>762</v>
      </c>
      <c r="C71" s="1369" t="s">
        <v>20</v>
      </c>
      <c r="D71" s="1233">
        <v>2</v>
      </c>
    </row>
    <row r="72" spans="1:4" x14ac:dyDescent="0.25">
      <c r="A72" s="172">
        <v>7</v>
      </c>
      <c r="B72" s="1368" t="s">
        <v>763</v>
      </c>
      <c r="C72" s="1369" t="s">
        <v>20</v>
      </c>
      <c r="D72" s="1233">
        <v>10</v>
      </c>
    </row>
    <row r="73" spans="1:4" x14ac:dyDescent="0.25">
      <c r="A73" s="172">
        <v>8</v>
      </c>
      <c r="B73" s="1368" t="s">
        <v>764</v>
      </c>
      <c r="C73" s="1369" t="s">
        <v>20</v>
      </c>
      <c r="D73" s="1233">
        <v>5</v>
      </c>
    </row>
    <row r="74" spans="1:4" x14ac:dyDescent="0.25">
      <c r="A74" s="172">
        <v>9</v>
      </c>
      <c r="B74" s="1368" t="s">
        <v>765</v>
      </c>
      <c r="C74" s="1369" t="s">
        <v>20</v>
      </c>
      <c r="D74" s="1233">
        <v>32</v>
      </c>
    </row>
    <row r="75" spans="1:4" x14ac:dyDescent="0.25">
      <c r="A75" s="172">
        <v>10</v>
      </c>
      <c r="B75" s="1368" t="s">
        <v>766</v>
      </c>
      <c r="C75" s="1369" t="s">
        <v>20</v>
      </c>
      <c r="D75" s="1233">
        <v>10</v>
      </c>
    </row>
    <row r="76" spans="1:4" x14ac:dyDescent="0.25">
      <c r="A76" s="172">
        <v>11</v>
      </c>
      <c r="B76" s="1368" t="s">
        <v>767</v>
      </c>
      <c r="C76" s="1369" t="s">
        <v>20</v>
      </c>
      <c r="D76" s="1233">
        <v>3</v>
      </c>
    </row>
    <row r="77" spans="1:4" x14ac:dyDescent="0.25">
      <c r="A77" s="172">
        <v>12</v>
      </c>
      <c r="B77" s="1368" t="s">
        <v>768</v>
      </c>
      <c r="C77" s="1369" t="s">
        <v>20</v>
      </c>
      <c r="D77" s="1233">
        <v>4</v>
      </c>
    </row>
    <row r="78" spans="1:4" x14ac:dyDescent="0.25">
      <c r="A78" s="172">
        <v>13</v>
      </c>
      <c r="B78" s="1368" t="s">
        <v>764</v>
      </c>
      <c r="C78" s="1369" t="s">
        <v>20</v>
      </c>
      <c r="D78" s="1233">
        <v>9</v>
      </c>
    </row>
    <row r="79" spans="1:4" x14ac:dyDescent="0.25">
      <c r="A79" s="172">
        <v>14</v>
      </c>
      <c r="B79" s="1368" t="s">
        <v>768</v>
      </c>
      <c r="C79" s="1369" t="s">
        <v>20</v>
      </c>
      <c r="D79" s="1233">
        <v>6</v>
      </c>
    </row>
    <row r="80" spans="1:4" x14ac:dyDescent="0.25">
      <c r="A80" s="172">
        <v>15</v>
      </c>
      <c r="B80" s="1368" t="s">
        <v>769</v>
      </c>
      <c r="C80" s="1369" t="s">
        <v>20</v>
      </c>
      <c r="D80" s="1233">
        <v>3</v>
      </c>
    </row>
    <row r="81" spans="1:4" x14ac:dyDescent="0.25">
      <c r="A81" s="172">
        <v>16</v>
      </c>
      <c r="B81" s="1368" t="s">
        <v>770</v>
      </c>
      <c r="C81" s="1369" t="s">
        <v>20</v>
      </c>
      <c r="D81" s="1233">
        <v>1</v>
      </c>
    </row>
    <row r="82" spans="1:4" x14ac:dyDescent="0.25">
      <c r="A82" s="172">
        <v>17</v>
      </c>
      <c r="B82" s="1368" t="s">
        <v>772</v>
      </c>
      <c r="C82" s="1369"/>
      <c r="D82" s="1233"/>
    </row>
    <row r="83" spans="1:4" x14ac:dyDescent="0.25">
      <c r="A83" s="172">
        <v>18</v>
      </c>
      <c r="B83" s="1368" t="s">
        <v>773</v>
      </c>
      <c r="C83" s="1369" t="s">
        <v>20</v>
      </c>
      <c r="D83" s="1233">
        <v>84</v>
      </c>
    </row>
    <row r="84" spans="1:4" x14ac:dyDescent="0.25">
      <c r="A84" s="172">
        <v>19</v>
      </c>
      <c r="B84" s="1368" t="s">
        <v>771</v>
      </c>
      <c r="C84" s="1369" t="s">
        <v>20</v>
      </c>
      <c r="D84" s="1233">
        <v>10</v>
      </c>
    </row>
    <row r="85" spans="1:4" x14ac:dyDescent="0.25">
      <c r="A85" s="172">
        <v>20</v>
      </c>
      <c r="B85" s="1368" t="s">
        <v>830</v>
      </c>
      <c r="C85" s="1369" t="s">
        <v>15</v>
      </c>
      <c r="D85" s="1233">
        <v>10</v>
      </c>
    </row>
    <row r="86" spans="1:4" x14ac:dyDescent="0.25">
      <c r="A86" s="172">
        <v>21</v>
      </c>
      <c r="B86" s="1368" t="s">
        <v>831</v>
      </c>
      <c r="C86" s="1369" t="s">
        <v>15</v>
      </c>
      <c r="D86" s="1233">
        <v>10</v>
      </c>
    </row>
    <row r="87" spans="1:4" x14ac:dyDescent="0.25">
      <c r="A87" s="172">
        <v>22</v>
      </c>
      <c r="B87" s="1368" t="s">
        <v>832</v>
      </c>
      <c r="C87" s="1369" t="s">
        <v>15</v>
      </c>
      <c r="D87" s="1233">
        <v>10</v>
      </c>
    </row>
    <row r="88" spans="1:4" x14ac:dyDescent="0.25">
      <c r="A88" s="172">
        <v>23</v>
      </c>
      <c r="B88" s="1368" t="s">
        <v>833</v>
      </c>
      <c r="C88" s="1369" t="s">
        <v>15</v>
      </c>
      <c r="D88" s="1233">
        <v>4</v>
      </c>
    </row>
    <row r="89" spans="1:4" x14ac:dyDescent="0.25">
      <c r="A89" s="172">
        <v>24</v>
      </c>
      <c r="B89" s="1368" t="s">
        <v>834</v>
      </c>
      <c r="C89" s="1369" t="s">
        <v>15</v>
      </c>
      <c r="D89" s="1233">
        <v>2</v>
      </c>
    </row>
    <row r="90" spans="1:4" x14ac:dyDescent="0.25">
      <c r="A90" s="172">
        <v>25</v>
      </c>
      <c r="B90" s="1368" t="s">
        <v>835</v>
      </c>
      <c r="C90" s="1369" t="s">
        <v>15</v>
      </c>
      <c r="D90" s="1233">
        <v>1</v>
      </c>
    </row>
    <row r="91" spans="1:4" x14ac:dyDescent="0.25">
      <c r="A91" s="172">
        <v>26</v>
      </c>
      <c r="B91" s="1368" t="s">
        <v>836</v>
      </c>
      <c r="C91" s="1369" t="s">
        <v>15</v>
      </c>
      <c r="D91" s="1233">
        <v>4</v>
      </c>
    </row>
    <row r="92" spans="1:4" x14ac:dyDescent="0.25">
      <c r="A92" s="172">
        <v>27</v>
      </c>
      <c r="B92" s="1368" t="s">
        <v>837</v>
      </c>
      <c r="C92" s="1369" t="s">
        <v>15</v>
      </c>
      <c r="D92" s="1233">
        <v>4</v>
      </c>
    </row>
    <row r="93" spans="1:4" x14ac:dyDescent="0.25">
      <c r="A93" s="172">
        <v>28</v>
      </c>
      <c r="B93" s="1368" t="s">
        <v>838</v>
      </c>
      <c r="C93" s="1369" t="s">
        <v>15</v>
      </c>
      <c r="D93" s="1233">
        <v>1</v>
      </c>
    </row>
    <row r="94" spans="1:4" x14ac:dyDescent="0.25">
      <c r="A94" s="172">
        <v>29</v>
      </c>
      <c r="B94" s="1368" t="s">
        <v>839</v>
      </c>
      <c r="C94" s="1369" t="s">
        <v>15</v>
      </c>
      <c r="D94" s="1233">
        <v>1</v>
      </c>
    </row>
    <row r="95" spans="1:4" x14ac:dyDescent="0.25">
      <c r="A95" s="172">
        <v>30</v>
      </c>
      <c r="B95" s="1368" t="s">
        <v>840</v>
      </c>
      <c r="C95" s="1369" t="s">
        <v>15</v>
      </c>
      <c r="D95" s="1233">
        <v>1</v>
      </c>
    </row>
    <row r="96" spans="1:4" x14ac:dyDescent="0.25">
      <c r="A96" s="172">
        <v>31</v>
      </c>
      <c r="B96" s="1368" t="s">
        <v>836</v>
      </c>
      <c r="C96" s="1369" t="s">
        <v>15</v>
      </c>
      <c r="D96" s="1233">
        <v>1</v>
      </c>
    </row>
    <row r="97" spans="1:4" x14ac:dyDescent="0.25">
      <c r="A97" s="172">
        <v>32</v>
      </c>
      <c r="B97" s="1368" t="s">
        <v>841</v>
      </c>
      <c r="C97" s="1369" t="s">
        <v>15</v>
      </c>
      <c r="D97" s="1233">
        <v>1</v>
      </c>
    </row>
    <row r="98" spans="1:4" x14ac:dyDescent="0.25">
      <c r="A98" s="172">
        <v>33</v>
      </c>
      <c r="B98" s="1368" t="s">
        <v>842</v>
      </c>
      <c r="C98" s="1369" t="s">
        <v>15</v>
      </c>
      <c r="D98" s="1233">
        <v>1</v>
      </c>
    </row>
    <row r="99" spans="1:4" x14ac:dyDescent="0.25">
      <c r="A99" s="172">
        <v>34</v>
      </c>
      <c r="B99" s="1368" t="s">
        <v>843</v>
      </c>
      <c r="C99" s="1369" t="s">
        <v>15</v>
      </c>
      <c r="D99" s="1233">
        <v>1</v>
      </c>
    </row>
    <row r="100" spans="1:4" x14ac:dyDescent="0.25">
      <c r="A100" s="172">
        <v>35</v>
      </c>
      <c r="B100" s="1368" t="s">
        <v>799</v>
      </c>
      <c r="C100" s="1369" t="s">
        <v>12</v>
      </c>
      <c r="D100" s="1233">
        <v>75</v>
      </c>
    </row>
    <row r="101" spans="1:4" x14ac:dyDescent="0.25">
      <c r="A101" s="172">
        <v>36</v>
      </c>
      <c r="B101" s="1368" t="s">
        <v>800</v>
      </c>
      <c r="C101" s="1369" t="s">
        <v>12</v>
      </c>
      <c r="D101" s="1233">
        <v>2500</v>
      </c>
    </row>
    <row r="102" spans="1:4" x14ac:dyDescent="0.25">
      <c r="A102" s="172">
        <v>37</v>
      </c>
      <c r="B102" s="1368" t="s">
        <v>801</v>
      </c>
      <c r="C102" s="1369" t="s">
        <v>12</v>
      </c>
      <c r="D102" s="1233">
        <v>78</v>
      </c>
    </row>
    <row r="103" spans="1:4" x14ac:dyDescent="0.25">
      <c r="A103" s="172">
        <v>38</v>
      </c>
      <c r="B103" s="58" t="s">
        <v>822</v>
      </c>
      <c r="C103" s="1369" t="s">
        <v>19</v>
      </c>
      <c r="D103" s="1233">
        <v>15</v>
      </c>
    </row>
    <row r="104" spans="1:4" x14ac:dyDescent="0.25">
      <c r="A104" s="172"/>
      <c r="C104" s="1369"/>
      <c r="D104" s="1233"/>
    </row>
    <row r="105" spans="1:4" x14ac:dyDescent="0.25">
      <c r="B105" s="1367" t="s">
        <v>756</v>
      </c>
      <c r="C105" s="1369"/>
      <c r="D105" s="1369"/>
    </row>
    <row r="106" spans="1:4" ht="15.6" x14ac:dyDescent="0.3">
      <c r="C106" s="1371"/>
      <c r="D106" s="1372"/>
    </row>
    <row r="107" spans="1:4" x14ac:dyDescent="0.25">
      <c r="A107" s="58">
        <v>1</v>
      </c>
      <c r="B107" s="62" t="s">
        <v>613</v>
      </c>
      <c r="C107" s="1373" t="s">
        <v>11</v>
      </c>
      <c r="D107" s="1374">
        <v>215.54</v>
      </c>
    </row>
    <row r="108" spans="1:4" x14ac:dyDescent="0.25">
      <c r="A108" s="58">
        <v>2</v>
      </c>
      <c r="B108" s="62" t="s">
        <v>614</v>
      </c>
      <c r="C108" s="1373" t="s">
        <v>20</v>
      </c>
      <c r="D108" s="1374">
        <v>10</v>
      </c>
    </row>
    <row r="109" spans="1:4" x14ac:dyDescent="0.25">
      <c r="A109" s="58">
        <v>3</v>
      </c>
      <c r="B109" s="62" t="s">
        <v>615</v>
      </c>
      <c r="C109" s="1373" t="s">
        <v>20</v>
      </c>
      <c r="D109" s="1374">
        <v>15</v>
      </c>
    </row>
    <row r="110" spans="1:4" x14ac:dyDescent="0.25">
      <c r="A110" s="58">
        <v>4</v>
      </c>
      <c r="B110" s="62" t="s">
        <v>617</v>
      </c>
      <c r="C110" s="1373" t="s">
        <v>20</v>
      </c>
      <c r="D110" s="1374">
        <v>82</v>
      </c>
    </row>
    <row r="111" spans="1:4" x14ac:dyDescent="0.25">
      <c r="A111" s="58">
        <v>5</v>
      </c>
      <c r="B111" s="62" t="s">
        <v>618</v>
      </c>
      <c r="C111" s="1373" t="s">
        <v>20</v>
      </c>
      <c r="D111" s="1374">
        <v>217</v>
      </c>
    </row>
    <row r="112" spans="1:4" x14ac:dyDescent="0.25">
      <c r="A112" s="58">
        <v>6</v>
      </c>
      <c r="B112" s="62" t="s">
        <v>619</v>
      </c>
      <c r="C112" s="1373" t="s">
        <v>20</v>
      </c>
      <c r="D112" s="1374">
        <v>28</v>
      </c>
    </row>
    <row r="113" spans="1:4" x14ac:dyDescent="0.25">
      <c r="A113" s="58">
        <v>7</v>
      </c>
      <c r="B113" s="62" t="s">
        <v>620</v>
      </c>
      <c r="C113" s="1373" t="s">
        <v>20</v>
      </c>
      <c r="D113" s="1374">
        <v>301</v>
      </c>
    </row>
    <row r="114" spans="1:4" x14ac:dyDescent="0.25">
      <c r="A114" s="58">
        <v>8</v>
      </c>
      <c r="B114" s="62" t="s">
        <v>621</v>
      </c>
      <c r="C114" s="1373" t="s">
        <v>20</v>
      </c>
      <c r="D114" s="1374">
        <v>301</v>
      </c>
    </row>
    <row r="115" spans="1:4" x14ac:dyDescent="0.25">
      <c r="A115" s="58">
        <v>9</v>
      </c>
      <c r="B115" s="62" t="s">
        <v>622</v>
      </c>
      <c r="C115" s="1373" t="s">
        <v>20</v>
      </c>
      <c r="D115" s="1374">
        <v>3</v>
      </c>
    </row>
    <row r="116" spans="1:4" x14ac:dyDescent="0.25">
      <c r="C116" s="1369"/>
      <c r="D116" s="1369"/>
    </row>
    <row r="117" spans="1:4" x14ac:dyDescent="0.25">
      <c r="B117" s="1367" t="s">
        <v>774</v>
      </c>
      <c r="C117" s="1369"/>
      <c r="D117" s="1369"/>
    </row>
    <row r="118" spans="1:4" x14ac:dyDescent="0.25">
      <c r="B118" s="1367"/>
      <c r="C118" s="1369"/>
      <c r="D118" s="1369"/>
    </row>
    <row r="119" spans="1:4" x14ac:dyDescent="0.25">
      <c r="A119" s="58">
        <v>1</v>
      </c>
      <c r="B119" s="1376" t="s">
        <v>635</v>
      </c>
      <c r="C119" s="172" t="s">
        <v>19</v>
      </c>
      <c r="D119" s="172">
        <v>1</v>
      </c>
    </row>
    <row r="120" spans="1:4" x14ac:dyDescent="0.25">
      <c r="A120" s="58">
        <v>2</v>
      </c>
      <c r="B120" s="1376" t="s">
        <v>786</v>
      </c>
      <c r="C120" s="172" t="s">
        <v>20</v>
      </c>
      <c r="D120" s="172">
        <v>2</v>
      </c>
    </row>
    <row r="121" spans="1:4" x14ac:dyDescent="0.25">
      <c r="A121" s="58">
        <v>3</v>
      </c>
      <c r="B121" s="1376" t="s">
        <v>636</v>
      </c>
      <c r="C121" s="172" t="s">
        <v>19</v>
      </c>
      <c r="D121" s="172">
        <v>1</v>
      </c>
    </row>
    <row r="122" spans="1:4" x14ac:dyDescent="0.25">
      <c r="A122" s="58">
        <v>4</v>
      </c>
      <c r="B122" s="1376" t="s">
        <v>639</v>
      </c>
      <c r="C122" s="172" t="s">
        <v>20</v>
      </c>
      <c r="D122" s="172">
        <v>1</v>
      </c>
    </row>
    <row r="123" spans="1:4" x14ac:dyDescent="0.25">
      <c r="B123" s="1376"/>
      <c r="C123" s="172"/>
      <c r="D123" s="172"/>
    </row>
    <row r="124" spans="1:4" x14ac:dyDescent="0.25">
      <c r="B124" s="1367" t="s">
        <v>787</v>
      </c>
      <c r="C124" s="172"/>
      <c r="D124" s="172"/>
    </row>
    <row r="125" spans="1:4" x14ac:dyDescent="0.25">
      <c r="B125" s="1367"/>
      <c r="C125" s="172"/>
      <c r="D125" s="172"/>
    </row>
    <row r="126" spans="1:4" ht="30" x14ac:dyDescent="0.25">
      <c r="A126" s="172">
        <v>1</v>
      </c>
      <c r="B126" s="1376" t="s">
        <v>788</v>
      </c>
      <c r="C126" s="172" t="s">
        <v>11</v>
      </c>
      <c r="D126" s="172">
        <f>260*1.2</f>
        <v>312</v>
      </c>
    </row>
    <row r="127" spans="1:4" x14ac:dyDescent="0.25">
      <c r="A127" s="172">
        <v>2</v>
      </c>
      <c r="B127" s="1376" t="s">
        <v>322</v>
      </c>
      <c r="C127" s="172" t="s">
        <v>11</v>
      </c>
      <c r="D127" s="172">
        <f>108*1.2</f>
        <v>129.6</v>
      </c>
    </row>
    <row r="128" spans="1:4" x14ac:dyDescent="0.25">
      <c r="A128" s="172">
        <v>3</v>
      </c>
      <c r="B128" s="58" t="s">
        <v>789</v>
      </c>
      <c r="C128" s="172" t="s">
        <v>11</v>
      </c>
      <c r="D128" s="172">
        <f>230*1.2</f>
        <v>276</v>
      </c>
    </row>
    <row r="129" spans="1:4" x14ac:dyDescent="0.25">
      <c r="A129" s="172">
        <v>4</v>
      </c>
      <c r="B129" s="58" t="s">
        <v>790</v>
      </c>
      <c r="C129" s="172" t="s">
        <v>55</v>
      </c>
      <c r="D129" s="172">
        <f>(D126+D128+D127)*1.2</f>
        <v>861.12</v>
      </c>
    </row>
    <row r="130" spans="1:4" x14ac:dyDescent="0.25">
      <c r="A130" s="172">
        <v>5</v>
      </c>
      <c r="B130" s="58" t="s">
        <v>791</v>
      </c>
      <c r="C130" s="172" t="s">
        <v>528</v>
      </c>
      <c r="D130" s="1390">
        <f>(D126+D127+D128)/15</f>
        <v>47.84</v>
      </c>
    </row>
    <row r="131" spans="1:4" x14ac:dyDescent="0.25">
      <c r="C131" s="172"/>
      <c r="D131" s="172"/>
    </row>
    <row r="132" spans="1:4" x14ac:dyDescent="0.25">
      <c r="B132" s="1367" t="s">
        <v>792</v>
      </c>
      <c r="C132" s="172"/>
      <c r="D132" s="172"/>
    </row>
    <row r="133" spans="1:4" x14ac:dyDescent="0.25">
      <c r="C133" s="172"/>
      <c r="D133" s="172"/>
    </row>
    <row r="134" spans="1:4" x14ac:dyDescent="0.25">
      <c r="A134" s="58">
        <v>1</v>
      </c>
      <c r="B134" s="58" t="s">
        <v>796</v>
      </c>
      <c r="C134" s="172" t="s">
        <v>19</v>
      </c>
      <c r="D134" s="172">
        <v>16</v>
      </c>
    </row>
    <row r="135" spans="1:4" x14ac:dyDescent="0.25">
      <c r="A135" s="58">
        <v>2</v>
      </c>
      <c r="B135" s="58" t="s">
        <v>797</v>
      </c>
      <c r="C135" s="172" t="s">
        <v>19</v>
      </c>
      <c r="D135" s="172">
        <v>3</v>
      </c>
    </row>
    <row r="136" spans="1:4" x14ac:dyDescent="0.25">
      <c r="A136" s="58">
        <v>3</v>
      </c>
      <c r="B136" s="58" t="s">
        <v>798</v>
      </c>
      <c r="C136" s="172" t="s">
        <v>19</v>
      </c>
      <c r="D136" s="172">
        <v>14</v>
      </c>
    </row>
    <row r="137" spans="1:4" x14ac:dyDescent="0.25">
      <c r="A137" s="58">
        <v>4</v>
      </c>
      <c r="B137" s="58" t="s">
        <v>793</v>
      </c>
      <c r="C137" s="172" t="s">
        <v>19</v>
      </c>
      <c r="D137" s="172">
        <f>D134+D135+D136</f>
        <v>33</v>
      </c>
    </row>
    <row r="138" spans="1:4" x14ac:dyDescent="0.25">
      <c r="A138" s="58">
        <v>5</v>
      </c>
      <c r="B138" s="58" t="s">
        <v>794</v>
      </c>
      <c r="C138" s="172" t="s">
        <v>20</v>
      </c>
      <c r="D138" s="172">
        <v>14</v>
      </c>
    </row>
    <row r="139" spans="1:4" ht="30" x14ac:dyDescent="0.25">
      <c r="A139" s="58">
        <v>6</v>
      </c>
      <c r="B139" s="827" t="s">
        <v>795</v>
      </c>
      <c r="C139" s="172" t="s">
        <v>20</v>
      </c>
      <c r="D139" s="172">
        <v>19</v>
      </c>
    </row>
    <row r="140" spans="1:4" x14ac:dyDescent="0.25">
      <c r="B140" s="827"/>
      <c r="C140" s="172"/>
      <c r="D140" s="172"/>
    </row>
    <row r="141" spans="1:4" x14ac:dyDescent="0.25">
      <c r="B141" s="1367" t="s">
        <v>823</v>
      </c>
      <c r="C141" s="172"/>
      <c r="D141" s="172"/>
    </row>
    <row r="142" spans="1:4" x14ac:dyDescent="0.25">
      <c r="B142" s="827"/>
      <c r="C142" s="172"/>
      <c r="D142" s="172"/>
    </row>
    <row r="143" spans="1:4" x14ac:dyDescent="0.25">
      <c r="A143" s="58">
        <v>1</v>
      </c>
      <c r="B143" s="827" t="s">
        <v>824</v>
      </c>
      <c r="C143" s="172" t="s">
        <v>20</v>
      </c>
      <c r="D143" s="172">
        <v>25</v>
      </c>
    </row>
    <row r="144" spans="1:4" x14ac:dyDescent="0.25">
      <c r="A144" s="58">
        <v>2</v>
      </c>
      <c r="B144" s="827" t="s">
        <v>825</v>
      </c>
      <c r="C144" s="172" t="s">
        <v>20</v>
      </c>
      <c r="D144" s="172">
        <v>12</v>
      </c>
    </row>
    <row r="145" spans="1:4" x14ac:dyDescent="0.25">
      <c r="A145" s="58">
        <v>3</v>
      </c>
      <c r="B145" s="827" t="s">
        <v>826</v>
      </c>
      <c r="C145" s="172" t="s">
        <v>20</v>
      </c>
      <c r="D145" s="172">
        <v>10</v>
      </c>
    </row>
    <row r="146" spans="1:4" x14ac:dyDescent="0.25">
      <c r="A146" s="58">
        <v>4</v>
      </c>
      <c r="B146" s="827" t="s">
        <v>827</v>
      </c>
      <c r="C146" s="172" t="s">
        <v>20</v>
      </c>
      <c r="D146" s="172">
        <v>4</v>
      </c>
    </row>
    <row r="147" spans="1:4" x14ac:dyDescent="0.25">
      <c r="A147" s="58">
        <v>5</v>
      </c>
      <c r="B147" s="827" t="s">
        <v>828</v>
      </c>
      <c r="C147" s="172" t="s">
        <v>20</v>
      </c>
      <c r="D147" s="172">
        <v>120</v>
      </c>
    </row>
    <row r="148" spans="1:4" x14ac:dyDescent="0.25">
      <c r="A148" s="58">
        <v>6</v>
      </c>
      <c r="B148" s="58" t="s">
        <v>469</v>
      </c>
      <c r="C148" s="172" t="s">
        <v>19</v>
      </c>
      <c r="D148" s="172">
        <v>10</v>
      </c>
    </row>
    <row r="149" spans="1:4" x14ac:dyDescent="0.25">
      <c r="A149" s="58">
        <v>7</v>
      </c>
      <c r="B149" s="58" t="s">
        <v>472</v>
      </c>
      <c r="C149" s="172" t="s">
        <v>19</v>
      </c>
      <c r="D149" s="172">
        <v>10</v>
      </c>
    </row>
    <row r="150" spans="1:4" x14ac:dyDescent="0.25">
      <c r="A150" s="58">
        <v>8</v>
      </c>
      <c r="B150" s="58" t="s">
        <v>844</v>
      </c>
      <c r="C150" s="172" t="s">
        <v>20</v>
      </c>
      <c r="D150" s="172">
        <v>12</v>
      </c>
    </row>
    <row r="151" spans="1:4" x14ac:dyDescent="0.25">
      <c r="C151" s="172"/>
      <c r="D151" s="172"/>
    </row>
    <row r="152" spans="1:4" x14ac:dyDescent="0.25">
      <c r="B152" s="1367" t="s">
        <v>734</v>
      </c>
      <c r="C152" s="172"/>
      <c r="D152" s="172"/>
    </row>
    <row r="153" spans="1:4" x14ac:dyDescent="0.25">
      <c r="C153" s="172"/>
      <c r="D153" s="172"/>
    </row>
    <row r="154" spans="1:4" x14ac:dyDescent="0.25">
      <c r="A154" s="58">
        <v>1</v>
      </c>
      <c r="B154" s="58" t="s">
        <v>518</v>
      </c>
      <c r="C154" s="172" t="s">
        <v>23</v>
      </c>
      <c r="D154" s="172">
        <f>1240*0.12*0.44</f>
        <v>65.471999999999994</v>
      </c>
    </row>
    <row r="155" spans="1:4" x14ac:dyDescent="0.25">
      <c r="A155" s="58">
        <v>2</v>
      </c>
      <c r="B155" s="58" t="s">
        <v>861</v>
      </c>
      <c r="C155" s="172" t="s">
        <v>23</v>
      </c>
      <c r="D155" s="172">
        <f>1240*0.12*0.9</f>
        <v>133.91999999999999</v>
      </c>
    </row>
    <row r="156" spans="1:4" x14ac:dyDescent="0.25">
      <c r="A156" s="58">
        <v>3</v>
      </c>
      <c r="B156" s="58" t="s">
        <v>751</v>
      </c>
      <c r="C156" s="172" t="s">
        <v>15</v>
      </c>
      <c r="D156" s="1389">
        <f>1240/90</f>
        <v>13.777777777777779</v>
      </c>
    </row>
    <row r="157" spans="1:4" x14ac:dyDescent="0.25">
      <c r="A157" s="58">
        <v>4</v>
      </c>
      <c r="B157" s="58" t="s">
        <v>862</v>
      </c>
      <c r="C157" s="172" t="s">
        <v>298</v>
      </c>
      <c r="D157" s="172">
        <f>150*1*1.12</f>
        <v>168.00000000000003</v>
      </c>
    </row>
    <row r="159" spans="1:4" x14ac:dyDescent="0.25">
      <c r="B159" s="1391" t="s">
        <v>432</v>
      </c>
    </row>
    <row r="161" spans="1:4" ht="15.6" x14ac:dyDescent="0.3">
      <c r="B161" s="1393" t="s">
        <v>863</v>
      </c>
      <c r="C161" s="172"/>
      <c r="D161" s="172"/>
    </row>
    <row r="162" spans="1:4" x14ac:dyDescent="0.25">
      <c r="C162" s="172"/>
      <c r="D162" s="172"/>
    </row>
    <row r="163" spans="1:4" x14ac:dyDescent="0.25">
      <c r="A163" s="58">
        <v>1</v>
      </c>
      <c r="B163" s="58" t="s">
        <v>518</v>
      </c>
      <c r="C163" s="172" t="s">
        <v>23</v>
      </c>
      <c r="D163" s="172">
        <f>5050*0.12*0.44</f>
        <v>266.64</v>
      </c>
    </row>
    <row r="164" spans="1:4" x14ac:dyDescent="0.25">
      <c r="A164" s="58">
        <v>2</v>
      </c>
      <c r="B164" s="58" t="s">
        <v>861</v>
      </c>
      <c r="C164" s="172" t="s">
        <v>23</v>
      </c>
      <c r="D164" s="172">
        <f>5050*0.12*0.9</f>
        <v>545.4</v>
      </c>
    </row>
    <row r="165" spans="1:4" x14ac:dyDescent="0.25">
      <c r="A165" s="58">
        <v>3</v>
      </c>
      <c r="B165" s="58" t="s">
        <v>751</v>
      </c>
      <c r="C165" s="172" t="s">
        <v>15</v>
      </c>
      <c r="D165" s="1389">
        <f>5050/90</f>
        <v>56.111111111111114</v>
      </c>
    </row>
    <row r="166" spans="1:4" x14ac:dyDescent="0.25">
      <c r="A166" s="58">
        <v>4</v>
      </c>
      <c r="B166" s="58" t="s">
        <v>862</v>
      </c>
      <c r="C166" s="172" t="s">
        <v>298</v>
      </c>
      <c r="D166" s="172">
        <f>606*1</f>
        <v>606</v>
      </c>
    </row>
    <row r="168" spans="1:4" ht="15.6" x14ac:dyDescent="0.3">
      <c r="B168" s="1393" t="s">
        <v>864</v>
      </c>
    </row>
    <row r="169" spans="1:4" x14ac:dyDescent="0.25">
      <c r="C169" s="172"/>
      <c r="D169" s="172"/>
    </row>
    <row r="170" spans="1:4" x14ac:dyDescent="0.25">
      <c r="A170" s="58">
        <v>1</v>
      </c>
      <c r="B170" s="58" t="s">
        <v>91</v>
      </c>
      <c r="C170" s="172" t="s">
        <v>11</v>
      </c>
      <c r="D170" s="172">
        <v>4959</v>
      </c>
    </row>
    <row r="171" spans="1:4" x14ac:dyDescent="0.25">
      <c r="A171" s="58">
        <v>2</v>
      </c>
      <c r="B171" s="58" t="s">
        <v>865</v>
      </c>
      <c r="C171" s="172" t="s">
        <v>11</v>
      </c>
      <c r="D171" s="172">
        <v>361</v>
      </c>
    </row>
    <row r="172" spans="1:4" x14ac:dyDescent="0.25">
      <c r="A172" s="58">
        <v>3</v>
      </c>
      <c r="B172" s="58" t="s">
        <v>790</v>
      </c>
      <c r="C172" s="172" t="s">
        <v>55</v>
      </c>
      <c r="D172" s="172">
        <f>4959*1*1.1</f>
        <v>5454.9000000000005</v>
      </c>
    </row>
    <row r="173" spans="1:4" x14ac:dyDescent="0.25">
      <c r="A173" s="58">
        <v>4</v>
      </c>
      <c r="B173" s="58" t="s">
        <v>791</v>
      </c>
      <c r="C173" s="172" t="s">
        <v>528</v>
      </c>
      <c r="D173" s="1390">
        <f>(D169+D170+D171)/15</f>
        <v>354.66666666666669</v>
      </c>
    </row>
    <row r="175" spans="1:4" ht="15.6" x14ac:dyDescent="0.3">
      <c r="B175" s="1392" t="s">
        <v>495</v>
      </c>
    </row>
    <row r="177" spans="1:4" ht="15.6" x14ac:dyDescent="0.3">
      <c r="B177" s="1393" t="s">
        <v>863</v>
      </c>
      <c r="C177" s="172"/>
      <c r="D177" s="172"/>
    </row>
    <row r="178" spans="1:4" x14ac:dyDescent="0.25">
      <c r="C178" s="172"/>
      <c r="D178" s="172"/>
    </row>
    <row r="179" spans="1:4" x14ac:dyDescent="0.25">
      <c r="A179" s="58">
        <v>1</v>
      </c>
      <c r="B179" s="58" t="s">
        <v>518</v>
      </c>
      <c r="C179" s="172" t="s">
        <v>23</v>
      </c>
      <c r="D179" s="172">
        <f>3570*0.12*0.44</f>
        <v>188.49599999999998</v>
      </c>
    </row>
    <row r="180" spans="1:4" x14ac:dyDescent="0.25">
      <c r="A180" s="58">
        <v>2</v>
      </c>
      <c r="B180" s="58" t="s">
        <v>861</v>
      </c>
      <c r="C180" s="172" t="s">
        <v>23</v>
      </c>
      <c r="D180" s="172">
        <f>3570*0.12*0.9</f>
        <v>385.56</v>
      </c>
    </row>
    <row r="181" spans="1:4" x14ac:dyDescent="0.25">
      <c r="A181" s="58">
        <v>3</v>
      </c>
      <c r="B181" s="58" t="s">
        <v>751</v>
      </c>
      <c r="C181" s="172" t="s">
        <v>15</v>
      </c>
      <c r="D181" s="1389">
        <f>3570/90</f>
        <v>39.666666666666664</v>
      </c>
    </row>
    <row r="182" spans="1:4" x14ac:dyDescent="0.25">
      <c r="A182" s="58">
        <v>4</v>
      </c>
      <c r="B182" s="58" t="s">
        <v>862</v>
      </c>
      <c r="C182" s="172" t="s">
        <v>298</v>
      </c>
      <c r="D182" s="172">
        <f>429*1</f>
        <v>429</v>
      </c>
    </row>
    <row r="184" spans="1:4" ht="15.6" x14ac:dyDescent="0.3">
      <c r="B184" s="1393" t="s">
        <v>864</v>
      </c>
    </row>
    <row r="185" spans="1:4" x14ac:dyDescent="0.25">
      <c r="C185" s="172"/>
      <c r="D185" s="172"/>
    </row>
    <row r="186" spans="1:4" x14ac:dyDescent="0.25">
      <c r="A186" s="58">
        <v>1</v>
      </c>
      <c r="B186" s="58" t="s">
        <v>91</v>
      </c>
      <c r="C186" s="172" t="s">
        <v>11</v>
      </c>
      <c r="D186" s="172">
        <f>2328*1.2</f>
        <v>2793.6</v>
      </c>
    </row>
    <row r="187" spans="1:4" x14ac:dyDescent="0.25">
      <c r="A187" s="58">
        <v>2</v>
      </c>
      <c r="B187" s="58" t="s">
        <v>865</v>
      </c>
      <c r="C187" s="172" t="s">
        <v>11</v>
      </c>
      <c r="D187" s="172">
        <v>541</v>
      </c>
    </row>
    <row r="188" spans="1:4" x14ac:dyDescent="0.25">
      <c r="A188" s="58">
        <v>3</v>
      </c>
      <c r="B188" s="58" t="s">
        <v>790</v>
      </c>
      <c r="C188" s="172" t="s">
        <v>55</v>
      </c>
      <c r="D188" s="172">
        <f>2328*1*1.1</f>
        <v>2560.8000000000002</v>
      </c>
    </row>
    <row r="189" spans="1:4" x14ac:dyDescent="0.25">
      <c r="A189" s="58">
        <v>4</v>
      </c>
      <c r="B189" s="58" t="s">
        <v>791</v>
      </c>
      <c r="C189" s="172" t="s">
        <v>528</v>
      </c>
      <c r="D189" s="1390">
        <f>(D185+D186+D187)/15</f>
        <v>222.30666666666667</v>
      </c>
    </row>
    <row r="192" spans="1:4" ht="21" x14ac:dyDescent="0.4">
      <c r="B192" s="1377" t="s">
        <v>802</v>
      </c>
    </row>
    <row r="195" spans="1:4" x14ac:dyDescent="0.25">
      <c r="A195" s="58">
        <v>1</v>
      </c>
      <c r="B195" s="58" t="s">
        <v>808</v>
      </c>
      <c r="C195" s="58" t="s">
        <v>803</v>
      </c>
      <c r="D195" s="58">
        <v>500</v>
      </c>
    </row>
    <row r="196" spans="1:4" x14ac:dyDescent="0.25">
      <c r="A196" s="58">
        <v>2</v>
      </c>
      <c r="B196" s="58" t="s">
        <v>809</v>
      </c>
      <c r="C196" s="58" t="s">
        <v>804</v>
      </c>
      <c r="D196" s="58">
        <v>30</v>
      </c>
    </row>
    <row r="197" spans="1:4" x14ac:dyDescent="0.25">
      <c r="A197" s="58">
        <v>3</v>
      </c>
      <c r="B197" s="58" t="s">
        <v>810</v>
      </c>
      <c r="C197" s="58" t="s">
        <v>805</v>
      </c>
      <c r="D197" s="58">
        <v>2</v>
      </c>
    </row>
    <row r="198" spans="1:4" x14ac:dyDescent="0.25">
      <c r="A198" s="58">
        <v>4</v>
      </c>
      <c r="B198" s="58" t="s">
        <v>811</v>
      </c>
      <c r="C198" s="58" t="s">
        <v>805</v>
      </c>
      <c r="D198" s="58">
        <v>45</v>
      </c>
    </row>
    <row r="199" spans="1:4" x14ac:dyDescent="0.25">
      <c r="A199" s="58">
        <v>5</v>
      </c>
      <c r="B199" s="58" t="s">
        <v>812</v>
      </c>
      <c r="C199" s="58" t="s">
        <v>806</v>
      </c>
      <c r="D199" s="58">
        <v>25</v>
      </c>
    </row>
    <row r="200" spans="1:4" x14ac:dyDescent="0.25">
      <c r="A200" s="58">
        <v>6</v>
      </c>
      <c r="B200" s="58" t="s">
        <v>813</v>
      </c>
      <c r="C200" s="58" t="s">
        <v>805</v>
      </c>
      <c r="D200" s="58">
        <v>20</v>
      </c>
    </row>
    <row r="201" spans="1:4" x14ac:dyDescent="0.25">
      <c r="A201" s="58">
        <v>7</v>
      </c>
      <c r="B201" s="58" t="s">
        <v>814</v>
      </c>
      <c r="C201" s="58" t="s">
        <v>104</v>
      </c>
      <c r="D201" s="58">
        <v>10</v>
      </c>
    </row>
    <row r="202" spans="1:4" x14ac:dyDescent="0.25">
      <c r="A202" s="58">
        <v>8</v>
      </c>
      <c r="B202" s="58" t="s">
        <v>815</v>
      </c>
      <c r="C202" s="58" t="s">
        <v>807</v>
      </c>
      <c r="D202" s="58">
        <v>1</v>
      </c>
    </row>
    <row r="203" spans="1:4" x14ac:dyDescent="0.25">
      <c r="A203" s="58">
        <v>9</v>
      </c>
      <c r="B203" s="58" t="s">
        <v>829</v>
      </c>
      <c r="C203" s="58" t="s">
        <v>104</v>
      </c>
      <c r="D203" s="58">
        <v>100</v>
      </c>
    </row>
    <row r="204" spans="1:4" x14ac:dyDescent="0.25">
      <c r="A204" s="58">
        <v>10</v>
      </c>
      <c r="B204" s="58" t="s">
        <v>816</v>
      </c>
      <c r="C204" s="58" t="s">
        <v>104</v>
      </c>
      <c r="D204" s="58">
        <v>4</v>
      </c>
    </row>
    <row r="205" spans="1:4" x14ac:dyDescent="0.25">
      <c r="A205" s="58">
        <v>11</v>
      </c>
      <c r="B205" s="58" t="s">
        <v>817</v>
      </c>
      <c r="C205" s="58" t="s">
        <v>104</v>
      </c>
      <c r="D205" s="58">
        <v>20</v>
      </c>
    </row>
    <row r="206" spans="1:4" x14ac:dyDescent="0.25">
      <c r="A206" s="58">
        <v>12</v>
      </c>
      <c r="B206" s="58" t="s">
        <v>818</v>
      </c>
      <c r="C206" s="58" t="s">
        <v>104</v>
      </c>
      <c r="D206" s="58">
        <v>15</v>
      </c>
    </row>
    <row r="207" spans="1:4" x14ac:dyDescent="0.25">
      <c r="A207" s="58">
        <v>13</v>
      </c>
      <c r="B207" s="58" t="s">
        <v>819</v>
      </c>
      <c r="C207" s="58" t="s">
        <v>104</v>
      </c>
      <c r="D207" s="58">
        <v>3</v>
      </c>
    </row>
    <row r="208" spans="1:4" x14ac:dyDescent="0.25">
      <c r="A208" s="58">
        <v>14</v>
      </c>
      <c r="B208" s="58" t="s">
        <v>820</v>
      </c>
      <c r="C208" s="58" t="s">
        <v>104</v>
      </c>
      <c r="D208" s="58">
        <v>6</v>
      </c>
    </row>
    <row r="209" spans="1:4" x14ac:dyDescent="0.25">
      <c r="A209" s="58">
        <v>15</v>
      </c>
      <c r="B209" s="58" t="s">
        <v>821</v>
      </c>
      <c r="C209" s="58" t="s">
        <v>104</v>
      </c>
      <c r="D209" s="58">
        <v>6</v>
      </c>
    </row>
    <row r="210" spans="1:4" x14ac:dyDescent="0.25">
      <c r="A210" s="58">
        <v>16</v>
      </c>
      <c r="B210" s="58" t="s">
        <v>822</v>
      </c>
      <c r="C210" s="58" t="s">
        <v>804</v>
      </c>
      <c r="D210" s="58">
        <v>10</v>
      </c>
    </row>
    <row r="212" spans="1:4" ht="18" thickBot="1" x14ac:dyDescent="0.35">
      <c r="B212" s="1387" t="s">
        <v>856</v>
      </c>
    </row>
    <row r="213" spans="1:4" ht="21" x14ac:dyDescent="0.25">
      <c r="A213" s="1379">
        <v>1</v>
      </c>
      <c r="B213" s="1380" t="s">
        <v>846</v>
      </c>
      <c r="C213" s="1380" t="s">
        <v>20</v>
      </c>
      <c r="D213" s="1381">
        <v>40</v>
      </c>
    </row>
    <row r="214" spans="1:4" ht="21" x14ac:dyDescent="0.25">
      <c r="A214" s="1382">
        <v>2</v>
      </c>
      <c r="B214" s="1383" t="s">
        <v>847</v>
      </c>
      <c r="C214" s="1383" t="s">
        <v>20</v>
      </c>
      <c r="D214" s="1384">
        <v>110</v>
      </c>
    </row>
    <row r="215" spans="1:4" ht="21" x14ac:dyDescent="0.25">
      <c r="A215" s="1382">
        <v>3</v>
      </c>
      <c r="B215" s="1383" t="s">
        <v>848</v>
      </c>
      <c r="C215" s="1383" t="s">
        <v>20</v>
      </c>
      <c r="D215" s="1384">
        <v>37</v>
      </c>
    </row>
    <row r="216" spans="1:4" ht="21" x14ac:dyDescent="0.25">
      <c r="A216" s="1382">
        <v>4</v>
      </c>
      <c r="B216" s="1383" t="s">
        <v>849</v>
      </c>
      <c r="C216" s="1383" t="s">
        <v>20</v>
      </c>
      <c r="D216" s="1384">
        <v>42</v>
      </c>
    </row>
    <row r="217" spans="1:4" ht="21" x14ac:dyDescent="0.25">
      <c r="A217" s="1382">
        <v>5</v>
      </c>
      <c r="B217" s="1383" t="s">
        <v>850</v>
      </c>
      <c r="C217" s="1383" t="s">
        <v>20</v>
      </c>
      <c r="D217" s="1384">
        <v>38</v>
      </c>
    </row>
    <row r="218" spans="1:4" ht="21" x14ac:dyDescent="0.25">
      <c r="A218" s="1382">
        <v>6</v>
      </c>
      <c r="B218" s="1383" t="s">
        <v>851</v>
      </c>
      <c r="C218" s="1383" t="s">
        <v>20</v>
      </c>
      <c r="D218" s="1384">
        <v>2</v>
      </c>
    </row>
    <row r="219" spans="1:4" ht="21" x14ac:dyDescent="0.25">
      <c r="A219" s="1382">
        <v>7</v>
      </c>
      <c r="B219" s="1383" t="s">
        <v>852</v>
      </c>
      <c r="C219" s="1383" t="s">
        <v>20</v>
      </c>
      <c r="D219" s="1384">
        <v>1</v>
      </c>
    </row>
    <row r="220" spans="1:4" ht="21" x14ac:dyDescent="0.25">
      <c r="A220" s="1382">
        <v>8</v>
      </c>
      <c r="B220" s="1383" t="s">
        <v>853</v>
      </c>
      <c r="C220" s="1383" t="s">
        <v>20</v>
      </c>
      <c r="D220" s="1384">
        <v>1</v>
      </c>
    </row>
    <row r="221" spans="1:4" ht="21" x14ac:dyDescent="0.25">
      <c r="A221" s="1382">
        <v>9</v>
      </c>
      <c r="B221" s="1383" t="s">
        <v>854</v>
      </c>
      <c r="C221" s="1383" t="s">
        <v>20</v>
      </c>
      <c r="D221" s="1385">
        <v>17</v>
      </c>
    </row>
    <row r="222" spans="1:4" ht="21" x14ac:dyDescent="0.4">
      <c r="A222" s="1382">
        <v>10</v>
      </c>
      <c r="B222" s="1383" t="s">
        <v>855</v>
      </c>
      <c r="C222" s="1386" t="s">
        <v>20</v>
      </c>
      <c r="D222" s="1384">
        <v>37</v>
      </c>
    </row>
    <row r="223" spans="1:4" ht="21" x14ac:dyDescent="0.4">
      <c r="A223" s="1382">
        <v>11</v>
      </c>
      <c r="B223" s="1383" t="s">
        <v>846</v>
      </c>
      <c r="C223" s="1386" t="s">
        <v>19</v>
      </c>
      <c r="D223" s="1388">
        <v>6</v>
      </c>
    </row>
    <row r="224" spans="1:4" ht="21" x14ac:dyDescent="0.4">
      <c r="A224" s="1382">
        <v>12</v>
      </c>
      <c r="B224" s="1383" t="s">
        <v>857</v>
      </c>
      <c r="C224" s="1386" t="s">
        <v>19</v>
      </c>
      <c r="D224" s="1388">
        <v>2</v>
      </c>
    </row>
    <row r="225" spans="1:4" ht="21" x14ac:dyDescent="0.4">
      <c r="A225" s="1382">
        <v>13</v>
      </c>
      <c r="B225" s="1383" t="s">
        <v>858</v>
      </c>
      <c r="C225" s="1386" t="s">
        <v>19</v>
      </c>
      <c r="D225" s="1388">
        <v>8</v>
      </c>
    </row>
    <row r="226" spans="1:4" ht="21" x14ac:dyDescent="0.4">
      <c r="A226" s="1382">
        <v>14</v>
      </c>
      <c r="B226" s="1383" t="s">
        <v>859</v>
      </c>
      <c r="C226" s="1383" t="s">
        <v>19</v>
      </c>
      <c r="D226" s="1388">
        <v>2</v>
      </c>
    </row>
    <row r="227" spans="1:4" ht="21" x14ac:dyDescent="0.4">
      <c r="A227" s="1382">
        <v>15</v>
      </c>
      <c r="B227" s="1383" t="s">
        <v>860</v>
      </c>
      <c r="C227" s="1383" t="s">
        <v>15</v>
      </c>
      <c r="D227" s="1388">
        <v>10</v>
      </c>
    </row>
  </sheetData>
  <mergeCells count="6">
    <mergeCell ref="E8:F8"/>
    <mergeCell ref="G8:H8"/>
    <mergeCell ref="I8:J8"/>
    <mergeCell ref="E10:F10"/>
    <mergeCell ref="G10:H10"/>
    <mergeCell ref="I10:J10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C4:I39"/>
  <sheetViews>
    <sheetView topLeftCell="A37" zoomScale="85" zoomScaleNormal="85" workbookViewId="0">
      <selection activeCell="I40" sqref="I40"/>
    </sheetView>
  </sheetViews>
  <sheetFormatPr baseColWidth="10" defaultColWidth="11.44140625" defaultRowHeight="20.399999999999999" x14ac:dyDescent="0.35"/>
  <cols>
    <col min="1" max="2" width="11.44140625" style="1332"/>
    <col min="3" max="3" width="16.109375" style="1332" customWidth="1"/>
    <col min="4" max="4" width="85.6640625" style="1332" customWidth="1"/>
    <col min="5" max="6" width="11.44140625" style="1332"/>
    <col min="7" max="7" width="11.44140625" style="1521"/>
    <col min="8" max="8" width="21.44140625" style="1332" customWidth="1"/>
    <col min="9" max="9" width="34.33203125" style="1332" customWidth="1"/>
    <col min="10" max="16384" width="11.44140625" style="1332"/>
  </cols>
  <sheetData>
    <row r="4" spans="3:9" ht="22.5" customHeight="1" x14ac:dyDescent="0.4">
      <c r="C4" s="1519"/>
      <c r="D4" s="1520"/>
      <c r="E4" s="1519"/>
      <c r="F4" s="1519"/>
      <c r="H4" s="1810"/>
      <c r="I4" s="1810"/>
    </row>
    <row r="5" spans="3:9" ht="21.6" thickBot="1" x14ac:dyDescent="0.45">
      <c r="C5" s="1519"/>
      <c r="D5" s="1522" t="s">
        <v>586</v>
      </c>
      <c r="E5" s="1523"/>
      <c r="F5" s="1523"/>
      <c r="G5" s="1511"/>
      <c r="H5" s="1511"/>
      <c r="I5" s="1511"/>
    </row>
    <row r="6" spans="3:9" ht="40.5" customHeight="1" thickBot="1" x14ac:dyDescent="0.45">
      <c r="C6" s="1519"/>
      <c r="D6" s="1522"/>
      <c r="E6" s="1522"/>
      <c r="F6" s="1522"/>
      <c r="G6" s="1524"/>
      <c r="H6" s="1811" t="s">
        <v>450</v>
      </c>
      <c r="I6" s="1812"/>
    </row>
    <row r="7" spans="3:9" ht="20.25" customHeight="1" thickBot="1" x14ac:dyDescent="0.4">
      <c r="C7" s="1525"/>
      <c r="D7" s="1526" t="s">
        <v>6</v>
      </c>
      <c r="E7" s="1527" t="s">
        <v>7</v>
      </c>
      <c r="F7" s="1527" t="s">
        <v>8</v>
      </c>
      <c r="G7" s="1468"/>
      <c r="H7" s="1528" t="s">
        <v>9</v>
      </c>
      <c r="I7" s="1529" t="s">
        <v>28</v>
      </c>
    </row>
    <row r="8" spans="3:9" ht="83.4" customHeight="1" thickBot="1" x14ac:dyDescent="0.4">
      <c r="C8" s="1530">
        <v>1</v>
      </c>
      <c r="D8" s="1512" t="s">
        <v>596</v>
      </c>
      <c r="E8" s="1531" t="s">
        <v>12</v>
      </c>
      <c r="F8" s="1527">
        <v>85</v>
      </c>
      <c r="G8" s="1468"/>
      <c r="H8" s="1532">
        <v>195625</v>
      </c>
      <c r="I8" s="1533">
        <f>H8*F8</f>
        <v>16628125</v>
      </c>
    </row>
    <row r="9" spans="3:9" ht="105" customHeight="1" thickBot="1" x14ac:dyDescent="0.4">
      <c r="C9" s="1530">
        <v>2</v>
      </c>
      <c r="D9" s="1512" t="s">
        <v>603</v>
      </c>
      <c r="E9" s="1531" t="s">
        <v>19</v>
      </c>
      <c r="F9" s="1515">
        <v>2</v>
      </c>
      <c r="G9" s="1323"/>
      <c r="H9" s="1534">
        <v>1446000</v>
      </c>
      <c r="I9" s="1533">
        <f t="shared" ref="I9:I19" si="0">H9*F9</f>
        <v>2892000</v>
      </c>
    </row>
    <row r="10" spans="3:9" ht="61.95" customHeight="1" thickBot="1" x14ac:dyDescent="0.4">
      <c r="C10" s="1530">
        <v>3</v>
      </c>
      <c r="D10" s="1512" t="s">
        <v>598</v>
      </c>
      <c r="E10" s="1513" t="s">
        <v>12</v>
      </c>
      <c r="F10" s="1515">
        <v>400</v>
      </c>
      <c r="G10" s="1323"/>
      <c r="H10" s="1534">
        <v>51093</v>
      </c>
      <c r="I10" s="1533">
        <f t="shared" si="0"/>
        <v>20437200</v>
      </c>
    </row>
    <row r="11" spans="3:9" ht="48.75" customHeight="1" x14ac:dyDescent="0.35">
      <c r="C11" s="1536">
        <v>4</v>
      </c>
      <c r="D11" s="1514" t="s">
        <v>599</v>
      </c>
      <c r="E11" s="1515" t="s">
        <v>12</v>
      </c>
      <c r="F11" s="1515">
        <v>25</v>
      </c>
      <c r="G11" s="1323"/>
      <c r="H11" s="1534">
        <v>44531</v>
      </c>
      <c r="I11" s="1533">
        <f t="shared" si="0"/>
        <v>1113275</v>
      </c>
    </row>
    <row r="12" spans="3:9" ht="63" customHeight="1" x14ac:dyDescent="0.35">
      <c r="C12" s="1536">
        <v>5</v>
      </c>
      <c r="D12" s="1516" t="s">
        <v>597</v>
      </c>
      <c r="E12" s="1515" t="s">
        <v>12</v>
      </c>
      <c r="F12" s="1515">
        <v>110</v>
      </c>
      <c r="G12" s="1323"/>
      <c r="H12" s="1534">
        <v>135000</v>
      </c>
      <c r="I12" s="1533">
        <f t="shared" si="0"/>
        <v>14850000</v>
      </c>
    </row>
    <row r="13" spans="3:9" ht="39" customHeight="1" x14ac:dyDescent="0.35">
      <c r="C13" s="1536">
        <v>6</v>
      </c>
      <c r="D13" s="1516" t="s">
        <v>587</v>
      </c>
      <c r="E13" s="1515" t="s">
        <v>19</v>
      </c>
      <c r="F13" s="1515">
        <v>1</v>
      </c>
      <c r="G13" s="1323"/>
      <c r="H13" s="1534">
        <v>1250000</v>
      </c>
      <c r="I13" s="1533">
        <f t="shared" si="0"/>
        <v>1250000</v>
      </c>
    </row>
    <row r="14" spans="3:9" ht="87.6" customHeight="1" x14ac:dyDescent="0.35">
      <c r="C14" s="1536">
        <v>7</v>
      </c>
      <c r="D14" s="1516" t="s">
        <v>601</v>
      </c>
      <c r="E14" s="1515" t="s">
        <v>20</v>
      </c>
      <c r="F14" s="1515">
        <v>14</v>
      </c>
      <c r="G14" s="1323"/>
      <c r="H14" s="1534">
        <v>65800</v>
      </c>
      <c r="I14" s="1533">
        <f t="shared" si="0"/>
        <v>921200</v>
      </c>
    </row>
    <row r="15" spans="3:9" ht="80.400000000000006" customHeight="1" x14ac:dyDescent="0.35">
      <c r="C15" s="1536">
        <v>8</v>
      </c>
      <c r="D15" s="1516" t="s">
        <v>588</v>
      </c>
      <c r="E15" s="1515" t="s">
        <v>20</v>
      </c>
      <c r="F15" s="1515">
        <v>1</v>
      </c>
      <c r="G15" s="1323"/>
      <c r="H15" s="1534">
        <v>250200</v>
      </c>
      <c r="I15" s="1533">
        <f t="shared" si="0"/>
        <v>250200</v>
      </c>
    </row>
    <row r="16" spans="3:9" ht="98.4" customHeight="1" x14ac:dyDescent="0.35">
      <c r="C16" s="1536">
        <v>9</v>
      </c>
      <c r="D16" s="1516" t="s">
        <v>600</v>
      </c>
      <c r="E16" s="1515" t="s">
        <v>20</v>
      </c>
      <c r="F16" s="1515">
        <v>1</v>
      </c>
      <c r="G16" s="1323"/>
      <c r="H16" s="1534">
        <v>185000</v>
      </c>
      <c r="I16" s="1533">
        <f t="shared" si="0"/>
        <v>185000</v>
      </c>
    </row>
    <row r="17" spans="3:9" ht="84.75" customHeight="1" x14ac:dyDescent="0.35">
      <c r="C17" s="1536">
        <v>10</v>
      </c>
      <c r="D17" s="1516" t="s">
        <v>604</v>
      </c>
      <c r="E17" s="1515" t="s">
        <v>20</v>
      </c>
      <c r="F17" s="1515">
        <v>102</v>
      </c>
      <c r="G17" s="1323"/>
      <c r="H17" s="1534">
        <v>25000</v>
      </c>
      <c r="I17" s="1533">
        <f t="shared" si="0"/>
        <v>2550000</v>
      </c>
    </row>
    <row r="18" spans="3:9" ht="37.5" customHeight="1" x14ac:dyDescent="0.35">
      <c r="C18" s="1536">
        <v>11</v>
      </c>
      <c r="D18" s="1516" t="s">
        <v>605</v>
      </c>
      <c r="E18" s="1515" t="s">
        <v>20</v>
      </c>
      <c r="F18" s="1515">
        <v>2</v>
      </c>
      <c r="G18" s="1323"/>
      <c r="H18" s="1534">
        <v>12500</v>
      </c>
      <c r="I18" s="1533">
        <f t="shared" si="0"/>
        <v>25000</v>
      </c>
    </row>
    <row r="19" spans="3:9" ht="121.2" customHeight="1" thickBot="1" x14ac:dyDescent="0.4">
      <c r="C19" s="1536">
        <v>12</v>
      </c>
      <c r="D19" s="1516" t="s">
        <v>602</v>
      </c>
      <c r="E19" s="1515" t="s">
        <v>19</v>
      </c>
      <c r="F19" s="1515">
        <v>2</v>
      </c>
      <c r="G19" s="1323"/>
      <c r="H19" s="1537">
        <v>780000</v>
      </c>
      <c r="I19" s="1533">
        <f t="shared" si="0"/>
        <v>1560000</v>
      </c>
    </row>
    <row r="20" spans="3:9" ht="21.6" thickBot="1" x14ac:dyDescent="0.45">
      <c r="H20" s="1538" t="s">
        <v>10</v>
      </c>
      <c r="I20" s="1539">
        <f>SUM(I8:I19)</f>
        <v>62662000</v>
      </c>
    </row>
    <row r="21" spans="3:9" ht="21" x14ac:dyDescent="0.4">
      <c r="H21" s="1521"/>
      <c r="I21" s="121"/>
    </row>
    <row r="22" spans="3:9" x14ac:dyDescent="0.35">
      <c r="H22" s="1521"/>
      <c r="I22" s="1521"/>
    </row>
    <row r="23" spans="3:9" ht="21" thickBot="1" x14ac:dyDescent="0.4">
      <c r="H23" s="1521"/>
      <c r="I23" s="1521"/>
    </row>
    <row r="24" spans="3:9" ht="27" customHeight="1" x14ac:dyDescent="0.35">
      <c r="C24" s="1808"/>
      <c r="D24" s="1815" t="s">
        <v>589</v>
      </c>
      <c r="E24" s="1817" t="s">
        <v>7</v>
      </c>
      <c r="F24" s="1819" t="s">
        <v>8</v>
      </c>
      <c r="H24" s="1813" t="s">
        <v>450</v>
      </c>
      <c r="I24" s="1814"/>
    </row>
    <row r="25" spans="3:9" ht="25.95" customHeight="1" x14ac:dyDescent="0.35">
      <c r="C25" s="1809"/>
      <c r="D25" s="1816"/>
      <c r="E25" s="1818"/>
      <c r="F25" s="1820"/>
      <c r="H25" s="1527" t="s">
        <v>9</v>
      </c>
      <c r="I25" s="1531" t="s">
        <v>28</v>
      </c>
    </row>
    <row r="26" spans="3:9" ht="81.599999999999994" x14ac:dyDescent="0.35">
      <c r="C26" s="1540">
        <v>1</v>
      </c>
      <c r="D26" s="1517" t="s">
        <v>606</v>
      </c>
      <c r="E26" s="1540" t="s">
        <v>19</v>
      </c>
      <c r="F26" s="1540">
        <v>1</v>
      </c>
      <c r="H26" s="1542">
        <v>2520000</v>
      </c>
      <c r="I26" s="1543">
        <f>H26*F26</f>
        <v>2520000</v>
      </c>
    </row>
    <row r="27" spans="3:9" ht="102" x14ac:dyDescent="0.35">
      <c r="C27" s="1540">
        <v>2</v>
      </c>
      <c r="D27" s="1517" t="s">
        <v>590</v>
      </c>
      <c r="E27" s="1540" t="s">
        <v>20</v>
      </c>
      <c r="F27" s="1540">
        <v>2</v>
      </c>
      <c r="H27" s="1542">
        <v>152000</v>
      </c>
      <c r="I27" s="1543">
        <f t="shared" ref="I27:I33" si="1">H27*F27</f>
        <v>304000</v>
      </c>
    </row>
    <row r="28" spans="3:9" ht="142.80000000000001" x14ac:dyDescent="0.35">
      <c r="C28" s="1540">
        <v>3</v>
      </c>
      <c r="D28" s="1517" t="s">
        <v>591</v>
      </c>
      <c r="E28" s="1540" t="s">
        <v>20</v>
      </c>
      <c r="F28" s="1540">
        <v>1</v>
      </c>
      <c r="H28" s="1542">
        <v>115000</v>
      </c>
      <c r="I28" s="1543">
        <f t="shared" si="1"/>
        <v>115000</v>
      </c>
    </row>
    <row r="29" spans="3:9" ht="56.4" customHeight="1" x14ac:dyDescent="0.35">
      <c r="C29" s="1540">
        <v>4</v>
      </c>
      <c r="D29" s="1517" t="s">
        <v>592</v>
      </c>
      <c r="E29" s="1540" t="s">
        <v>20</v>
      </c>
      <c r="F29" s="1536">
        <v>4</v>
      </c>
      <c r="H29" s="1544">
        <v>48000</v>
      </c>
      <c r="I29" s="1543">
        <f t="shared" si="1"/>
        <v>192000</v>
      </c>
    </row>
    <row r="30" spans="3:9" ht="81.599999999999994" x14ac:dyDescent="0.35">
      <c r="C30" s="1540">
        <v>5</v>
      </c>
      <c r="D30" s="1517" t="s">
        <v>593</v>
      </c>
      <c r="E30" s="1540" t="s">
        <v>20</v>
      </c>
      <c r="F30" s="1536">
        <v>4</v>
      </c>
      <c r="H30" s="1544">
        <v>78000</v>
      </c>
      <c r="I30" s="1543">
        <f t="shared" si="1"/>
        <v>312000</v>
      </c>
    </row>
    <row r="31" spans="3:9" ht="61.2" x14ac:dyDescent="0.35">
      <c r="C31" s="1540">
        <v>6</v>
      </c>
      <c r="D31" s="1517" t="s">
        <v>607</v>
      </c>
      <c r="E31" s="1540" t="s">
        <v>20</v>
      </c>
      <c r="F31" s="1536">
        <v>15</v>
      </c>
      <c r="H31" s="1544">
        <v>7500</v>
      </c>
      <c r="I31" s="1543">
        <f t="shared" si="1"/>
        <v>112500</v>
      </c>
    </row>
    <row r="32" spans="3:9" ht="81.599999999999994" x14ac:dyDescent="0.35">
      <c r="C32" s="1540">
        <v>7</v>
      </c>
      <c r="D32" s="1517" t="s">
        <v>594</v>
      </c>
      <c r="E32" s="1540" t="s">
        <v>20</v>
      </c>
      <c r="F32" s="1536">
        <v>8</v>
      </c>
      <c r="H32" s="1544">
        <v>205000</v>
      </c>
      <c r="I32" s="1543">
        <f t="shared" si="1"/>
        <v>1640000</v>
      </c>
    </row>
    <row r="33" spans="3:9" ht="102" x14ac:dyDescent="0.35">
      <c r="C33" s="1540">
        <v>8</v>
      </c>
      <c r="D33" s="1517" t="s">
        <v>595</v>
      </c>
      <c r="E33" s="1540" t="s">
        <v>20</v>
      </c>
      <c r="F33" s="1536">
        <v>4</v>
      </c>
      <c r="H33" s="1544">
        <v>4500</v>
      </c>
      <c r="I33" s="1543">
        <f t="shared" si="1"/>
        <v>18000</v>
      </c>
    </row>
    <row r="34" spans="3:9" ht="81.599999999999994" x14ac:dyDescent="0.35">
      <c r="C34" s="1540"/>
      <c r="D34" s="1517" t="s">
        <v>866</v>
      </c>
      <c r="E34" s="1540" t="s">
        <v>12</v>
      </c>
      <c r="F34" s="1536">
        <v>420</v>
      </c>
      <c r="H34" s="1544">
        <v>13500</v>
      </c>
      <c r="I34" s="1543">
        <f>H34*F34</f>
        <v>5670000</v>
      </c>
    </row>
    <row r="35" spans="3:9" ht="102" x14ac:dyDescent="0.35">
      <c r="C35" s="1540">
        <v>9</v>
      </c>
      <c r="D35" s="1517" t="s">
        <v>608</v>
      </c>
      <c r="E35" s="1540" t="s">
        <v>12</v>
      </c>
      <c r="F35" s="1536">
        <v>45</v>
      </c>
      <c r="H35" s="1544"/>
      <c r="I35" s="1543"/>
    </row>
    <row r="36" spans="3:9" ht="102" x14ac:dyDescent="0.35">
      <c r="C36" s="1540">
        <v>10</v>
      </c>
      <c r="D36" s="1518" t="s">
        <v>609</v>
      </c>
      <c r="E36" s="1540" t="s">
        <v>12</v>
      </c>
      <c r="F36" s="1536">
        <v>90</v>
      </c>
      <c r="H36" s="1545"/>
      <c r="I36" s="1535"/>
    </row>
    <row r="37" spans="3:9" ht="102" x14ac:dyDescent="0.35">
      <c r="C37" s="1540">
        <v>11</v>
      </c>
      <c r="D37" s="1518" t="s">
        <v>610</v>
      </c>
      <c r="E37" s="1540" t="s">
        <v>12</v>
      </c>
      <c r="F37" s="1536">
        <v>60</v>
      </c>
      <c r="H37" s="1545"/>
      <c r="I37" s="1546"/>
    </row>
    <row r="38" spans="3:9" ht="61.8" thickBot="1" x14ac:dyDescent="0.4">
      <c r="C38" s="1540">
        <v>12</v>
      </c>
      <c r="D38" s="1518" t="s">
        <v>611</v>
      </c>
      <c r="E38" s="1536" t="s">
        <v>20</v>
      </c>
      <c r="F38" s="1536">
        <v>11</v>
      </c>
      <c r="H38" s="1547"/>
      <c r="I38" s="1548"/>
    </row>
    <row r="39" spans="3:9" ht="21" thickBot="1" x14ac:dyDescent="0.4">
      <c r="H39" s="1549" t="s">
        <v>10</v>
      </c>
      <c r="I39" s="1541">
        <f>SUM(I26:I38)</f>
        <v>10883500</v>
      </c>
    </row>
  </sheetData>
  <mergeCells count="7">
    <mergeCell ref="C24:C25"/>
    <mergeCell ref="H4:I4"/>
    <mergeCell ref="H6:I6"/>
    <mergeCell ref="H24:I24"/>
    <mergeCell ref="D24:D25"/>
    <mergeCell ref="E24:E25"/>
    <mergeCell ref="F24:F25"/>
  </mergeCells>
  <pageMargins left="0.70866141732283472" right="0.70866141732283472" top="0.74803149606299213" bottom="0.74803149606299213" header="0.31496062992125984" footer="0.31496062992125984"/>
  <pageSetup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theme="7" tint="-0.249977111117893"/>
  </sheetPr>
  <dimension ref="A2:L74"/>
  <sheetViews>
    <sheetView workbookViewId="0">
      <selection activeCell="E12" sqref="E12"/>
    </sheetView>
  </sheetViews>
  <sheetFormatPr baseColWidth="10" defaultColWidth="11.44140625" defaultRowHeight="15" x14ac:dyDescent="0.25"/>
  <cols>
    <col min="1" max="1" width="11.5546875" style="58" bestFit="1" customWidth="1"/>
    <col min="2" max="2" width="86.109375" style="58" customWidth="1"/>
    <col min="3" max="3" width="20.5546875" style="58" customWidth="1"/>
    <col min="4" max="4" width="13.5546875" style="58" bestFit="1" customWidth="1"/>
    <col min="5" max="5" width="14.33203125" style="58" customWidth="1"/>
    <col min="6" max="6" width="32.44140625" style="58" customWidth="1"/>
    <col min="7" max="7" width="17.6640625" style="58" bestFit="1" customWidth="1"/>
    <col min="8" max="8" width="17.5546875" style="58" customWidth="1"/>
    <col min="9" max="9" width="17" style="58" customWidth="1"/>
    <col min="10" max="10" width="25.88671875" style="58" customWidth="1"/>
    <col min="11" max="11" width="20" style="58" customWidth="1"/>
    <col min="12" max="12" width="21.33203125" style="58" customWidth="1"/>
    <col min="13" max="16384" width="11.44140625" style="58"/>
  </cols>
  <sheetData>
    <row r="2" spans="1:12" ht="15.6" x14ac:dyDescent="0.3">
      <c r="A2" s="57" t="s">
        <v>26</v>
      </c>
    </row>
    <row r="4" spans="1:12" x14ac:dyDescent="0.25">
      <c r="A4" s="58" t="s">
        <v>30</v>
      </c>
    </row>
    <row r="6" spans="1:12" ht="15.6" thickBot="1" x14ac:dyDescent="0.3">
      <c r="D6" s="60"/>
      <c r="E6" s="60"/>
      <c r="F6" s="60"/>
      <c r="G6" s="60"/>
      <c r="H6" s="60"/>
      <c r="I6" s="60"/>
      <c r="J6" s="60"/>
      <c r="K6" s="60"/>
      <c r="L6" s="60"/>
    </row>
    <row r="7" spans="1:12" ht="16.5" customHeight="1" thickBot="1" x14ac:dyDescent="0.35">
      <c r="A7" s="819"/>
      <c r="B7" s="820"/>
      <c r="C7" s="820"/>
      <c r="D7" s="821"/>
      <c r="E7" s="822" t="s">
        <v>240</v>
      </c>
      <c r="F7" s="822"/>
      <c r="G7" s="822"/>
      <c r="H7" s="822"/>
      <c r="I7" s="822"/>
      <c r="J7" s="823"/>
      <c r="K7" s="60"/>
      <c r="L7" s="60"/>
    </row>
    <row r="8" spans="1:12" x14ac:dyDescent="0.25">
      <c r="D8" s="60"/>
      <c r="E8" s="1796" t="s">
        <v>0</v>
      </c>
      <c r="F8" s="1797"/>
      <c r="G8" s="1796" t="s">
        <v>0</v>
      </c>
      <c r="H8" s="1797"/>
      <c r="I8" s="1796" t="s">
        <v>0</v>
      </c>
      <c r="J8" s="1797"/>
      <c r="K8" s="60"/>
      <c r="L8" s="60"/>
    </row>
    <row r="9" spans="1:12" ht="15.6" thickBot="1" x14ac:dyDescent="0.3">
      <c r="D9" s="60"/>
      <c r="E9" s="810" t="s">
        <v>1</v>
      </c>
      <c r="F9" s="811" t="s">
        <v>2</v>
      </c>
      <c r="G9" s="810" t="s">
        <v>1</v>
      </c>
      <c r="H9" s="811" t="s">
        <v>2</v>
      </c>
      <c r="I9" s="810" t="s">
        <v>3</v>
      </c>
      <c r="J9" s="811" t="s">
        <v>4</v>
      </c>
      <c r="K9" s="60"/>
      <c r="L9" s="60"/>
    </row>
    <row r="10" spans="1:12" ht="43.5" customHeight="1" thickBot="1" x14ac:dyDescent="0.3">
      <c r="D10" s="60"/>
      <c r="E10" s="1798" t="s">
        <v>35</v>
      </c>
      <c r="F10" s="1799"/>
      <c r="G10" s="1793"/>
      <c r="H10" s="1794"/>
      <c r="I10" s="1793"/>
      <c r="J10" s="1795"/>
      <c r="K10" s="824"/>
      <c r="L10" s="60"/>
    </row>
    <row r="11" spans="1:12" ht="15.6" x14ac:dyDescent="0.3">
      <c r="C11" s="812" t="s">
        <v>7</v>
      </c>
      <c r="D11" s="816" t="s">
        <v>8</v>
      </c>
      <c r="E11" s="1179" t="s">
        <v>9</v>
      </c>
      <c r="F11" s="1181" t="s">
        <v>10</v>
      </c>
      <c r="G11" s="1180"/>
      <c r="H11" s="1181"/>
      <c r="L11" s="60"/>
    </row>
    <row r="12" spans="1:12" ht="72.75" customHeight="1" x14ac:dyDescent="0.3">
      <c r="B12" s="827" t="s">
        <v>612</v>
      </c>
      <c r="C12" s="59" t="s">
        <v>11</v>
      </c>
      <c r="D12" s="1260">
        <v>215.54</v>
      </c>
      <c r="E12" s="112">
        <v>440000</v>
      </c>
      <c r="F12" s="113">
        <f>D12*E12</f>
        <v>94837600</v>
      </c>
      <c r="G12" s="817"/>
      <c r="H12" s="818"/>
      <c r="K12" s="812"/>
      <c r="L12" s="60"/>
    </row>
    <row r="13" spans="1:12" ht="16.2" thickBot="1" x14ac:dyDescent="0.35">
      <c r="B13" s="827"/>
      <c r="C13" s="59"/>
      <c r="D13" s="60"/>
      <c r="E13" s="813"/>
      <c r="F13" s="818"/>
      <c r="G13" s="817"/>
      <c r="H13" s="825"/>
      <c r="L13" s="826"/>
    </row>
    <row r="14" spans="1:12" ht="16.2" thickBot="1" x14ac:dyDescent="0.35">
      <c r="D14" s="60"/>
      <c r="E14" s="829" t="s">
        <v>10</v>
      </c>
      <c r="F14" s="831">
        <f>SUM(F12:F13)</f>
        <v>94837600</v>
      </c>
      <c r="G14" s="830"/>
      <c r="H14" s="828"/>
      <c r="K14" s="826"/>
      <c r="L14" s="60"/>
    </row>
    <row r="15" spans="1:12" ht="16.5" customHeight="1" x14ac:dyDescent="0.3">
      <c r="B15" s="830" t="s">
        <v>427</v>
      </c>
      <c r="C15" s="830"/>
      <c r="D15" s="60"/>
      <c r="E15" s="829"/>
      <c r="F15" s="831"/>
      <c r="G15" s="1825"/>
      <c r="H15" s="1790"/>
      <c r="K15" s="826"/>
      <c r="L15" s="60"/>
    </row>
    <row r="16" spans="1:12" ht="15.75" customHeight="1" x14ac:dyDescent="0.3">
      <c r="D16" s="60"/>
      <c r="E16" s="1791"/>
      <c r="F16" s="1792"/>
      <c r="G16" s="1825"/>
      <c r="H16" s="1790"/>
      <c r="K16" s="60"/>
      <c r="L16" s="60"/>
    </row>
    <row r="17" spans="2:12" ht="15.75" customHeight="1" x14ac:dyDescent="0.3">
      <c r="D17" s="60"/>
      <c r="E17" s="1791"/>
      <c r="F17" s="1792"/>
      <c r="G17" s="1825"/>
      <c r="H17" s="1790"/>
      <c r="K17" s="60"/>
      <c r="L17" s="60"/>
    </row>
    <row r="18" spans="2:12" ht="15.75" customHeight="1" x14ac:dyDescent="0.3">
      <c r="D18" s="60"/>
      <c r="E18" s="1791"/>
      <c r="F18" s="1792"/>
      <c r="G18" s="1825"/>
      <c r="H18" s="1790"/>
      <c r="K18" s="60"/>
      <c r="L18" s="60"/>
    </row>
    <row r="19" spans="2:12" ht="15.75" customHeight="1" thickBot="1" x14ac:dyDescent="0.35">
      <c r="D19" s="60"/>
      <c r="E19" s="841"/>
      <c r="F19" s="832"/>
      <c r="G19" s="1231"/>
      <c r="H19" s="815"/>
      <c r="K19" s="60"/>
      <c r="L19" s="60"/>
    </row>
    <row r="20" spans="2:12" ht="15.75" customHeight="1" x14ac:dyDescent="0.3">
      <c r="D20" s="60"/>
      <c r="E20" s="830"/>
      <c r="F20" s="830"/>
      <c r="G20" s="61"/>
      <c r="H20" s="61"/>
      <c r="K20" s="60"/>
      <c r="L20" s="60"/>
    </row>
    <row r="21" spans="2:12" ht="15.75" customHeight="1" x14ac:dyDescent="0.3">
      <c r="D21" s="60"/>
      <c r="E21" s="830"/>
      <c r="F21" s="830"/>
      <c r="G21" s="61"/>
      <c r="H21" s="61"/>
      <c r="K21" s="60"/>
      <c r="L21" s="60"/>
    </row>
    <row r="22" spans="2:12" ht="15.75" customHeight="1" x14ac:dyDescent="0.3">
      <c r="D22" s="60"/>
      <c r="E22" s="830"/>
      <c r="F22" s="830"/>
      <c r="G22" s="61"/>
      <c r="H22" s="61"/>
      <c r="K22" s="60"/>
      <c r="L22" s="60"/>
    </row>
    <row r="23" spans="2:12" ht="15.75" customHeight="1" thickBot="1" x14ac:dyDescent="0.35">
      <c r="D23" s="60"/>
      <c r="E23" s="61"/>
      <c r="F23" s="61"/>
      <c r="G23" s="61"/>
      <c r="H23" s="61"/>
      <c r="I23" s="830"/>
      <c r="J23" s="830"/>
      <c r="K23" s="60"/>
      <c r="L23" s="60"/>
    </row>
    <row r="24" spans="2:12" ht="15.75" customHeight="1" x14ac:dyDescent="0.3">
      <c r="D24" s="60"/>
      <c r="E24" s="1821" t="s">
        <v>0</v>
      </c>
      <c r="F24" s="1822"/>
      <c r="G24" s="61"/>
      <c r="H24" s="61"/>
      <c r="I24" s="830"/>
      <c r="J24" s="830"/>
      <c r="K24" s="60"/>
      <c r="L24" s="60"/>
    </row>
    <row r="25" spans="2:12" ht="15.75" customHeight="1" thickBot="1" x14ac:dyDescent="0.35">
      <c r="D25" s="60"/>
      <c r="E25" s="810" t="s">
        <v>1</v>
      </c>
      <c r="F25" s="811" t="s">
        <v>2</v>
      </c>
      <c r="G25" s="61"/>
      <c r="H25" s="61"/>
      <c r="I25" s="830"/>
      <c r="J25" s="830"/>
      <c r="K25" s="60"/>
      <c r="L25" s="60"/>
    </row>
    <row r="26" spans="2:12" ht="15.75" customHeight="1" thickBot="1" x14ac:dyDescent="0.35">
      <c r="B26" s="58" t="s">
        <v>17</v>
      </c>
      <c r="D26" s="60"/>
      <c r="E26" s="1823" t="s">
        <v>629</v>
      </c>
      <c r="F26" s="1824"/>
      <c r="G26" s="61"/>
      <c r="H26" s="61"/>
      <c r="I26" s="830"/>
      <c r="J26" s="830"/>
      <c r="K26" s="60"/>
      <c r="L26" s="60"/>
    </row>
    <row r="27" spans="2:12" ht="15.75" customHeight="1" thickBot="1" x14ac:dyDescent="0.35">
      <c r="C27" s="812" t="s">
        <v>7</v>
      </c>
      <c r="D27" s="816" t="s">
        <v>8</v>
      </c>
      <c r="E27" s="1235" t="s">
        <v>9</v>
      </c>
      <c r="F27" s="1236" t="s">
        <v>10</v>
      </c>
      <c r="I27" s="830"/>
      <c r="J27" s="830"/>
      <c r="K27" s="60"/>
      <c r="L27" s="60"/>
    </row>
    <row r="28" spans="2:12" ht="15.75" customHeight="1" x14ac:dyDescent="0.25">
      <c r="B28" s="870" t="s">
        <v>613</v>
      </c>
      <c r="C28" s="1199" t="s">
        <v>11</v>
      </c>
      <c r="D28" s="507">
        <v>215.54</v>
      </c>
      <c r="E28" s="1234">
        <v>4100</v>
      </c>
      <c r="F28" s="818">
        <f>E28*D28</f>
        <v>883714</v>
      </c>
      <c r="I28" s="60"/>
      <c r="J28" s="60"/>
    </row>
    <row r="29" spans="2:12" ht="15.75" customHeight="1" x14ac:dyDescent="0.25">
      <c r="B29" s="115" t="s">
        <v>614</v>
      </c>
      <c r="C29" s="1193" t="s">
        <v>20</v>
      </c>
      <c r="D29" s="113">
        <v>10</v>
      </c>
      <c r="E29" s="1234">
        <v>2000</v>
      </c>
      <c r="F29" s="818">
        <f t="shared" ref="F29" si="0">E29*D29</f>
        <v>20000</v>
      </c>
      <c r="I29" s="60"/>
      <c r="J29" s="60"/>
    </row>
    <row r="30" spans="2:12" x14ac:dyDescent="0.25">
      <c r="B30" s="115" t="s">
        <v>615</v>
      </c>
      <c r="C30" s="1193" t="s">
        <v>20</v>
      </c>
      <c r="D30" s="113">
        <v>15</v>
      </c>
      <c r="E30" s="1234">
        <v>2000</v>
      </c>
      <c r="F30" s="818">
        <f>E30*D30</f>
        <v>30000</v>
      </c>
    </row>
    <row r="31" spans="2:12" x14ac:dyDescent="0.25">
      <c r="B31" s="115" t="s">
        <v>617</v>
      </c>
      <c r="C31" s="1193" t="s">
        <v>20</v>
      </c>
      <c r="D31" s="113">
        <v>82</v>
      </c>
      <c r="E31" s="115">
        <f>1334.86*1.12</f>
        <v>1495.0432000000001</v>
      </c>
      <c r="F31" s="818">
        <f t="shared" ref="F31:F36" si="1">E31*D31</f>
        <v>122593.54240000001</v>
      </c>
    </row>
    <row r="32" spans="2:12" x14ac:dyDescent="0.25">
      <c r="B32" s="115" t="s">
        <v>618</v>
      </c>
      <c r="C32" s="1193" t="s">
        <v>20</v>
      </c>
      <c r="D32" s="113">
        <v>217</v>
      </c>
      <c r="E32" s="115">
        <f>1535.98*1.12</f>
        <v>1720.2976000000001</v>
      </c>
      <c r="F32" s="818">
        <f t="shared" si="1"/>
        <v>373304.57920000004</v>
      </c>
    </row>
    <row r="33" spans="2:6" x14ac:dyDescent="0.25">
      <c r="B33" s="115" t="s">
        <v>619</v>
      </c>
      <c r="C33" s="1193" t="s">
        <v>20</v>
      </c>
      <c r="D33" s="113">
        <v>28</v>
      </c>
      <c r="E33" s="115">
        <f>578.57*1.12</f>
        <v>647.99840000000017</v>
      </c>
      <c r="F33" s="818">
        <f t="shared" si="1"/>
        <v>18143.955200000004</v>
      </c>
    </row>
    <row r="34" spans="2:6" x14ac:dyDescent="0.25">
      <c r="B34" s="115" t="s">
        <v>620</v>
      </c>
      <c r="C34" s="1193" t="s">
        <v>20</v>
      </c>
      <c r="D34" s="113">
        <v>301</v>
      </c>
      <c r="E34" s="115">
        <f>156.44*1.12</f>
        <v>175.21280000000002</v>
      </c>
      <c r="F34" s="818">
        <f t="shared" si="1"/>
        <v>52739.052800000005</v>
      </c>
    </row>
    <row r="35" spans="2:6" x14ac:dyDescent="0.25">
      <c r="B35" s="115" t="s">
        <v>621</v>
      </c>
      <c r="C35" s="1193" t="s">
        <v>20</v>
      </c>
      <c r="D35" s="113">
        <v>301</v>
      </c>
      <c r="E35" s="115">
        <f>156.44*1.12</f>
        <v>175.21280000000002</v>
      </c>
      <c r="F35" s="818">
        <f t="shared" si="1"/>
        <v>52739.052800000005</v>
      </c>
    </row>
    <row r="36" spans="2:6" ht="15.6" thickBot="1" x14ac:dyDescent="0.3">
      <c r="B36" s="509" t="s">
        <v>622</v>
      </c>
      <c r="C36" s="1198" t="s">
        <v>20</v>
      </c>
      <c r="D36" s="837">
        <v>3</v>
      </c>
      <c r="E36" s="115">
        <f>177.66*1.12</f>
        <v>198.97920000000002</v>
      </c>
      <c r="F36" s="818">
        <f t="shared" si="1"/>
        <v>596.93760000000009</v>
      </c>
    </row>
    <row r="37" spans="2:6" ht="18" thickBot="1" x14ac:dyDescent="0.35">
      <c r="E37" s="1238" t="s">
        <v>10</v>
      </c>
      <c r="F37" s="1237">
        <f>SUM(F28:F36)</f>
        <v>1553831.1199999999</v>
      </c>
    </row>
    <row r="38" spans="2:6" x14ac:dyDescent="0.25">
      <c r="E38" s="62"/>
      <c r="F38" s="62"/>
    </row>
    <row r="39" spans="2:6" x14ac:dyDescent="0.25">
      <c r="E39" s="62"/>
      <c r="F39" s="62"/>
    </row>
    <row r="41" spans="2:6" x14ac:dyDescent="0.25">
      <c r="D41" s="61" t="s">
        <v>616</v>
      </c>
      <c r="E41" s="61" t="s">
        <v>614</v>
      </c>
    </row>
    <row r="42" spans="2:6" x14ac:dyDescent="0.25">
      <c r="D42" s="60">
        <v>3390</v>
      </c>
      <c r="E42" s="60">
        <v>140</v>
      </c>
    </row>
    <row r="43" spans="2:6" x14ac:dyDescent="0.25">
      <c r="D43" s="60">
        <v>215.54</v>
      </c>
      <c r="E43" s="60"/>
    </row>
    <row r="45" spans="2:6" x14ac:dyDescent="0.25">
      <c r="D45" s="58" t="s">
        <v>614</v>
      </c>
      <c r="E45" s="1232">
        <f>((D43*E42)/D42)*1.1</f>
        <v>9.7914926253687327</v>
      </c>
    </row>
    <row r="47" spans="2:6" x14ac:dyDescent="0.25">
      <c r="D47" s="61" t="s">
        <v>616</v>
      </c>
      <c r="E47" s="61" t="s">
        <v>615</v>
      </c>
    </row>
    <row r="48" spans="2:6" x14ac:dyDescent="0.25">
      <c r="D48" s="60">
        <v>3390</v>
      </c>
      <c r="E48" s="60">
        <v>210</v>
      </c>
    </row>
    <row r="49" spans="3:7" x14ac:dyDescent="0.25">
      <c r="D49" s="60">
        <v>215.54</v>
      </c>
      <c r="E49" s="60"/>
    </row>
    <row r="51" spans="3:7" x14ac:dyDescent="0.25">
      <c r="D51" s="58" t="s">
        <v>614</v>
      </c>
      <c r="E51" s="1232">
        <f>((D49*E48)/D48)*1.1</f>
        <v>14.687238938053099</v>
      </c>
    </row>
    <row r="53" spans="3:7" x14ac:dyDescent="0.25">
      <c r="D53" s="61" t="s">
        <v>616</v>
      </c>
      <c r="E53" s="61" t="s">
        <v>623</v>
      </c>
      <c r="F53" s="61" t="s">
        <v>616</v>
      </c>
      <c r="G53" s="61" t="s">
        <v>624</v>
      </c>
    </row>
    <row r="54" spans="3:7" x14ac:dyDescent="0.25">
      <c r="D54" s="60">
        <v>3390</v>
      </c>
      <c r="E54" s="60">
        <v>1175</v>
      </c>
      <c r="F54" s="60">
        <v>3390</v>
      </c>
      <c r="G54" s="60">
        <v>3099</v>
      </c>
    </row>
    <row r="55" spans="3:7" x14ac:dyDescent="0.25">
      <c r="D55" s="60">
        <v>215.54</v>
      </c>
      <c r="E55" s="60"/>
      <c r="F55" s="60">
        <v>215.54</v>
      </c>
      <c r="G55" s="60"/>
    </row>
    <row r="57" spans="3:7" x14ac:dyDescent="0.25">
      <c r="D57" s="58" t="s">
        <v>623</v>
      </c>
      <c r="E57" s="1232">
        <f>((D55*E54)/D54)*1.1</f>
        <v>82.178598820059008</v>
      </c>
      <c r="F57" s="1233" t="s">
        <v>624</v>
      </c>
      <c r="G57" s="1232">
        <f>((F55*G54)/F54)*1.1</f>
        <v>216.74168318584071</v>
      </c>
    </row>
    <row r="59" spans="3:7" x14ac:dyDescent="0.25">
      <c r="C59" s="817" t="s">
        <v>616</v>
      </c>
      <c r="D59" s="61" t="s">
        <v>626</v>
      </c>
      <c r="F59" s="817" t="s">
        <v>616</v>
      </c>
      <c r="G59" s="61" t="s">
        <v>625</v>
      </c>
    </row>
    <row r="60" spans="3:7" x14ac:dyDescent="0.25">
      <c r="C60" s="60">
        <v>3390</v>
      </c>
      <c r="D60" s="60">
        <v>400</v>
      </c>
      <c r="F60" s="60">
        <v>3390</v>
      </c>
      <c r="G60" s="60">
        <v>4300</v>
      </c>
    </row>
    <row r="61" spans="3:7" x14ac:dyDescent="0.25">
      <c r="C61" s="60">
        <v>215.54</v>
      </c>
      <c r="D61" s="60"/>
      <c r="F61" s="60">
        <v>215.54</v>
      </c>
      <c r="G61" s="60"/>
    </row>
    <row r="63" spans="3:7" x14ac:dyDescent="0.25">
      <c r="C63" s="1233" t="s">
        <v>626</v>
      </c>
      <c r="D63" s="1232">
        <f>((C61*D60)/C60)*1.1</f>
        <v>27.975693215339234</v>
      </c>
      <c r="F63" s="1233" t="s">
        <v>625</v>
      </c>
      <c r="G63" s="1232">
        <f>((F61*G60)/F60)*1.1</f>
        <v>300.73870206489676</v>
      </c>
    </row>
    <row r="66" spans="2:7" x14ac:dyDescent="0.25">
      <c r="C66" s="817" t="s">
        <v>616</v>
      </c>
      <c r="D66" s="61" t="s">
        <v>627</v>
      </c>
      <c r="F66" s="817" t="s">
        <v>616</v>
      </c>
      <c r="G66" s="61" t="s">
        <v>628</v>
      </c>
    </row>
    <row r="67" spans="2:7" x14ac:dyDescent="0.25">
      <c r="C67" s="60">
        <v>3390</v>
      </c>
      <c r="D67" s="60">
        <v>4300</v>
      </c>
      <c r="F67" s="60">
        <v>3390</v>
      </c>
      <c r="G67" s="60">
        <v>20</v>
      </c>
    </row>
    <row r="68" spans="2:7" x14ac:dyDescent="0.25">
      <c r="C68" s="60">
        <v>215.54</v>
      </c>
      <c r="D68" s="60"/>
      <c r="F68" s="60">
        <v>215.54</v>
      </c>
      <c r="G68" s="60"/>
    </row>
    <row r="70" spans="2:7" x14ac:dyDescent="0.25">
      <c r="C70" s="1233" t="s">
        <v>626</v>
      </c>
      <c r="D70" s="1232">
        <f>((C68*D67)/C67)*1.1</f>
        <v>300.73870206489676</v>
      </c>
      <c r="F70" s="1233" t="s">
        <v>626</v>
      </c>
      <c r="G70" s="1232">
        <f>((F68*G67)/F67)*1.1</f>
        <v>1.3987846607669618</v>
      </c>
    </row>
    <row r="74" spans="2:7" x14ac:dyDescent="0.25">
      <c r="B74" s="58" t="s">
        <v>868</v>
      </c>
      <c r="C74" s="60">
        <v>304611794.06</v>
      </c>
      <c r="D74" s="60">
        <v>3437</v>
      </c>
      <c r="E74" s="60">
        <f>C74/D74</f>
        <v>88627.231323828921</v>
      </c>
    </row>
  </sheetData>
  <mergeCells count="12">
    <mergeCell ref="E8:F8"/>
    <mergeCell ref="G8:H8"/>
    <mergeCell ref="I8:J8"/>
    <mergeCell ref="E10:F10"/>
    <mergeCell ref="G10:H10"/>
    <mergeCell ref="I10:J10"/>
    <mergeCell ref="E24:F24"/>
    <mergeCell ref="E26:F26"/>
    <mergeCell ref="G15:H18"/>
    <mergeCell ref="E16:F16"/>
    <mergeCell ref="E17:F17"/>
    <mergeCell ref="E18:F18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rgb="FFFF0000"/>
  </sheetPr>
  <dimension ref="D3:S84"/>
  <sheetViews>
    <sheetView topLeftCell="B1" workbookViewId="0">
      <selection activeCell="K13" sqref="K13"/>
    </sheetView>
  </sheetViews>
  <sheetFormatPr baseColWidth="10" defaultColWidth="11.44140625" defaultRowHeight="14.4" x14ac:dyDescent="0.3"/>
  <cols>
    <col min="1" max="4" width="11.44140625" style="40"/>
    <col min="5" max="5" width="46" style="40" customWidth="1"/>
    <col min="6" max="6" width="11.44140625" style="40"/>
    <col min="7" max="8" width="11.5546875" style="40" bestFit="1" customWidth="1"/>
    <col min="9" max="9" width="12.5546875" style="40" bestFit="1" customWidth="1"/>
    <col min="10" max="10" width="14.33203125" style="40" customWidth="1"/>
    <col min="11" max="11" width="24.44140625" style="40" customWidth="1"/>
    <col min="12" max="12" width="17.5546875" style="40" bestFit="1" customWidth="1"/>
    <col min="13" max="13" width="17.5546875" style="40" customWidth="1"/>
    <col min="14" max="14" width="17" style="40" customWidth="1"/>
    <col min="15" max="15" width="19.109375" style="40" customWidth="1"/>
    <col min="16" max="16" width="20" style="40" customWidth="1"/>
    <col min="17" max="17" width="21.33203125" style="40" customWidth="1"/>
    <col min="18" max="16384" width="11.44140625" style="40"/>
  </cols>
  <sheetData>
    <row r="3" spans="4:15" ht="15" thickBot="1" x14ac:dyDescent="0.35"/>
    <row r="4" spans="4:15" ht="24" thickBot="1" x14ac:dyDescent="0.5">
      <c r="E4" s="1851" t="s">
        <v>630</v>
      </c>
      <c r="F4" s="1852"/>
      <c r="G4" s="1852"/>
      <c r="H4" s="1852"/>
      <c r="I4" s="1852"/>
      <c r="J4" s="1852"/>
      <c r="K4" s="1852"/>
      <c r="L4" s="1852"/>
      <c r="M4" s="1852"/>
      <c r="N4" s="1852"/>
      <c r="O4" s="1853"/>
    </row>
    <row r="5" spans="4:15" ht="15" thickBot="1" x14ac:dyDescent="0.35">
      <c r="I5" s="2"/>
      <c r="J5" s="1854" t="s">
        <v>21</v>
      </c>
      <c r="K5" s="1854"/>
      <c r="L5" s="1855"/>
      <c r="M5" s="1855"/>
      <c r="N5" s="1855"/>
      <c r="O5" s="1856"/>
    </row>
    <row r="6" spans="4:15" x14ac:dyDescent="0.3">
      <c r="I6" s="43"/>
      <c r="J6" s="1836" t="s">
        <v>0</v>
      </c>
      <c r="K6" s="1837"/>
      <c r="L6" s="1838" t="s">
        <v>0</v>
      </c>
      <c r="M6" s="1839"/>
      <c r="N6" s="1840" t="s">
        <v>0</v>
      </c>
      <c r="O6" s="1837"/>
    </row>
    <row r="7" spans="4:15" ht="18.600000000000001" thickBot="1" x14ac:dyDescent="0.4">
      <c r="I7" s="43"/>
      <c r="J7" s="231" t="s">
        <v>1</v>
      </c>
      <c r="K7" s="201" t="s">
        <v>632</v>
      </c>
      <c r="L7" s="1185" t="s">
        <v>1</v>
      </c>
      <c r="M7" s="195" t="s">
        <v>2</v>
      </c>
      <c r="N7" s="195" t="s">
        <v>3</v>
      </c>
      <c r="O7" s="46" t="s">
        <v>4</v>
      </c>
    </row>
    <row r="8" spans="4:15" x14ac:dyDescent="0.3">
      <c r="I8" s="43"/>
      <c r="J8" s="1857"/>
      <c r="K8" s="1858"/>
      <c r="L8" s="1845"/>
      <c r="M8" s="1846"/>
      <c r="N8" s="1849"/>
      <c r="O8" s="1846"/>
    </row>
    <row r="9" spans="4:15" ht="15" thickBot="1" x14ac:dyDescent="0.35">
      <c r="I9" s="43"/>
      <c r="J9" s="1843"/>
      <c r="K9" s="1844"/>
      <c r="L9" s="1847"/>
      <c r="M9" s="1848"/>
      <c r="N9" s="1850"/>
      <c r="O9" s="1848"/>
    </row>
    <row r="10" spans="4:15" x14ac:dyDescent="0.3">
      <c r="D10" s="40" t="s">
        <v>5</v>
      </c>
      <c r="E10" s="3" t="s">
        <v>6</v>
      </c>
      <c r="F10" s="40" t="s">
        <v>7</v>
      </c>
      <c r="G10" s="40" t="s">
        <v>8</v>
      </c>
      <c r="H10" s="43"/>
      <c r="I10" s="43"/>
      <c r="J10" s="1187" t="s">
        <v>9</v>
      </c>
      <c r="K10" s="1188" t="s">
        <v>10</v>
      </c>
      <c r="L10" s="1183" t="s">
        <v>9</v>
      </c>
      <c r="M10" s="1189" t="s">
        <v>10</v>
      </c>
      <c r="N10" s="1182" t="s">
        <v>9</v>
      </c>
      <c r="O10" s="1189" t="s">
        <v>10</v>
      </c>
    </row>
    <row r="11" spans="4:15" x14ac:dyDescent="0.3">
      <c r="D11" s="3">
        <v>1</v>
      </c>
      <c r="E11" s="1" t="s">
        <v>633</v>
      </c>
      <c r="F11" s="175" t="s">
        <v>40</v>
      </c>
      <c r="G11" s="176">
        <v>218.66</v>
      </c>
      <c r="H11" s="177"/>
      <c r="I11" s="177"/>
      <c r="J11" s="179">
        <v>9147</v>
      </c>
      <c r="K11" s="178">
        <f>J11*G11</f>
        <v>2000083.02</v>
      </c>
      <c r="L11" s="177"/>
      <c r="M11" s="178"/>
      <c r="N11" s="179"/>
      <c r="O11" s="178"/>
    </row>
    <row r="12" spans="4:15" ht="15" thickBot="1" x14ac:dyDescent="0.35">
      <c r="D12" s="3"/>
      <c r="F12" s="175"/>
      <c r="G12" s="176"/>
      <c r="H12" s="177"/>
      <c r="I12" s="177"/>
      <c r="J12" s="179"/>
      <c r="K12" s="178">
        <f>J12*G12</f>
        <v>0</v>
      </c>
      <c r="L12" s="177"/>
      <c r="M12" s="178"/>
      <c r="N12" s="177"/>
      <c r="O12" s="178"/>
    </row>
    <row r="13" spans="4:15" ht="15" thickBot="1" x14ac:dyDescent="0.35">
      <c r="D13" s="3"/>
      <c r="F13" s="175"/>
      <c r="G13" s="176"/>
      <c r="H13" s="4"/>
      <c r="I13" s="4"/>
      <c r="J13" s="14" t="s">
        <v>10</v>
      </c>
      <c r="K13" s="192">
        <f>SUM(K11:K12)</f>
        <v>2000083.02</v>
      </c>
      <c r="L13" s="11"/>
      <c r="M13" s="187">
        <f>SUM(M11:M11)</f>
        <v>0</v>
      </c>
      <c r="N13" s="12"/>
      <c r="O13" s="182">
        <f>SUM(O11:O11)</f>
        <v>0</v>
      </c>
    </row>
    <row r="14" spans="4:15" x14ac:dyDescent="0.3">
      <c r="G14" s="4"/>
      <c r="H14" s="4"/>
      <c r="I14" s="4"/>
      <c r="J14" s="1826" t="s">
        <v>514</v>
      </c>
      <c r="K14" s="1827"/>
      <c r="L14" s="1830"/>
      <c r="M14" s="1829"/>
      <c r="N14" s="1826"/>
      <c r="O14" s="1827"/>
    </row>
    <row r="15" spans="4:15" ht="15" thickBot="1" x14ac:dyDescent="0.35">
      <c r="G15" s="4"/>
      <c r="H15" s="4"/>
      <c r="I15" s="4"/>
      <c r="J15" s="1828"/>
      <c r="K15" s="1829"/>
      <c r="L15" s="1831"/>
      <c r="M15" s="1832"/>
      <c r="N15" s="1833"/>
      <c r="O15" s="1832"/>
    </row>
    <row r="16" spans="4:15" ht="15" thickBot="1" x14ac:dyDescent="0.35">
      <c r="G16" s="4"/>
      <c r="H16" s="4"/>
      <c r="I16" s="4"/>
      <c r="J16" s="1833"/>
      <c r="K16" s="1832"/>
      <c r="L16" s="4"/>
      <c r="M16" s="4"/>
      <c r="N16" s="6"/>
      <c r="O16" s="6"/>
    </row>
    <row r="17" spans="8:9" x14ac:dyDescent="0.3">
      <c r="H17" s="43"/>
      <c r="I17" s="43"/>
    </row>
    <row r="18" spans="8:9" x14ac:dyDescent="0.3">
      <c r="H18" s="43"/>
      <c r="I18" s="43"/>
    </row>
    <row r="19" spans="8:9" x14ac:dyDescent="0.3">
      <c r="H19" s="43"/>
      <c r="I19" s="43"/>
    </row>
    <row r="20" spans="8:9" x14ac:dyDescent="0.3">
      <c r="H20" s="43"/>
      <c r="I20" s="43"/>
    </row>
    <row r="21" spans="8:9" x14ac:dyDescent="0.3">
      <c r="H21" s="43"/>
      <c r="I21" s="43"/>
    </row>
    <row r="22" spans="8:9" x14ac:dyDescent="0.3">
      <c r="H22" s="43"/>
      <c r="I22" s="43"/>
    </row>
    <row r="23" spans="8:9" x14ac:dyDescent="0.3">
      <c r="H23" s="43"/>
      <c r="I23" s="43"/>
    </row>
    <row r="24" spans="8:9" x14ac:dyDescent="0.3">
      <c r="H24" s="43"/>
      <c r="I24" s="43"/>
    </row>
    <row r="25" spans="8:9" x14ac:dyDescent="0.3">
      <c r="H25" s="43"/>
      <c r="I25" s="43"/>
    </row>
    <row r="26" spans="8:9" x14ac:dyDescent="0.3">
      <c r="H26" s="43"/>
      <c r="I26" s="43"/>
    </row>
    <row r="27" spans="8:9" x14ac:dyDescent="0.3">
      <c r="H27" s="43"/>
      <c r="I27" s="43"/>
    </row>
    <row r="28" spans="8:9" x14ac:dyDescent="0.3">
      <c r="H28" s="43"/>
      <c r="I28" s="43"/>
    </row>
    <row r="29" spans="8:9" x14ac:dyDescent="0.3">
      <c r="H29" s="43"/>
      <c r="I29" s="43"/>
    </row>
    <row r="30" spans="8:9" x14ac:dyDescent="0.3">
      <c r="H30" s="43"/>
      <c r="I30" s="43"/>
    </row>
    <row r="31" spans="8:9" x14ac:dyDescent="0.3">
      <c r="H31" s="43"/>
      <c r="I31" s="43"/>
    </row>
    <row r="32" spans="8:9" x14ac:dyDescent="0.3">
      <c r="H32" s="43"/>
      <c r="I32" s="43"/>
    </row>
    <row r="33" spans="4:19" x14ac:dyDescent="0.3">
      <c r="H33" s="43"/>
      <c r="I33" s="43"/>
    </row>
    <row r="34" spans="4:19" ht="15" thickBot="1" x14ac:dyDescent="0.35">
      <c r="H34" s="43"/>
      <c r="I34" s="43"/>
    </row>
    <row r="35" spans="4:19" ht="24" thickBot="1" x14ac:dyDescent="0.5">
      <c r="E35" s="1851" t="s">
        <v>631</v>
      </c>
      <c r="F35" s="1852"/>
      <c r="G35" s="1852"/>
      <c r="H35" s="1852"/>
      <c r="I35" s="1852"/>
      <c r="J35" s="1852"/>
      <c r="K35" s="1852"/>
      <c r="L35" s="1852"/>
      <c r="M35" s="1852"/>
      <c r="N35" s="1852"/>
      <c r="O35" s="1853"/>
    </row>
    <row r="36" spans="4:19" ht="15" thickBot="1" x14ac:dyDescent="0.35">
      <c r="I36" s="2"/>
      <c r="J36" s="1855" t="s">
        <v>21</v>
      </c>
      <c r="K36" s="1855"/>
      <c r="L36" s="1855"/>
      <c r="M36" s="1855"/>
      <c r="N36" s="1855"/>
      <c r="O36" s="1856"/>
    </row>
    <row r="37" spans="4:19" x14ac:dyDescent="0.3">
      <c r="I37" s="43"/>
      <c r="J37" s="1836" t="s">
        <v>0</v>
      </c>
      <c r="K37" s="1837"/>
      <c r="L37" s="1838" t="s">
        <v>0</v>
      </c>
      <c r="M37" s="1839"/>
      <c r="N37" s="1840" t="s">
        <v>0</v>
      </c>
      <c r="O37" s="1837"/>
      <c r="P37" s="1838"/>
      <c r="Q37" s="1838"/>
    </row>
    <row r="38" spans="4:19" ht="18" x14ac:dyDescent="0.35">
      <c r="I38" s="43"/>
      <c r="J38" s="1184" t="s">
        <v>1</v>
      </c>
      <c r="K38" s="203" t="s">
        <v>2</v>
      </c>
      <c r="L38" s="1185" t="s">
        <v>1</v>
      </c>
      <c r="M38" s="195" t="s">
        <v>2</v>
      </c>
      <c r="N38" s="195" t="s">
        <v>3</v>
      </c>
      <c r="O38" s="46" t="s">
        <v>4</v>
      </c>
      <c r="P38" s="1191"/>
      <c r="Q38" s="1186"/>
    </row>
    <row r="39" spans="4:19" x14ac:dyDescent="0.3">
      <c r="I39" s="43"/>
      <c r="J39" s="1841"/>
      <c r="K39" s="1842"/>
      <c r="L39" s="1845"/>
      <c r="M39" s="1846"/>
      <c r="N39" s="1849"/>
      <c r="O39" s="1846"/>
      <c r="P39" s="1838"/>
      <c r="Q39" s="1838"/>
    </row>
    <row r="40" spans="4:19" ht="15" thickBot="1" x14ac:dyDescent="0.35">
      <c r="I40" s="43"/>
      <c r="J40" s="1843"/>
      <c r="K40" s="1844"/>
      <c r="L40" s="1847"/>
      <c r="M40" s="1848"/>
      <c r="N40" s="1850"/>
      <c r="O40" s="1848"/>
      <c r="P40" s="1838"/>
      <c r="Q40" s="1838"/>
      <c r="R40" s="1849" t="s">
        <v>32</v>
      </c>
      <c r="S40" s="1846"/>
    </row>
    <row r="41" spans="4:19" x14ac:dyDescent="0.3">
      <c r="D41" s="40" t="s">
        <v>5</v>
      </c>
      <c r="E41" s="3" t="s">
        <v>6</v>
      </c>
      <c r="F41" s="40" t="s">
        <v>7</v>
      </c>
      <c r="G41" s="40" t="s">
        <v>8</v>
      </c>
      <c r="H41" s="43"/>
      <c r="I41" s="43"/>
      <c r="J41" s="1187" t="s">
        <v>9</v>
      </c>
      <c r="K41" s="1188" t="s">
        <v>10</v>
      </c>
      <c r="L41" s="1183" t="s">
        <v>9</v>
      </c>
      <c r="M41" s="1189" t="s">
        <v>10</v>
      </c>
      <c r="N41" s="1182" t="s">
        <v>9</v>
      </c>
      <c r="O41" s="1189" t="s">
        <v>10</v>
      </c>
      <c r="P41" s="43"/>
      <c r="Q41" s="43"/>
      <c r="R41" s="1850"/>
      <c r="S41" s="1848"/>
    </row>
    <row r="42" spans="4:19" ht="28.8" x14ac:dyDescent="0.3">
      <c r="D42" s="3">
        <v>1</v>
      </c>
      <c r="E42" s="1" t="s">
        <v>98</v>
      </c>
      <c r="F42" s="175" t="s">
        <v>40</v>
      </c>
      <c r="G42" s="1365">
        <v>227.77</v>
      </c>
      <c r="H42" s="177"/>
      <c r="I42" s="177"/>
      <c r="J42" s="179">
        <v>2600</v>
      </c>
      <c r="K42" s="178">
        <f>J42*G42</f>
        <v>592202</v>
      </c>
      <c r="L42" s="177"/>
      <c r="M42" s="178"/>
      <c r="N42" s="179"/>
      <c r="O42" s="178"/>
      <c r="P42" s="6"/>
      <c r="Q42" s="6"/>
      <c r="R42" s="7"/>
      <c r="S42" s="6">
        <f>+R42*O42</f>
        <v>0</v>
      </c>
    </row>
    <row r="43" spans="4:19" ht="15" thickBot="1" x14ac:dyDescent="0.35">
      <c r="D43" s="3">
        <v>2</v>
      </c>
      <c r="E43" s="40" t="s">
        <v>99</v>
      </c>
      <c r="F43" s="175" t="s">
        <v>40</v>
      </c>
      <c r="G43" s="1365">
        <v>227.77</v>
      </c>
      <c r="H43" s="177"/>
      <c r="I43" s="177"/>
      <c r="J43" s="179">
        <v>1000</v>
      </c>
      <c r="K43" s="178">
        <f>J43*G43</f>
        <v>227770</v>
      </c>
      <c r="L43" s="177"/>
      <c r="M43" s="178"/>
      <c r="N43" s="177"/>
      <c r="O43" s="178"/>
      <c r="P43" s="6"/>
      <c r="Q43" s="6"/>
      <c r="R43" s="6"/>
      <c r="S43" s="6"/>
    </row>
    <row r="44" spans="4:19" ht="15" thickBot="1" x14ac:dyDescent="0.35">
      <c r="D44" s="3"/>
      <c r="F44" s="175"/>
      <c r="G44" s="1365"/>
      <c r="H44" s="4"/>
      <c r="I44" s="4"/>
      <c r="J44" s="14" t="s">
        <v>10</v>
      </c>
      <c r="K44" s="192">
        <f>SUM(K42:K43)</f>
        <v>819972</v>
      </c>
      <c r="L44" s="11"/>
      <c r="M44" s="187">
        <f>SUM(M42:M42)</f>
        <v>0</v>
      </c>
      <c r="N44" s="12"/>
      <c r="O44" s="182">
        <f>SUM(O42:O42)</f>
        <v>0</v>
      </c>
      <c r="P44" s="16"/>
      <c r="Q44" s="16"/>
      <c r="R44" s="35">
        <v>3558.69</v>
      </c>
      <c r="S44" s="47">
        <f>+R44*O44</f>
        <v>0</v>
      </c>
    </row>
    <row r="45" spans="4:19" ht="15" customHeight="1" thickBot="1" x14ac:dyDescent="0.35">
      <c r="G45" s="4"/>
      <c r="H45" s="4"/>
      <c r="I45" s="4"/>
      <c r="J45" s="1826" t="s">
        <v>100</v>
      </c>
      <c r="K45" s="1827"/>
      <c r="L45" s="1830"/>
      <c r="M45" s="1829"/>
      <c r="N45" s="1826"/>
      <c r="O45" s="1827"/>
      <c r="P45" s="6"/>
      <c r="Q45" s="6"/>
      <c r="R45" s="48" t="s">
        <v>10</v>
      </c>
      <c r="S45" s="49">
        <f>SUM(S42:S44)</f>
        <v>0</v>
      </c>
    </row>
    <row r="46" spans="4:19" ht="52.5" customHeight="1" thickBot="1" x14ac:dyDescent="0.35">
      <c r="E46" s="1261">
        <f>6000*5*3</f>
        <v>90000</v>
      </c>
      <c r="G46" s="4"/>
      <c r="H46" s="4"/>
      <c r="I46" s="4"/>
      <c r="J46" s="1828"/>
      <c r="K46" s="1829"/>
      <c r="L46" s="1831"/>
      <c r="M46" s="1832"/>
      <c r="N46" s="1833"/>
      <c r="O46" s="1832"/>
      <c r="P46" s="6"/>
      <c r="Q46" s="6"/>
      <c r="R46" s="1860" t="s">
        <v>24</v>
      </c>
      <c r="S46" s="1861"/>
    </row>
    <row r="47" spans="4:19" ht="30" customHeight="1" thickBot="1" x14ac:dyDescent="0.35">
      <c r="E47" s="783">
        <f>270000/227.77</f>
        <v>1185.4063309478859</v>
      </c>
      <c r="G47" s="4"/>
      <c r="H47" s="4"/>
      <c r="I47" s="4"/>
      <c r="J47" s="1833"/>
      <c r="K47" s="1832"/>
      <c r="L47" s="4"/>
      <c r="M47" s="4"/>
      <c r="N47" s="6"/>
      <c r="O47" s="6"/>
      <c r="P47" s="6"/>
      <c r="Q47" s="6"/>
      <c r="R47" s="1862"/>
      <c r="S47" s="1863"/>
    </row>
    <row r="48" spans="4:19" x14ac:dyDescent="0.3">
      <c r="E48" s="783">
        <f>90000*2</f>
        <v>180000</v>
      </c>
      <c r="G48" s="4"/>
      <c r="H48" s="4"/>
      <c r="I48" s="4"/>
      <c r="J48" s="4"/>
      <c r="K48" s="4"/>
      <c r="L48" s="4"/>
      <c r="M48" s="4"/>
      <c r="N48" s="6"/>
      <c r="O48" s="6"/>
      <c r="P48" s="6"/>
      <c r="Q48" s="6"/>
    </row>
    <row r="49" spans="4:17" ht="15" thickBot="1" x14ac:dyDescent="0.35">
      <c r="E49" s="784">
        <f>180000/227.77</f>
        <v>790.27088729859065</v>
      </c>
      <c r="G49" s="4"/>
      <c r="H49" s="4"/>
      <c r="I49" s="4"/>
      <c r="J49" s="4"/>
      <c r="K49" s="4"/>
      <c r="L49" s="4"/>
      <c r="M49" s="4"/>
      <c r="N49" s="4"/>
      <c r="O49" s="4"/>
      <c r="P49" s="6"/>
      <c r="Q49" s="6"/>
    </row>
    <row r="50" spans="4:17" ht="15" thickBot="1" x14ac:dyDescent="0.35">
      <c r="I50" s="2"/>
      <c r="J50" s="1864" t="s">
        <v>17</v>
      </c>
      <c r="K50" s="1864"/>
      <c r="L50" s="1864"/>
      <c r="M50" s="1864"/>
      <c r="N50" s="1864"/>
      <c r="O50" s="1865"/>
      <c r="P50" s="4"/>
      <c r="Q50" s="4"/>
    </row>
    <row r="51" spans="4:17" ht="15.75" customHeight="1" x14ac:dyDescent="0.3">
      <c r="I51" s="43"/>
      <c r="J51" s="1836" t="s">
        <v>0</v>
      </c>
      <c r="K51" s="1837"/>
      <c r="L51" s="1838" t="s">
        <v>0</v>
      </c>
      <c r="M51" s="1839"/>
      <c r="N51" s="1840" t="s">
        <v>0</v>
      </c>
      <c r="O51" s="1837"/>
      <c r="P51" s="4"/>
      <c r="Q51" s="4"/>
    </row>
    <row r="52" spans="4:17" ht="15.75" customHeight="1" x14ac:dyDescent="0.35">
      <c r="I52" s="43"/>
      <c r="J52" s="1184" t="s">
        <v>1</v>
      </c>
      <c r="K52" s="203" t="s">
        <v>2</v>
      </c>
      <c r="L52" s="1185" t="s">
        <v>1</v>
      </c>
      <c r="M52" s="195" t="s">
        <v>2</v>
      </c>
      <c r="N52" s="195" t="s">
        <v>3</v>
      </c>
      <c r="O52" s="46" t="s">
        <v>4</v>
      </c>
      <c r="P52" s="4"/>
      <c r="Q52" s="4"/>
    </row>
    <row r="53" spans="4:17" ht="15.75" customHeight="1" x14ac:dyDescent="0.3">
      <c r="I53" s="43"/>
      <c r="J53" s="1841" t="s">
        <v>362</v>
      </c>
      <c r="K53" s="1842"/>
      <c r="L53" s="1845"/>
      <c r="M53" s="1846"/>
      <c r="N53" s="1849"/>
      <c r="O53" s="1846"/>
      <c r="P53" s="4"/>
      <c r="Q53" s="4"/>
    </row>
    <row r="54" spans="4:17" ht="15.75" customHeight="1" thickBot="1" x14ac:dyDescent="0.35">
      <c r="I54" s="43"/>
      <c r="J54" s="1843"/>
      <c r="K54" s="1844"/>
      <c r="L54" s="1847"/>
      <c r="M54" s="1848"/>
      <c r="N54" s="1850"/>
      <c r="O54" s="1848"/>
      <c r="P54" s="4"/>
      <c r="Q54" s="4"/>
    </row>
    <row r="55" spans="4:17" ht="18.75" customHeight="1" x14ac:dyDescent="0.3">
      <c r="D55" s="33" t="s">
        <v>5</v>
      </c>
      <c r="E55" s="1192" t="s">
        <v>6</v>
      </c>
      <c r="F55" s="66" t="s">
        <v>7</v>
      </c>
      <c r="G55" s="66" t="s">
        <v>8</v>
      </c>
      <c r="H55" s="43"/>
      <c r="I55" s="43"/>
      <c r="J55" s="1187" t="s">
        <v>9</v>
      </c>
      <c r="K55" s="1188" t="s">
        <v>10</v>
      </c>
      <c r="L55" s="1183" t="s">
        <v>9</v>
      </c>
      <c r="M55" s="1189" t="s">
        <v>10</v>
      </c>
      <c r="N55" s="1182" t="s">
        <v>9</v>
      </c>
      <c r="O55" s="1189" t="s">
        <v>10</v>
      </c>
      <c r="P55" s="4"/>
      <c r="Q55" s="4"/>
    </row>
    <row r="56" spans="4:17" ht="50.25" customHeight="1" x14ac:dyDescent="0.3">
      <c r="D56" s="3">
        <v>1</v>
      </c>
      <c r="E56" s="646" t="s">
        <v>361</v>
      </c>
      <c r="F56" s="320" t="s">
        <v>286</v>
      </c>
      <c r="G56" s="647">
        <v>1</v>
      </c>
      <c r="H56" s="177"/>
      <c r="I56" s="177"/>
      <c r="J56" s="179">
        <v>105000</v>
      </c>
      <c r="K56" s="178">
        <f>J56*G56</f>
        <v>105000</v>
      </c>
      <c r="L56" s="177"/>
      <c r="M56" s="178"/>
      <c r="N56" s="179"/>
      <c r="O56" s="178"/>
      <c r="P56" s="4"/>
      <c r="Q56" s="4"/>
    </row>
    <row r="57" spans="4:17" ht="50.25" customHeight="1" x14ac:dyDescent="0.3">
      <c r="D57" s="3"/>
      <c r="E57" s="1433" t="s">
        <v>929</v>
      </c>
      <c r="F57" s="216" t="s">
        <v>55</v>
      </c>
      <c r="G57" s="177">
        <v>40</v>
      </c>
      <c r="H57" s="177"/>
      <c r="I57" s="177"/>
      <c r="J57" s="179">
        <v>12500</v>
      </c>
      <c r="K57" s="178">
        <f>J57*G57</f>
        <v>500000</v>
      </c>
      <c r="L57" s="177"/>
      <c r="M57" s="178"/>
      <c r="N57" s="179"/>
      <c r="O57" s="178"/>
      <c r="P57" s="4"/>
      <c r="Q57" s="4"/>
    </row>
    <row r="58" spans="4:17" ht="50.25" customHeight="1" thickBot="1" x14ac:dyDescent="0.35">
      <c r="D58" s="3"/>
      <c r="E58" s="1433" t="s">
        <v>931</v>
      </c>
      <c r="F58" s="216" t="s">
        <v>930</v>
      </c>
      <c r="G58" s="177">
        <v>2</v>
      </c>
      <c r="H58" s="177"/>
      <c r="I58" s="177"/>
      <c r="J58" s="179">
        <v>40000</v>
      </c>
      <c r="K58" s="178">
        <f>J58*G58</f>
        <v>80000</v>
      </c>
      <c r="L58" s="177"/>
      <c r="M58" s="178"/>
      <c r="N58" s="179"/>
      <c r="O58" s="178"/>
      <c r="P58" s="4"/>
      <c r="Q58" s="4"/>
    </row>
    <row r="59" spans="4:17" ht="39" customHeight="1" thickBot="1" x14ac:dyDescent="0.35">
      <c r="D59" s="3"/>
      <c r="F59" s="175"/>
      <c r="G59" s="176"/>
      <c r="H59" s="4"/>
      <c r="I59" s="4"/>
      <c r="J59" s="14" t="s">
        <v>10</v>
      </c>
      <c r="K59" s="192">
        <f>SUM(K56:K58)</f>
        <v>685000</v>
      </c>
      <c r="L59" s="11"/>
      <c r="M59" s="187">
        <f>SUM(M56:M56)</f>
        <v>0</v>
      </c>
      <c r="N59" s="186"/>
      <c r="O59" s="187">
        <f>SUM(O56:O56)</f>
        <v>0</v>
      </c>
      <c r="P59" s="4"/>
      <c r="Q59" s="4"/>
    </row>
    <row r="60" spans="4:17" ht="39" customHeight="1" x14ac:dyDescent="0.3">
      <c r="G60" s="4"/>
      <c r="H60" s="4"/>
      <c r="I60" s="4"/>
      <c r="J60" s="1826" t="s">
        <v>100</v>
      </c>
      <c r="K60" s="1827"/>
      <c r="L60" s="1830"/>
      <c r="M60" s="1829"/>
      <c r="N60" s="1828"/>
      <c r="O60" s="1829"/>
      <c r="P60" s="4"/>
      <c r="Q60" s="4"/>
    </row>
    <row r="61" spans="4:17" ht="39" customHeight="1" thickBot="1" x14ac:dyDescent="0.35">
      <c r="G61" s="4"/>
      <c r="H61" s="4"/>
      <c r="I61" s="4"/>
      <c r="J61" s="1828"/>
      <c r="K61" s="1829"/>
      <c r="L61" s="1831"/>
      <c r="M61" s="1832"/>
      <c r="N61" s="1833"/>
      <c r="O61" s="1832"/>
      <c r="P61" s="4"/>
      <c r="Q61" s="4"/>
    </row>
    <row r="62" spans="4:17" ht="39" customHeight="1" thickBot="1" x14ac:dyDescent="0.35">
      <c r="G62" s="4"/>
      <c r="H62" s="4"/>
      <c r="I62" s="4"/>
      <c r="J62" s="1833"/>
      <c r="K62" s="1832"/>
      <c r="L62" s="4"/>
      <c r="M62" s="4"/>
      <c r="N62" s="6"/>
      <c r="O62" s="6"/>
      <c r="P62" s="4"/>
      <c r="Q62" s="4"/>
    </row>
    <row r="63" spans="4:17" ht="15.75" customHeight="1" x14ac:dyDescent="0.35">
      <c r="G63" s="4"/>
      <c r="H63" s="4"/>
      <c r="I63" s="4"/>
      <c r="J63" s="1186"/>
      <c r="K63" s="1191"/>
      <c r="L63" s="1191"/>
      <c r="M63" s="1186"/>
      <c r="N63" s="1191"/>
      <c r="O63" s="1186"/>
      <c r="P63" s="4"/>
      <c r="Q63" s="4"/>
    </row>
    <row r="64" spans="4:17" ht="18" x14ac:dyDescent="0.35">
      <c r="G64" s="4"/>
      <c r="H64" s="4"/>
      <c r="I64" s="4"/>
      <c r="J64" s="1835"/>
      <c r="K64" s="1835"/>
      <c r="L64" s="1859"/>
      <c r="M64" s="1859"/>
      <c r="N64" s="1859"/>
      <c r="O64" s="1859"/>
      <c r="P64" s="4"/>
      <c r="Q64" s="4"/>
    </row>
    <row r="65" spans="6:19" ht="29.25" customHeight="1" x14ac:dyDescent="0.3">
      <c r="G65" s="4"/>
      <c r="H65" s="4"/>
      <c r="I65" s="4"/>
      <c r="J65" s="1835"/>
      <c r="K65" s="1835"/>
      <c r="L65" s="1835"/>
      <c r="M65" s="1835"/>
      <c r="N65" s="1835"/>
      <c r="O65" s="1835"/>
      <c r="P65" s="43"/>
      <c r="Q65" s="43"/>
      <c r="R65" s="43"/>
      <c r="S65" s="43"/>
    </row>
    <row r="66" spans="6:19" x14ac:dyDescent="0.3">
      <c r="G66" s="4"/>
      <c r="H66" s="4"/>
      <c r="I66" s="4"/>
      <c r="J66" s="25"/>
      <c r="K66" s="25"/>
      <c r="L66" s="25"/>
      <c r="M66" s="25"/>
      <c r="N66" s="25"/>
      <c r="O66" s="25"/>
      <c r="P66" s="43"/>
      <c r="Q66" s="43"/>
      <c r="R66" s="43"/>
      <c r="S66" s="43"/>
    </row>
    <row r="67" spans="6:19" x14ac:dyDescent="0.3">
      <c r="F67" s="33"/>
      <c r="G67" s="34"/>
      <c r="H67" s="34"/>
      <c r="I67" s="34"/>
      <c r="J67" s="6"/>
      <c r="K67" s="25"/>
      <c r="L67" s="50"/>
      <c r="M67" s="25"/>
      <c r="N67" s="25"/>
      <c r="O67" s="25"/>
      <c r="P67" s="43"/>
      <c r="Q67" s="43"/>
      <c r="R67" s="43"/>
      <c r="S67" s="43"/>
    </row>
    <row r="68" spans="6:19" x14ac:dyDescent="0.3">
      <c r="F68" s="33"/>
      <c r="G68" s="34"/>
      <c r="H68" s="4"/>
      <c r="I68" s="4"/>
      <c r="J68" s="6"/>
      <c r="K68" s="25"/>
      <c r="L68" s="25"/>
      <c r="M68" s="25"/>
      <c r="N68" s="25"/>
      <c r="O68" s="25"/>
      <c r="P68" s="43"/>
      <c r="Q68" s="43"/>
      <c r="R68" s="43"/>
      <c r="S68" s="43"/>
    </row>
    <row r="69" spans="6:19" x14ac:dyDescent="0.3">
      <c r="F69" s="33"/>
      <c r="G69" s="34"/>
      <c r="H69" s="4"/>
      <c r="I69" s="4"/>
      <c r="J69" s="6"/>
      <c r="K69" s="25"/>
      <c r="L69" s="25"/>
      <c r="M69" s="25"/>
      <c r="N69" s="25"/>
      <c r="O69" s="25"/>
      <c r="P69" s="43"/>
      <c r="Q69" s="43"/>
      <c r="R69" s="43"/>
      <c r="S69" s="43"/>
    </row>
    <row r="70" spans="6:19" x14ac:dyDescent="0.3">
      <c r="F70" s="33"/>
      <c r="G70" s="34"/>
      <c r="H70" s="4"/>
      <c r="I70" s="4"/>
      <c r="J70" s="6"/>
      <c r="K70" s="25"/>
      <c r="L70" s="25"/>
      <c r="M70" s="25"/>
      <c r="N70" s="25"/>
      <c r="O70" s="25"/>
      <c r="P70" s="43"/>
      <c r="Q70" s="43"/>
      <c r="R70" s="43"/>
      <c r="S70" s="43"/>
    </row>
    <row r="71" spans="6:19" x14ac:dyDescent="0.3">
      <c r="F71" s="33"/>
      <c r="G71" s="34"/>
      <c r="H71" s="4"/>
      <c r="I71" s="4"/>
      <c r="J71" s="6"/>
      <c r="K71" s="25"/>
      <c r="L71" s="25"/>
      <c r="M71" s="25"/>
      <c r="N71" s="25"/>
      <c r="O71" s="25"/>
      <c r="P71" s="43"/>
      <c r="Q71" s="43"/>
      <c r="R71" s="43"/>
      <c r="S71" s="43"/>
    </row>
    <row r="72" spans="6:19" x14ac:dyDescent="0.3">
      <c r="G72" s="4"/>
      <c r="H72" s="4"/>
      <c r="I72" s="4"/>
      <c r="J72" s="6"/>
      <c r="K72" s="6"/>
      <c r="L72" s="6"/>
      <c r="M72" s="6"/>
      <c r="N72" s="6"/>
      <c r="O72" s="6"/>
      <c r="P72" s="43"/>
      <c r="Q72" s="43"/>
      <c r="R72" s="43"/>
      <c r="S72" s="43"/>
    </row>
    <row r="73" spans="6:19" ht="18" x14ac:dyDescent="0.35">
      <c r="G73" s="4"/>
      <c r="H73" s="4"/>
      <c r="I73" s="4"/>
      <c r="J73" s="6"/>
      <c r="K73" s="36"/>
      <c r="L73" s="51"/>
      <c r="M73" s="52"/>
      <c r="N73" s="51"/>
      <c r="O73" s="53"/>
      <c r="Q73" s="37"/>
      <c r="R73" s="43"/>
      <c r="S73" s="43"/>
    </row>
    <row r="74" spans="6:19" x14ac:dyDescent="0.3">
      <c r="J74" s="43"/>
      <c r="K74" s="43"/>
      <c r="L74" s="43"/>
      <c r="M74" s="43"/>
      <c r="N74" s="43"/>
      <c r="O74" s="43"/>
    </row>
    <row r="75" spans="6:19" x14ac:dyDescent="0.3">
      <c r="J75" s="43"/>
      <c r="K75" s="43"/>
      <c r="L75" s="43"/>
      <c r="M75" s="43"/>
      <c r="N75" s="43"/>
      <c r="O75" s="43"/>
    </row>
    <row r="76" spans="6:19" ht="15.6" x14ac:dyDescent="0.3">
      <c r="J76" s="43"/>
      <c r="K76" s="43"/>
      <c r="L76" s="1834"/>
      <c r="M76" s="1834"/>
      <c r="N76" s="43"/>
      <c r="O76" s="43"/>
    </row>
    <row r="77" spans="6:19" x14ac:dyDescent="0.3">
      <c r="J77" s="43"/>
      <c r="K77" s="43"/>
      <c r="L77" s="43"/>
      <c r="M77" s="43"/>
      <c r="N77" s="43"/>
      <c r="O77" s="43"/>
    </row>
    <row r="78" spans="6:19" ht="15.6" x14ac:dyDescent="0.3">
      <c r="J78" s="43"/>
      <c r="K78" s="43"/>
      <c r="L78" s="1834"/>
      <c r="M78" s="1834"/>
      <c r="N78" s="43"/>
      <c r="O78" s="43"/>
    </row>
    <row r="79" spans="6:19" x14ac:dyDescent="0.3">
      <c r="J79" s="43"/>
      <c r="K79" s="43"/>
      <c r="L79" s="43"/>
      <c r="M79" s="43"/>
      <c r="N79" s="43"/>
      <c r="O79" s="43"/>
    </row>
    <row r="80" spans="6:19" x14ac:dyDescent="0.3">
      <c r="J80" s="43"/>
      <c r="K80" s="43"/>
      <c r="L80" s="43"/>
      <c r="M80" s="43"/>
      <c r="N80" s="43"/>
      <c r="O80" s="43"/>
    </row>
    <row r="81" spans="10:15" x14ac:dyDescent="0.3">
      <c r="J81" s="43"/>
      <c r="K81" s="43"/>
      <c r="L81" s="43"/>
      <c r="M81" s="43"/>
      <c r="N81" s="43"/>
      <c r="O81" s="43"/>
    </row>
    <row r="82" spans="10:15" x14ac:dyDescent="0.3">
      <c r="J82" s="43"/>
      <c r="K82" s="43"/>
      <c r="L82" s="43"/>
      <c r="M82" s="43"/>
      <c r="N82" s="43"/>
      <c r="O82" s="43"/>
    </row>
    <row r="83" spans="10:15" x14ac:dyDescent="0.3">
      <c r="J83" s="43"/>
      <c r="K83" s="43"/>
      <c r="L83" s="43"/>
      <c r="M83" s="43"/>
      <c r="N83" s="43"/>
      <c r="O83" s="43"/>
    </row>
    <row r="84" spans="10:15" x14ac:dyDescent="0.3">
      <c r="J84" s="43"/>
      <c r="K84" s="43"/>
      <c r="L84" s="43"/>
      <c r="M84" s="43"/>
      <c r="N84" s="43"/>
      <c r="O84" s="43"/>
    </row>
  </sheetData>
  <mergeCells count="46">
    <mergeCell ref="J36:O36"/>
    <mergeCell ref="J37:K37"/>
    <mergeCell ref="L37:M37"/>
    <mergeCell ref="N37:O37"/>
    <mergeCell ref="P37:Q37"/>
    <mergeCell ref="R46:S47"/>
    <mergeCell ref="J47:K47"/>
    <mergeCell ref="J50:O50"/>
    <mergeCell ref="J39:K40"/>
    <mergeCell ref="L39:M40"/>
    <mergeCell ref="N39:O40"/>
    <mergeCell ref="P39:Q39"/>
    <mergeCell ref="P40:Q40"/>
    <mergeCell ref="R40:S41"/>
    <mergeCell ref="L78:M78"/>
    <mergeCell ref="E4:O4"/>
    <mergeCell ref="J5:O5"/>
    <mergeCell ref="J6:K6"/>
    <mergeCell ref="L6:M6"/>
    <mergeCell ref="N6:O6"/>
    <mergeCell ref="J8:K9"/>
    <mergeCell ref="L8:M9"/>
    <mergeCell ref="N8:O9"/>
    <mergeCell ref="J60:K61"/>
    <mergeCell ref="L60:M61"/>
    <mergeCell ref="N60:O61"/>
    <mergeCell ref="J62:K62"/>
    <mergeCell ref="J64:K65"/>
    <mergeCell ref="L64:O64"/>
    <mergeCell ref="L65:M65"/>
    <mergeCell ref="J14:K15"/>
    <mergeCell ref="L14:M15"/>
    <mergeCell ref="N14:O15"/>
    <mergeCell ref="J16:K16"/>
    <mergeCell ref="L76:M76"/>
    <mergeCell ref="N65:O65"/>
    <mergeCell ref="J51:K51"/>
    <mergeCell ref="L51:M51"/>
    <mergeCell ref="N51:O51"/>
    <mergeCell ref="J53:K54"/>
    <mergeCell ref="L53:M54"/>
    <mergeCell ref="N53:O54"/>
    <mergeCell ref="J45:K46"/>
    <mergeCell ref="L45:M46"/>
    <mergeCell ref="N45:O46"/>
    <mergeCell ref="E35:O3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FF0000"/>
  </sheetPr>
  <dimension ref="A1:AL35"/>
  <sheetViews>
    <sheetView view="pageBreakPreview" topLeftCell="B1" zoomScale="85" zoomScaleNormal="84" zoomScaleSheetLayoutView="85" workbookViewId="0">
      <selection activeCell="E10" sqref="E10"/>
    </sheetView>
  </sheetViews>
  <sheetFormatPr baseColWidth="10" defaultColWidth="11.44140625" defaultRowHeight="14.4" x14ac:dyDescent="0.3"/>
  <cols>
    <col min="1" max="1" width="11.44140625" style="40"/>
    <col min="2" max="2" width="51.88671875" style="40" customWidth="1"/>
    <col min="3" max="3" width="11.44140625" style="40"/>
    <col min="4" max="4" width="14.6640625" style="40" customWidth="1"/>
    <col min="5" max="5" width="29" style="40" customWidth="1"/>
    <col min="6" max="6" width="21.109375" style="40" customWidth="1"/>
    <col min="7" max="7" width="20" style="40" customWidth="1"/>
    <col min="8" max="8" width="16" style="40" customWidth="1"/>
    <col min="9" max="9" width="23.44140625" style="40" customWidth="1"/>
    <col min="10" max="13" width="19.33203125" style="40" customWidth="1"/>
    <col min="14" max="14" width="11.5546875" style="40" customWidth="1"/>
    <col min="15" max="15" width="17.88671875" style="40" customWidth="1"/>
    <col min="16" max="32" width="16" style="40" customWidth="1"/>
    <col min="33" max="33" width="16.33203125" style="40" customWidth="1"/>
    <col min="34" max="34" width="14.33203125" style="40" customWidth="1"/>
    <col min="35" max="35" width="13.109375" style="40" customWidth="1"/>
    <col min="36" max="36" width="13" style="40" customWidth="1"/>
    <col min="37" max="37" width="11.44140625" style="40"/>
    <col min="38" max="38" width="12.44140625" style="40" bestFit="1" customWidth="1"/>
    <col min="39" max="16384" width="11.44140625" style="40"/>
  </cols>
  <sheetData>
    <row r="1" spans="1:38" ht="15" x14ac:dyDescent="0.25"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38" ht="18.75" x14ac:dyDescent="0.3">
      <c r="B2" s="1866" t="s">
        <v>634</v>
      </c>
      <c r="C2" s="1866"/>
      <c r="D2" s="1866"/>
      <c r="E2" s="1866"/>
      <c r="F2" s="1866"/>
      <c r="G2" s="1866"/>
      <c r="H2" s="1866"/>
      <c r="I2" s="1866"/>
      <c r="J2" s="1866"/>
      <c r="K2" s="1866"/>
      <c r="L2" s="1866"/>
      <c r="M2" s="430"/>
      <c r="N2" s="430"/>
      <c r="O2" s="430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</row>
    <row r="3" spans="1:38" ht="15" x14ac:dyDescent="0.25">
      <c r="B3" s="40" t="s">
        <v>18</v>
      </c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</row>
    <row r="4" spans="1:38" ht="21" x14ac:dyDescent="0.35">
      <c r="B4" s="431" t="s">
        <v>245</v>
      </c>
      <c r="E4" s="1867" t="s">
        <v>0</v>
      </c>
      <c r="F4" s="1868"/>
      <c r="G4" s="1869"/>
      <c r="H4" s="1867" t="s">
        <v>0</v>
      </c>
      <c r="I4" s="1868"/>
      <c r="J4" s="1869"/>
      <c r="K4" s="1867" t="s">
        <v>0</v>
      </c>
      <c r="L4" s="1868"/>
      <c r="M4" s="1869"/>
      <c r="N4" s="1867" t="s">
        <v>0</v>
      </c>
      <c r="O4" s="1868"/>
      <c r="P4" s="1869"/>
      <c r="Q4" s="1867" t="s">
        <v>0</v>
      </c>
      <c r="R4" s="1868"/>
      <c r="S4" s="1869"/>
      <c r="T4" s="1867" t="s">
        <v>0</v>
      </c>
      <c r="U4" s="1868"/>
      <c r="V4" s="1869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43"/>
      <c r="AH4" s="43"/>
      <c r="AI4" s="43"/>
      <c r="AJ4" s="43"/>
      <c r="AK4" s="43"/>
    </row>
    <row r="5" spans="1:38" ht="15.75" x14ac:dyDescent="0.25">
      <c r="E5" s="432" t="s">
        <v>246</v>
      </c>
      <c r="F5" s="433"/>
      <c r="G5" s="434" t="s">
        <v>2</v>
      </c>
      <c r="H5" s="432" t="s">
        <v>246</v>
      </c>
      <c r="I5" s="433"/>
      <c r="J5" s="434" t="s">
        <v>2</v>
      </c>
      <c r="K5" s="432" t="s">
        <v>246</v>
      </c>
      <c r="L5" s="435"/>
      <c r="M5" s="434" t="s">
        <v>2</v>
      </c>
      <c r="N5" s="436" t="s">
        <v>246</v>
      </c>
      <c r="O5" s="435" t="s">
        <v>39</v>
      </c>
      <c r="P5" s="437" t="s">
        <v>4</v>
      </c>
      <c r="Q5" s="436" t="s">
        <v>246</v>
      </c>
      <c r="R5" s="435"/>
      <c r="S5" s="434" t="s">
        <v>2</v>
      </c>
      <c r="T5" s="436" t="s">
        <v>246</v>
      </c>
      <c r="U5" s="435"/>
      <c r="V5" s="434" t="s">
        <v>2</v>
      </c>
      <c r="W5" s="438"/>
      <c r="X5" s="438"/>
      <c r="Y5" s="438"/>
      <c r="Z5" s="438"/>
      <c r="AA5" s="438"/>
      <c r="AB5" s="438"/>
      <c r="AC5" s="438"/>
      <c r="AD5" s="438"/>
      <c r="AE5" s="438"/>
      <c r="AF5" s="267"/>
      <c r="AG5" s="43"/>
      <c r="AH5" s="43"/>
      <c r="AI5" s="43"/>
      <c r="AJ5" s="439"/>
      <c r="AK5" s="43"/>
    </row>
    <row r="6" spans="1:38" ht="22.5" customHeight="1" thickBot="1" x14ac:dyDescent="0.35">
      <c r="B6" s="440"/>
      <c r="C6" s="441"/>
      <c r="D6" s="441"/>
      <c r="E6" s="1870" t="s">
        <v>248</v>
      </c>
      <c r="F6" s="1871"/>
      <c r="G6" s="1872"/>
      <c r="H6" s="1873" t="s">
        <v>247</v>
      </c>
      <c r="I6" s="1873"/>
      <c r="J6" s="1873"/>
      <c r="K6" s="1873" t="s">
        <v>249</v>
      </c>
      <c r="L6" s="1873"/>
      <c r="M6" s="1873"/>
      <c r="N6" s="1873" t="s">
        <v>250</v>
      </c>
      <c r="O6" s="1873"/>
      <c r="P6" s="1873"/>
      <c r="Q6" s="1873" t="s">
        <v>251</v>
      </c>
      <c r="R6" s="1873"/>
      <c r="S6" s="1873"/>
      <c r="T6" s="1873" t="s">
        <v>251</v>
      </c>
      <c r="U6" s="1873"/>
      <c r="V6" s="1873"/>
      <c r="W6" s="441"/>
      <c r="X6" s="441"/>
      <c r="Y6" s="441"/>
      <c r="Z6" s="441"/>
      <c r="AA6" s="441"/>
      <c r="AB6" s="441"/>
      <c r="AC6" s="441"/>
      <c r="AD6" s="441"/>
      <c r="AE6" s="441"/>
      <c r="AF6" s="441"/>
      <c r="AG6" s="43"/>
      <c r="AH6" s="442"/>
      <c r="AI6" s="442"/>
      <c r="AJ6" s="442"/>
      <c r="AK6" s="43"/>
    </row>
    <row r="7" spans="1:38" ht="24.75" customHeight="1" thickBot="1" x14ac:dyDescent="0.35">
      <c r="B7" s="443" t="s">
        <v>252</v>
      </c>
      <c r="C7" s="443" t="s">
        <v>7</v>
      </c>
      <c r="D7" s="444" t="s">
        <v>8</v>
      </c>
      <c r="E7" s="445" t="s">
        <v>9</v>
      </c>
      <c r="F7" s="446" t="s">
        <v>10</v>
      </c>
      <c r="G7" s="447" t="s">
        <v>253</v>
      </c>
      <c r="H7" s="445" t="s">
        <v>9</v>
      </c>
      <c r="I7" s="446" t="s">
        <v>10</v>
      </c>
      <c r="J7" s="447" t="s">
        <v>253</v>
      </c>
      <c r="K7" s="445" t="s">
        <v>9</v>
      </c>
      <c r="L7" s="446" t="s">
        <v>10</v>
      </c>
      <c r="M7" s="447" t="s">
        <v>253</v>
      </c>
      <c r="N7" s="445" t="s">
        <v>9</v>
      </c>
      <c r="O7" s="446" t="s">
        <v>10</v>
      </c>
      <c r="P7" s="447" t="s">
        <v>253</v>
      </c>
      <c r="Q7" s="445" t="s">
        <v>9</v>
      </c>
      <c r="R7" s="446" t="s">
        <v>10</v>
      </c>
      <c r="S7" s="447" t="s">
        <v>253</v>
      </c>
      <c r="T7" s="445" t="s">
        <v>9</v>
      </c>
      <c r="U7" s="446" t="s">
        <v>10</v>
      </c>
      <c r="V7" s="447" t="s">
        <v>253</v>
      </c>
      <c r="W7" s="441"/>
      <c r="X7" s="441"/>
      <c r="Y7" s="441"/>
      <c r="Z7" s="441"/>
      <c r="AA7" s="441"/>
      <c r="AB7" s="441"/>
      <c r="AC7" s="441"/>
      <c r="AD7" s="441"/>
      <c r="AE7" s="441"/>
      <c r="AF7" s="441"/>
      <c r="AG7" s="43"/>
      <c r="AH7" s="442"/>
      <c r="AI7" s="442"/>
      <c r="AJ7" s="442"/>
      <c r="AK7" s="43"/>
    </row>
    <row r="8" spans="1:38" ht="69" customHeight="1" x14ac:dyDescent="0.3">
      <c r="A8" s="448">
        <v>1</v>
      </c>
      <c r="B8" s="449" t="s">
        <v>254</v>
      </c>
      <c r="C8" s="449" t="s">
        <v>11</v>
      </c>
      <c r="D8" s="450">
        <v>343.41</v>
      </c>
      <c r="E8" s="449">
        <v>1500000</v>
      </c>
      <c r="F8" s="449">
        <f>+D8*E8</f>
        <v>515115000.00000006</v>
      </c>
      <c r="G8" s="1770" t="s">
        <v>255</v>
      </c>
      <c r="H8" s="454"/>
      <c r="I8" s="454"/>
      <c r="J8" s="453"/>
      <c r="K8" s="452"/>
      <c r="L8" s="452"/>
      <c r="M8" s="453"/>
      <c r="N8" s="456"/>
      <c r="O8" s="452"/>
      <c r="P8" s="457"/>
      <c r="Q8" s="456"/>
      <c r="R8" s="452"/>
      <c r="S8" s="457"/>
      <c r="T8" s="456"/>
      <c r="U8" s="452"/>
      <c r="V8" s="457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>
        <f>+D8/AH8</f>
        <v>43.359848484848492</v>
      </c>
      <c r="AH8" s="64">
        <f>3.3*2.4</f>
        <v>7.919999999999999</v>
      </c>
      <c r="AI8" s="43"/>
      <c r="AJ8" s="43"/>
      <c r="AK8" s="43"/>
      <c r="AL8" s="41"/>
    </row>
    <row r="9" spans="1:38" ht="79.5" customHeight="1" x14ac:dyDescent="0.3">
      <c r="A9" s="448">
        <f>+A8+1</f>
        <v>2</v>
      </c>
      <c r="B9" s="449" t="s">
        <v>256</v>
      </c>
      <c r="C9" s="449" t="s">
        <v>11</v>
      </c>
      <c r="D9" s="450">
        <v>12.13</v>
      </c>
      <c r="E9" s="449">
        <v>1500000</v>
      </c>
      <c r="F9" s="449">
        <f>+D9*E9</f>
        <v>18195000</v>
      </c>
      <c r="G9" s="1770" t="s">
        <v>255</v>
      </c>
      <c r="H9" s="460"/>
      <c r="I9" s="460"/>
      <c r="J9" s="459"/>
      <c r="K9" s="64"/>
      <c r="L9" s="64"/>
      <c r="M9" s="459"/>
      <c r="N9" s="462"/>
      <c r="O9" s="64"/>
      <c r="P9" s="459"/>
      <c r="Q9" s="462"/>
      <c r="R9" s="64"/>
      <c r="S9" s="461"/>
      <c r="T9" s="462"/>
      <c r="U9" s="64"/>
      <c r="V9" s="69"/>
      <c r="W9" s="461"/>
      <c r="X9" s="461"/>
      <c r="Y9" s="461"/>
      <c r="Z9" s="461"/>
      <c r="AA9" s="461"/>
      <c r="AB9" s="461"/>
      <c r="AC9" s="461"/>
      <c r="AD9" s="461"/>
      <c r="AE9" s="461"/>
      <c r="AF9" s="461"/>
      <c r="AG9" s="64">
        <f>+D9/AH9</f>
        <v>1.5315656565656568</v>
      </c>
      <c r="AH9" s="64">
        <f>3.3*2.4</f>
        <v>7.919999999999999</v>
      </c>
      <c r="AI9" s="43"/>
      <c r="AJ9" s="43"/>
      <c r="AK9" s="43"/>
      <c r="AL9" s="41"/>
    </row>
    <row r="10" spans="1:38" ht="111.6" customHeight="1" thickBot="1" x14ac:dyDescent="0.35">
      <c r="A10" s="448" t="e">
        <f>+#REF!+1</f>
        <v>#REF!</v>
      </c>
      <c r="B10" s="449" t="s">
        <v>257</v>
      </c>
      <c r="C10" s="449" t="s">
        <v>19</v>
      </c>
      <c r="D10" s="450">
        <f>19*0.9*2.1</f>
        <v>35.910000000000004</v>
      </c>
      <c r="E10" s="449">
        <v>3500000</v>
      </c>
      <c r="F10" s="449">
        <f>+D10*E10</f>
        <v>125685000.00000001</v>
      </c>
      <c r="G10" s="1770" t="s">
        <v>258</v>
      </c>
      <c r="H10" s="1243"/>
      <c r="I10" s="1243"/>
      <c r="J10" s="1244"/>
      <c r="K10" s="64"/>
      <c r="L10" s="64"/>
      <c r="M10" s="459"/>
      <c r="N10" s="462"/>
      <c r="O10" s="64"/>
      <c r="P10" s="459"/>
      <c r="Q10" s="462"/>
      <c r="R10" s="64"/>
      <c r="S10" s="459"/>
      <c r="T10" s="462"/>
      <c r="U10" s="64"/>
      <c r="V10" s="459"/>
      <c r="W10" s="461"/>
      <c r="X10" s="461"/>
      <c r="Y10" s="461"/>
      <c r="Z10" s="461"/>
      <c r="AA10" s="461"/>
      <c r="AB10" s="461"/>
      <c r="AC10" s="461"/>
      <c r="AD10" s="461"/>
      <c r="AE10" s="461"/>
      <c r="AF10" s="461"/>
      <c r="AG10" s="64">
        <v>14.6666666666667</v>
      </c>
      <c r="AH10" s="268" t="s">
        <v>259</v>
      </c>
      <c r="AI10" s="43"/>
      <c r="AJ10" s="43"/>
      <c r="AK10" s="43"/>
    </row>
    <row r="11" spans="1:38" ht="26.25" customHeight="1" thickBot="1" x14ac:dyDescent="0.35">
      <c r="B11" s="1246"/>
      <c r="C11" s="1247"/>
      <c r="D11" s="1247"/>
      <c r="E11" s="1248"/>
      <c r="F11" s="1243">
        <f>SUM(F8:F10)</f>
        <v>658995000.00000012</v>
      </c>
      <c r="G11" s="1249"/>
      <c r="H11" s="1245"/>
      <c r="I11" s="464"/>
      <c r="J11" s="1242"/>
      <c r="K11" s="465"/>
      <c r="L11" s="466">
        <f>SUM(L8:L10)</f>
        <v>0</v>
      </c>
      <c r="M11" s="465"/>
      <c r="N11" s="467"/>
      <c r="O11" s="464">
        <f>SUM(O8:O10)</f>
        <v>0</v>
      </c>
      <c r="P11" s="64"/>
      <c r="Q11" s="64"/>
      <c r="R11" s="464">
        <f>SUM(R8:R10)</f>
        <v>0</v>
      </c>
      <c r="S11" s="64"/>
      <c r="T11" s="64"/>
      <c r="U11" s="468">
        <f>SUM(U8:U10)</f>
        <v>0</v>
      </c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43"/>
      <c r="AI11" s="43"/>
      <c r="AJ11" s="43"/>
      <c r="AK11" s="43"/>
    </row>
    <row r="13" spans="1:38" x14ac:dyDescent="0.3">
      <c r="R13" s="70" t="s">
        <v>260</v>
      </c>
      <c r="U13" s="70" t="s">
        <v>261</v>
      </c>
    </row>
    <row r="14" spans="1:38" x14ac:dyDescent="0.3">
      <c r="R14" s="70"/>
      <c r="U14" s="70"/>
    </row>
    <row r="15" spans="1:38" ht="18" x14ac:dyDescent="0.35">
      <c r="B15" s="1866"/>
      <c r="C15" s="1866"/>
      <c r="D15" s="1866"/>
      <c r="E15" s="1866"/>
      <c r="F15" s="1866"/>
      <c r="G15" s="1866"/>
      <c r="H15" s="1866"/>
      <c r="I15" s="1866"/>
      <c r="J15" s="1866"/>
      <c r="K15" s="1866"/>
      <c r="L15" s="1866"/>
      <c r="M15" s="879"/>
      <c r="N15" s="879"/>
      <c r="O15" s="879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</row>
    <row r="16" spans="1:38" x14ac:dyDescent="0.3">
      <c r="B16" s="40" t="s">
        <v>18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</row>
    <row r="17" spans="4:31" x14ac:dyDescent="0.3">
      <c r="K17" s="43"/>
      <c r="L17" s="43"/>
      <c r="M17" s="43"/>
      <c r="N17" s="43"/>
      <c r="O17" s="43"/>
      <c r="P17" s="43"/>
      <c r="Q17" s="43"/>
      <c r="R17" s="883"/>
      <c r="S17" s="43"/>
      <c r="T17" s="43"/>
      <c r="U17" s="883"/>
      <c r="V17" s="43"/>
      <c r="W17" s="43"/>
      <c r="X17" s="43"/>
      <c r="Y17" s="43"/>
      <c r="Z17" s="43"/>
      <c r="AA17" s="43"/>
      <c r="AB17" s="43"/>
      <c r="AC17" s="43"/>
      <c r="AD17" s="43"/>
      <c r="AE17" s="43"/>
    </row>
    <row r="18" spans="4:31" x14ac:dyDescent="0.3">
      <c r="K18" s="43"/>
      <c r="L18" s="43"/>
      <c r="M18" s="43"/>
      <c r="N18" s="43"/>
      <c r="O18" s="43"/>
      <c r="P18" s="43"/>
      <c r="Q18" s="43"/>
      <c r="R18" s="883"/>
      <c r="S18" s="43"/>
      <c r="T18" s="43"/>
      <c r="U18" s="883"/>
      <c r="V18" s="43"/>
      <c r="W18" s="43"/>
      <c r="X18" s="43"/>
      <c r="Y18" s="43"/>
      <c r="Z18" s="43"/>
      <c r="AA18" s="43"/>
      <c r="AB18" s="43"/>
      <c r="AC18" s="43"/>
      <c r="AD18" s="43"/>
      <c r="AE18" s="43"/>
    </row>
    <row r="19" spans="4:31" x14ac:dyDescent="0.3">
      <c r="K19" s="43"/>
      <c r="L19" s="43"/>
      <c r="M19" s="43"/>
      <c r="N19" s="43"/>
      <c r="O19" s="43"/>
      <c r="P19" s="43"/>
      <c r="Q19" s="43"/>
      <c r="R19" s="883"/>
      <c r="S19" s="43"/>
      <c r="T19" s="43"/>
      <c r="U19" s="883"/>
      <c r="V19" s="43"/>
      <c r="W19" s="43"/>
      <c r="X19" s="43"/>
      <c r="Y19" s="43"/>
      <c r="Z19" s="43"/>
      <c r="AA19" s="43"/>
      <c r="AB19" s="43"/>
      <c r="AC19" s="43"/>
      <c r="AD19" s="43"/>
      <c r="AE19" s="43"/>
    </row>
    <row r="20" spans="4:31" x14ac:dyDescent="0.3">
      <c r="K20" s="43"/>
      <c r="L20" s="43"/>
      <c r="M20" s="43"/>
      <c r="N20" s="43"/>
      <c r="O20" s="43"/>
      <c r="P20" s="43"/>
      <c r="Q20" s="43"/>
      <c r="R20" s="883"/>
      <c r="S20" s="43"/>
      <c r="T20" s="43"/>
      <c r="U20" s="883"/>
      <c r="V20" s="43"/>
      <c r="W20" s="43"/>
      <c r="X20" s="43"/>
      <c r="Y20" s="43"/>
      <c r="Z20" s="43"/>
      <c r="AA20" s="43"/>
      <c r="AB20" s="43"/>
      <c r="AC20" s="43"/>
      <c r="AD20" s="43"/>
      <c r="AE20" s="43"/>
    </row>
    <row r="21" spans="4:31" x14ac:dyDescent="0.3">
      <c r="K21" s="43"/>
      <c r="L21" s="43"/>
      <c r="M21" s="43"/>
      <c r="N21" s="43"/>
      <c r="O21" s="43"/>
      <c r="P21" s="43"/>
      <c r="Q21" s="43"/>
      <c r="R21" s="883"/>
      <c r="S21" s="43"/>
      <c r="T21" s="43"/>
      <c r="U21" s="883"/>
      <c r="V21" s="43"/>
      <c r="W21" s="43"/>
      <c r="X21" s="43"/>
      <c r="Y21" s="43"/>
      <c r="Z21" s="43"/>
      <c r="AA21" s="43"/>
      <c r="AB21" s="43"/>
      <c r="AC21" s="43"/>
      <c r="AD21" s="43"/>
      <c r="AE21" s="43"/>
    </row>
    <row r="22" spans="4:31" x14ac:dyDescent="0.3">
      <c r="R22" s="70"/>
      <c r="U22" s="70"/>
    </row>
    <row r="23" spans="4:31" x14ac:dyDescent="0.3">
      <c r="R23" s="70"/>
      <c r="U23" s="70"/>
    </row>
    <row r="24" spans="4:31" x14ac:dyDescent="0.3">
      <c r="R24" s="70"/>
      <c r="U24" s="70"/>
    </row>
    <row r="25" spans="4:31" x14ac:dyDescent="0.3">
      <c r="R25" s="70"/>
      <c r="U25" s="70"/>
    </row>
    <row r="26" spans="4:31" x14ac:dyDescent="0.3">
      <c r="R26" s="70"/>
      <c r="U26" s="70"/>
    </row>
    <row r="27" spans="4:31" x14ac:dyDescent="0.3">
      <c r="R27" s="70"/>
      <c r="U27" s="70"/>
    </row>
    <row r="28" spans="4:31" x14ac:dyDescent="0.3">
      <c r="R28" s="70"/>
      <c r="U28" s="70"/>
    </row>
    <row r="29" spans="4:31" x14ac:dyDescent="0.3">
      <c r="R29" s="70"/>
      <c r="U29" s="70"/>
    </row>
    <row r="30" spans="4:31" x14ac:dyDescent="0.3">
      <c r="I30" s="41"/>
    </row>
    <row r="31" spans="4:31" x14ac:dyDescent="0.3">
      <c r="D31" s="41"/>
    </row>
    <row r="34" spans="2:7" ht="21" x14ac:dyDescent="0.4">
      <c r="B34" s="473"/>
      <c r="C34" s="431"/>
      <c r="D34" s="431"/>
      <c r="E34" s="472"/>
      <c r="F34" s="474"/>
      <c r="G34" s="431"/>
    </row>
    <row r="35" spans="2:7" ht="21" x14ac:dyDescent="0.4">
      <c r="B35" s="431"/>
      <c r="C35" s="431"/>
      <c r="D35" s="431"/>
      <c r="E35" s="431"/>
      <c r="F35" s="431"/>
      <c r="G35" s="431"/>
    </row>
  </sheetData>
  <mergeCells count="14">
    <mergeCell ref="B15:L15"/>
    <mergeCell ref="T4:V4"/>
    <mergeCell ref="E6:G6"/>
    <mergeCell ref="H6:J6"/>
    <mergeCell ref="K6:M6"/>
    <mergeCell ref="N6:P6"/>
    <mergeCell ref="Q6:S6"/>
    <mergeCell ref="T6:V6"/>
    <mergeCell ref="Q4:S4"/>
    <mergeCell ref="B2:L2"/>
    <mergeCell ref="E4:G4"/>
    <mergeCell ref="H4:J4"/>
    <mergeCell ref="K4:M4"/>
    <mergeCell ref="N4:P4"/>
  </mergeCells>
  <pageMargins left="0.70866141732283472" right="0.70866141732283472" top="0.74803149606299213" bottom="0.74803149606299213" header="0.31496062992125984" footer="0.31496062992125984"/>
  <pageSetup paperSize="9" scale="2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0000"/>
  </sheetPr>
  <dimension ref="A1:AL41"/>
  <sheetViews>
    <sheetView view="pageBreakPreview" topLeftCell="A12" zoomScale="85" zoomScaleNormal="84" zoomScaleSheetLayoutView="85" workbookViewId="0">
      <selection activeCell="F18" sqref="F18"/>
    </sheetView>
  </sheetViews>
  <sheetFormatPr baseColWidth="10" defaultColWidth="11.44140625" defaultRowHeight="14.4" x14ac:dyDescent="0.3"/>
  <cols>
    <col min="1" max="1" width="11.44140625" style="40"/>
    <col min="2" max="2" width="48.44140625" style="40" customWidth="1"/>
    <col min="3" max="3" width="11.44140625" style="40"/>
    <col min="4" max="4" width="14.6640625" style="40" customWidth="1"/>
    <col min="5" max="5" width="29" style="40" customWidth="1"/>
    <col min="6" max="6" width="21.109375" style="40" customWidth="1"/>
    <col min="7" max="7" width="20" style="40" customWidth="1"/>
    <col min="8" max="8" width="16" style="40" customWidth="1"/>
    <col min="9" max="9" width="23.44140625" style="40" customWidth="1"/>
    <col min="10" max="13" width="19.33203125" style="40" customWidth="1"/>
    <col min="14" max="14" width="11.5546875" style="40" customWidth="1"/>
    <col min="15" max="15" width="17.88671875" style="40" customWidth="1"/>
    <col min="16" max="32" width="16" style="40" customWidth="1"/>
    <col min="33" max="33" width="16.33203125" style="40" customWidth="1"/>
    <col min="34" max="34" width="14.33203125" style="40" customWidth="1"/>
    <col min="35" max="35" width="13.109375" style="40" customWidth="1"/>
    <col min="36" max="36" width="13" style="40" customWidth="1"/>
    <col min="37" max="37" width="11.44140625" style="40"/>
    <col min="38" max="38" width="12.44140625" style="40" bestFit="1" customWidth="1"/>
    <col min="39" max="16384" width="11.44140625" style="40"/>
  </cols>
  <sheetData>
    <row r="1" spans="1:38" x14ac:dyDescent="0.3"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38" ht="18" x14ac:dyDescent="0.35">
      <c r="B2" s="1866" t="s">
        <v>634</v>
      </c>
      <c r="C2" s="1866"/>
      <c r="D2" s="1866"/>
      <c r="E2" s="1866"/>
      <c r="F2" s="1866"/>
      <c r="G2" s="1866"/>
      <c r="H2" s="1866"/>
      <c r="I2" s="1866"/>
      <c r="J2" s="1866"/>
      <c r="K2" s="1866"/>
      <c r="L2" s="1866"/>
      <c r="M2" s="1194"/>
      <c r="N2" s="1194"/>
      <c r="O2" s="119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</row>
    <row r="3" spans="1:38" ht="15" thickBot="1" x14ac:dyDescent="0.35">
      <c r="B3" s="40" t="s">
        <v>18</v>
      </c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</row>
    <row r="4" spans="1:38" ht="21" x14ac:dyDescent="0.4">
      <c r="B4" s="431" t="s">
        <v>245</v>
      </c>
      <c r="E4" s="1867" t="s">
        <v>0</v>
      </c>
      <c r="F4" s="1868"/>
      <c r="G4" s="1869"/>
      <c r="H4" s="1867" t="s">
        <v>0</v>
      </c>
      <c r="I4" s="1868"/>
      <c r="J4" s="1868"/>
      <c r="K4" s="1821" t="s">
        <v>0</v>
      </c>
      <c r="L4" s="1887"/>
      <c r="M4" s="1822"/>
      <c r="N4" s="1874"/>
      <c r="O4" s="1874"/>
      <c r="P4" s="1874"/>
      <c r="Q4" s="1874"/>
      <c r="R4" s="1874"/>
      <c r="S4" s="1874"/>
      <c r="T4" s="1874"/>
      <c r="U4" s="1874"/>
      <c r="V4" s="1874"/>
      <c r="W4" s="1193"/>
      <c r="X4" s="1193"/>
      <c r="Y4" s="1193"/>
      <c r="Z4" s="1193"/>
      <c r="AA4" s="1193"/>
      <c r="AB4" s="1193"/>
      <c r="AC4" s="1193"/>
      <c r="AD4" s="1193"/>
      <c r="AE4" s="1193"/>
      <c r="AF4" s="1193"/>
      <c r="AG4" s="43"/>
      <c r="AH4" s="43"/>
      <c r="AI4" s="43"/>
      <c r="AJ4" s="43"/>
      <c r="AK4" s="43"/>
    </row>
    <row r="5" spans="1:38" ht="15.6" x14ac:dyDescent="0.3">
      <c r="E5" s="432" t="s">
        <v>246</v>
      </c>
      <c r="F5" s="433"/>
      <c r="G5" s="434" t="s">
        <v>2</v>
      </c>
      <c r="H5" s="432" t="s">
        <v>246</v>
      </c>
      <c r="I5" s="433"/>
      <c r="J5" s="1256" t="s">
        <v>2</v>
      </c>
      <c r="K5" s="1258" t="s">
        <v>246</v>
      </c>
      <c r="L5" s="435"/>
      <c r="M5" s="1259" t="s">
        <v>2</v>
      </c>
      <c r="N5" s="438"/>
      <c r="O5" s="881"/>
      <c r="P5" s="1193"/>
      <c r="Q5" s="438"/>
      <c r="R5" s="881"/>
      <c r="S5" s="438"/>
      <c r="T5" s="438"/>
      <c r="U5" s="881"/>
      <c r="V5" s="438"/>
      <c r="W5" s="438"/>
      <c r="X5" s="438"/>
      <c r="Y5" s="438"/>
      <c r="Z5" s="438"/>
      <c r="AA5" s="438"/>
      <c r="AB5" s="438"/>
      <c r="AC5" s="438"/>
      <c r="AD5" s="438"/>
      <c r="AE5" s="438"/>
      <c r="AF5" s="1193"/>
      <c r="AG5" s="43"/>
      <c r="AH5" s="43"/>
      <c r="AI5" s="43"/>
      <c r="AJ5" s="439"/>
      <c r="AK5" s="43"/>
    </row>
    <row r="6" spans="1:38" ht="22.5" customHeight="1" thickBot="1" x14ac:dyDescent="0.35">
      <c r="B6" s="440"/>
      <c r="C6" s="1197"/>
      <c r="D6" s="1197"/>
      <c r="E6" s="1870" t="s">
        <v>641</v>
      </c>
      <c r="F6" s="1871"/>
      <c r="G6" s="1872"/>
      <c r="H6" s="1873"/>
      <c r="I6" s="1873"/>
      <c r="J6" s="1870"/>
      <c r="K6" s="1881"/>
      <c r="L6" s="1873"/>
      <c r="M6" s="1882"/>
      <c r="N6" s="1883"/>
      <c r="O6" s="1883"/>
      <c r="P6" s="1883"/>
      <c r="Q6" s="1883"/>
      <c r="R6" s="1883"/>
      <c r="S6" s="1883"/>
      <c r="T6" s="1883"/>
      <c r="U6" s="1883"/>
      <c r="V6" s="1883"/>
      <c r="W6" s="1197"/>
      <c r="X6" s="1197"/>
      <c r="Y6" s="1197"/>
      <c r="Z6" s="1197"/>
      <c r="AA6" s="1197"/>
      <c r="AB6" s="1197"/>
      <c r="AC6" s="1197"/>
      <c r="AD6" s="1197"/>
      <c r="AE6" s="1197"/>
      <c r="AF6" s="1197"/>
      <c r="AG6" s="43"/>
      <c r="AH6" s="442"/>
      <c r="AI6" s="442"/>
      <c r="AJ6" s="442"/>
      <c r="AK6" s="43"/>
    </row>
    <row r="7" spans="1:38" ht="24.75" customHeight="1" thickBot="1" x14ac:dyDescent="0.35">
      <c r="B7" s="443" t="s">
        <v>252</v>
      </c>
      <c r="C7" s="1196" t="s">
        <v>7</v>
      </c>
      <c r="D7" s="1195" t="s">
        <v>8</v>
      </c>
      <c r="E7" s="445" t="s">
        <v>9</v>
      </c>
      <c r="F7" s="446" t="s">
        <v>10</v>
      </c>
      <c r="G7" s="447" t="s">
        <v>253</v>
      </c>
      <c r="H7" s="445" t="s">
        <v>9</v>
      </c>
      <c r="I7" s="446" t="s">
        <v>10</v>
      </c>
      <c r="J7" s="1257" t="s">
        <v>253</v>
      </c>
      <c r="K7" s="445" t="s">
        <v>9</v>
      </c>
      <c r="L7" s="446" t="s">
        <v>10</v>
      </c>
      <c r="M7" s="447" t="s">
        <v>253</v>
      </c>
      <c r="N7" s="1197"/>
      <c r="O7" s="1197"/>
      <c r="P7" s="1197"/>
      <c r="Q7" s="1197"/>
      <c r="R7" s="1197"/>
      <c r="S7" s="1197"/>
      <c r="T7" s="1197"/>
      <c r="U7" s="1197"/>
      <c r="V7" s="1197"/>
      <c r="W7" s="1197"/>
      <c r="X7" s="1197"/>
      <c r="Y7" s="1197"/>
      <c r="Z7" s="1197"/>
      <c r="AA7" s="1197"/>
      <c r="AB7" s="1197"/>
      <c r="AC7" s="1197"/>
      <c r="AD7" s="1197"/>
      <c r="AE7" s="1197"/>
      <c r="AF7" s="1197"/>
      <c r="AG7" s="43"/>
      <c r="AH7" s="442"/>
      <c r="AI7" s="442"/>
      <c r="AJ7" s="442"/>
      <c r="AK7" s="43"/>
    </row>
    <row r="8" spans="1:38" ht="74.400000000000006" customHeight="1" x14ac:dyDescent="0.3">
      <c r="A8" s="448">
        <v>1</v>
      </c>
      <c r="B8" s="1251" t="s">
        <v>1082</v>
      </c>
      <c r="C8" s="1875" t="s">
        <v>19</v>
      </c>
      <c r="D8" s="1878">
        <v>1</v>
      </c>
      <c r="E8" s="1402">
        <v>1530000</v>
      </c>
      <c r="F8" s="452">
        <f>E8</f>
        <v>1530000</v>
      </c>
      <c r="G8" s="453"/>
      <c r="H8" s="454"/>
      <c r="I8" s="454"/>
      <c r="J8" s="455"/>
      <c r="K8" s="451"/>
      <c r="L8" s="452"/>
      <c r="M8" s="453"/>
      <c r="N8" s="460"/>
      <c r="O8" s="64"/>
      <c r="P8" s="64"/>
      <c r="Q8" s="460"/>
      <c r="R8" s="64"/>
      <c r="S8" s="64"/>
      <c r="T8" s="460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>
        <f>+D8/AH8</f>
        <v>0.12626262626262627</v>
      </c>
      <c r="AH8" s="64">
        <f>3.3*2.4</f>
        <v>7.919999999999999</v>
      </c>
      <c r="AI8" s="43"/>
      <c r="AJ8" s="43"/>
      <c r="AK8" s="43"/>
      <c r="AL8" s="41"/>
    </row>
    <row r="9" spans="1:38" ht="74.400000000000006" customHeight="1" x14ac:dyDescent="0.3">
      <c r="A9" s="448">
        <f>+A8+1</f>
        <v>2</v>
      </c>
      <c r="B9" s="1251" t="s">
        <v>1083</v>
      </c>
      <c r="C9" s="1876"/>
      <c r="D9" s="1879"/>
      <c r="E9" s="1403">
        <f>1700000</f>
        <v>1700000</v>
      </c>
      <c r="F9" s="64">
        <f>E9*2</f>
        <v>3400000</v>
      </c>
      <c r="G9" s="459"/>
      <c r="H9" s="460"/>
      <c r="I9" s="460"/>
      <c r="J9" s="461"/>
      <c r="K9" s="458"/>
      <c r="L9" s="64"/>
      <c r="M9" s="459"/>
      <c r="N9" s="460"/>
      <c r="O9" s="64"/>
      <c r="P9" s="461"/>
      <c r="Q9" s="460"/>
      <c r="R9" s="64"/>
      <c r="S9" s="461"/>
      <c r="T9" s="460"/>
      <c r="U9" s="64"/>
      <c r="V9" s="64"/>
      <c r="W9" s="461"/>
      <c r="X9" s="461"/>
      <c r="Y9" s="461"/>
      <c r="Z9" s="461"/>
      <c r="AA9" s="461"/>
      <c r="AB9" s="461"/>
      <c r="AC9" s="461"/>
      <c r="AD9" s="461"/>
      <c r="AE9" s="461"/>
      <c r="AF9" s="461"/>
      <c r="AG9" s="64">
        <f>+D9/AH9</f>
        <v>0</v>
      </c>
      <c r="AH9" s="64">
        <f>3.3*2.4</f>
        <v>7.919999999999999</v>
      </c>
      <c r="AI9" s="43"/>
      <c r="AJ9" s="43"/>
      <c r="AK9" s="43"/>
      <c r="AL9" s="41"/>
    </row>
    <row r="10" spans="1:38" ht="74.400000000000006" customHeight="1" x14ac:dyDescent="0.3">
      <c r="A10" s="448">
        <v>2</v>
      </c>
      <c r="B10" s="1251" t="s">
        <v>1084</v>
      </c>
      <c r="C10" s="1876"/>
      <c r="D10" s="1879"/>
      <c r="E10" s="1403">
        <v>1100000</v>
      </c>
      <c r="F10" s="64">
        <f>E10*2</f>
        <v>2200000</v>
      </c>
      <c r="G10" s="459"/>
      <c r="H10" s="64"/>
      <c r="I10" s="64"/>
      <c r="J10" s="461"/>
      <c r="K10" s="458"/>
      <c r="L10" s="64"/>
      <c r="M10" s="459"/>
      <c r="N10" s="460"/>
      <c r="O10" s="64"/>
      <c r="P10" s="461"/>
      <c r="Q10" s="460"/>
      <c r="R10" s="64"/>
      <c r="S10" s="461"/>
      <c r="T10" s="460"/>
      <c r="U10" s="64"/>
      <c r="V10" s="461"/>
      <c r="W10" s="461"/>
      <c r="X10" s="461"/>
      <c r="Y10" s="461"/>
      <c r="Z10" s="461"/>
      <c r="AA10" s="461"/>
      <c r="AB10" s="461"/>
      <c r="AC10" s="461"/>
      <c r="AD10" s="461"/>
      <c r="AE10" s="461"/>
      <c r="AF10" s="461"/>
      <c r="AG10" s="64"/>
      <c r="AH10" s="43"/>
      <c r="AI10" s="43"/>
      <c r="AJ10" s="43"/>
      <c r="AK10" s="43"/>
    </row>
    <row r="11" spans="1:38" ht="74.400000000000006" customHeight="1" x14ac:dyDescent="0.3">
      <c r="A11" s="448">
        <f t="shared" ref="A11" si="0">+A10+1</f>
        <v>3</v>
      </c>
      <c r="B11" s="1251" t="s">
        <v>637</v>
      </c>
      <c r="C11" s="1876"/>
      <c r="D11" s="1879"/>
      <c r="E11" s="1403">
        <v>1050000</v>
      </c>
      <c r="F11" s="64">
        <f t="shared" ref="F11:F16" si="1">E11</f>
        <v>1050000</v>
      </c>
      <c r="G11" s="459"/>
      <c r="H11" s="460"/>
      <c r="I11" s="460"/>
      <c r="J11" s="461"/>
      <c r="K11" s="458"/>
      <c r="L11" s="64"/>
      <c r="M11" s="459"/>
      <c r="N11" s="460"/>
      <c r="O11" s="64"/>
      <c r="P11" s="461"/>
      <c r="Q11" s="460"/>
      <c r="R11" s="64"/>
      <c r="S11" s="461"/>
      <c r="T11" s="460"/>
      <c r="U11" s="64"/>
      <c r="V11" s="461"/>
      <c r="W11" s="461"/>
      <c r="X11" s="461"/>
      <c r="Y11" s="461"/>
      <c r="Z11" s="461"/>
      <c r="AA11" s="461"/>
      <c r="AB11" s="461"/>
      <c r="AC11" s="461"/>
      <c r="AD11" s="461"/>
      <c r="AE11" s="461"/>
      <c r="AF11" s="461"/>
      <c r="AG11" s="64">
        <v>14.6666666666667</v>
      </c>
      <c r="AH11" s="1190" t="s">
        <v>259</v>
      </c>
      <c r="AI11" s="43"/>
      <c r="AJ11" s="43"/>
      <c r="AK11" s="43"/>
    </row>
    <row r="12" spans="1:38" ht="74.400000000000006" customHeight="1" x14ac:dyDescent="0.3">
      <c r="A12" s="448"/>
      <c r="B12" s="1251" t="s">
        <v>1085</v>
      </c>
      <c r="C12" s="1876"/>
      <c r="D12" s="1879"/>
      <c r="E12" s="1492">
        <v>930000</v>
      </c>
      <c r="F12" s="64">
        <f>E12*1</f>
        <v>930000</v>
      </c>
      <c r="G12" s="459"/>
      <c r="H12" s="460"/>
      <c r="I12" s="460"/>
      <c r="J12" s="461"/>
      <c r="K12" s="1492"/>
      <c r="L12" s="64"/>
      <c r="M12" s="459"/>
      <c r="N12" s="460"/>
      <c r="O12" s="64"/>
      <c r="P12" s="461"/>
      <c r="Q12" s="460"/>
      <c r="R12" s="64"/>
      <c r="S12" s="461"/>
      <c r="T12" s="460"/>
      <c r="U12" s="64"/>
      <c r="V12" s="461"/>
      <c r="W12" s="461"/>
      <c r="X12" s="461"/>
      <c r="Y12" s="461"/>
      <c r="Z12" s="461"/>
      <c r="AA12" s="461"/>
      <c r="AB12" s="461"/>
      <c r="AC12" s="461"/>
      <c r="AD12" s="461"/>
      <c r="AE12" s="461"/>
      <c r="AF12" s="461"/>
      <c r="AG12" s="64"/>
      <c r="AH12" s="1488"/>
      <c r="AI12" s="43"/>
      <c r="AJ12" s="43"/>
      <c r="AK12" s="43"/>
    </row>
    <row r="13" spans="1:38" ht="74.400000000000006" customHeight="1" x14ac:dyDescent="0.3">
      <c r="A13" s="448">
        <v>3</v>
      </c>
      <c r="B13" s="1251" t="s">
        <v>903</v>
      </c>
      <c r="C13" s="1876"/>
      <c r="D13" s="1879"/>
      <c r="E13" s="1403">
        <v>1960000</v>
      </c>
      <c r="F13" s="64">
        <f t="shared" si="1"/>
        <v>1960000</v>
      </c>
      <c r="G13" s="1252"/>
      <c r="H13" s="882"/>
      <c r="I13" s="460"/>
      <c r="J13" s="882"/>
      <c r="K13" s="1255"/>
      <c r="L13" s="882"/>
      <c r="M13" s="1252"/>
      <c r="N13" s="882"/>
      <c r="O13" s="460"/>
      <c r="P13" s="64"/>
      <c r="Q13" s="64"/>
      <c r="R13" s="460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43"/>
      <c r="AI13" s="43"/>
      <c r="AJ13" s="43"/>
      <c r="AK13" s="43"/>
    </row>
    <row r="14" spans="1:38" ht="74.400000000000006" customHeight="1" x14ac:dyDescent="0.3">
      <c r="A14" s="448">
        <v>4</v>
      </c>
      <c r="B14" s="1251" t="s">
        <v>638</v>
      </c>
      <c r="C14" s="1876"/>
      <c r="D14" s="1879"/>
      <c r="E14" s="1403">
        <v>1100000</v>
      </c>
      <c r="F14" s="64">
        <f t="shared" si="1"/>
        <v>1100000</v>
      </c>
      <c r="G14" s="2"/>
      <c r="H14" s="43"/>
      <c r="I14" s="43"/>
      <c r="J14" s="43"/>
      <c r="K14" s="469"/>
      <c r="L14" s="43"/>
      <c r="M14" s="2"/>
      <c r="N14" s="43"/>
      <c r="O14" s="43"/>
      <c r="P14" s="43"/>
      <c r="Q14" s="43"/>
      <c r="R14" s="883"/>
      <c r="S14" s="43"/>
      <c r="T14" s="43"/>
      <c r="U14" s="883"/>
      <c r="V14" s="43"/>
      <c r="W14" s="43"/>
      <c r="X14" s="43"/>
    </row>
    <row r="15" spans="1:38" ht="74.400000000000006" customHeight="1" x14ac:dyDescent="0.3">
      <c r="A15" s="448">
        <f t="shared" ref="A15" si="2">+A14+1</f>
        <v>5</v>
      </c>
      <c r="B15" s="1251" t="s">
        <v>639</v>
      </c>
      <c r="C15" s="1876"/>
      <c r="D15" s="1879"/>
      <c r="E15" s="469"/>
      <c r="F15" s="64">
        <f t="shared" si="1"/>
        <v>0</v>
      </c>
      <c r="G15" s="2"/>
      <c r="H15" s="43"/>
      <c r="I15" s="43"/>
      <c r="J15" s="43"/>
      <c r="K15" s="469"/>
      <c r="L15" s="43"/>
      <c r="M15" s="2"/>
      <c r="N15" s="43"/>
      <c r="O15" s="43"/>
      <c r="P15" s="43"/>
      <c r="Q15" s="43"/>
      <c r="R15" s="883"/>
      <c r="S15" s="43"/>
      <c r="T15" s="43"/>
      <c r="U15" s="883"/>
      <c r="V15" s="43"/>
      <c r="W15" s="43"/>
      <c r="X15" s="43"/>
    </row>
    <row r="16" spans="1:38" ht="74.400000000000006" customHeight="1" thickBot="1" x14ac:dyDescent="0.4">
      <c r="A16" s="448">
        <v>5</v>
      </c>
      <c r="B16" s="1251" t="s">
        <v>640</v>
      </c>
      <c r="C16" s="1877"/>
      <c r="D16" s="1880"/>
      <c r="E16" s="1403">
        <v>1000000</v>
      </c>
      <c r="F16" s="64">
        <f t="shared" si="1"/>
        <v>1000000</v>
      </c>
      <c r="G16" s="1415"/>
      <c r="H16" s="1254"/>
      <c r="I16" s="1254"/>
      <c r="J16" s="1254"/>
      <c r="K16" s="1253"/>
      <c r="L16" s="1254"/>
      <c r="M16" s="232"/>
      <c r="N16" s="151"/>
      <c r="O16" s="151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</row>
    <row r="17" spans="2:37" ht="74.400000000000006" customHeight="1" thickBot="1" x14ac:dyDescent="0.35">
      <c r="B17" s="1250" t="s">
        <v>18</v>
      </c>
      <c r="D17" s="233"/>
      <c r="E17" s="1416" t="s">
        <v>10</v>
      </c>
      <c r="F17" s="1417">
        <f>SUM(F8:F16)</f>
        <v>13170000</v>
      </c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</row>
    <row r="18" spans="2:37" x14ac:dyDescent="0.3">
      <c r="K18" s="43"/>
      <c r="L18" s="43"/>
      <c r="M18" s="43"/>
      <c r="N18" s="43"/>
      <c r="O18" s="43"/>
      <c r="P18" s="43"/>
      <c r="Q18" s="43"/>
      <c r="R18" s="883"/>
      <c r="S18" s="43"/>
      <c r="T18" s="43"/>
      <c r="U18" s="883"/>
      <c r="V18" s="43"/>
      <c r="W18" s="43"/>
      <c r="X18" s="43"/>
      <c r="Y18" s="43"/>
      <c r="Z18" s="43"/>
      <c r="AA18" s="43"/>
      <c r="AB18" s="43"/>
      <c r="AC18" s="43"/>
      <c r="AD18" s="43"/>
      <c r="AE18" s="43"/>
    </row>
    <row r="19" spans="2:37" x14ac:dyDescent="0.3">
      <c r="K19" s="43"/>
      <c r="L19" s="43"/>
      <c r="M19" s="43"/>
      <c r="N19" s="43"/>
      <c r="O19" s="43"/>
      <c r="P19" s="43"/>
      <c r="Q19" s="43"/>
      <c r="R19" s="883"/>
      <c r="S19" s="43"/>
      <c r="T19" s="43"/>
      <c r="U19" s="883"/>
      <c r="V19" s="43"/>
      <c r="W19" s="43"/>
      <c r="X19" s="43"/>
      <c r="Y19" s="43"/>
      <c r="Z19" s="43"/>
      <c r="AA19" s="43"/>
      <c r="AB19" s="43"/>
      <c r="AC19" s="43"/>
      <c r="AD19" s="43"/>
      <c r="AE19" s="43"/>
    </row>
    <row r="20" spans="2:37" x14ac:dyDescent="0.3">
      <c r="K20" s="43"/>
      <c r="L20" s="43"/>
      <c r="M20" s="43"/>
      <c r="N20" s="43"/>
      <c r="O20" s="43"/>
      <c r="P20" s="43"/>
      <c r="Q20" s="43"/>
      <c r="R20" s="883"/>
      <c r="S20" s="43"/>
      <c r="T20" s="43"/>
      <c r="U20" s="883"/>
      <c r="V20" s="43"/>
      <c r="W20" s="43"/>
      <c r="X20" s="43"/>
      <c r="Y20" s="43"/>
      <c r="Z20" s="43"/>
      <c r="AA20" s="43"/>
      <c r="AB20" s="43"/>
      <c r="AC20" s="43"/>
      <c r="AD20" s="43"/>
      <c r="AE20" s="43"/>
    </row>
    <row r="21" spans="2:37" x14ac:dyDescent="0.3">
      <c r="L21" s="43"/>
      <c r="M21" s="43"/>
      <c r="N21" s="43"/>
      <c r="O21" s="43"/>
      <c r="P21" s="43"/>
      <c r="Q21" s="43"/>
      <c r="R21" s="883"/>
      <c r="S21" s="43"/>
      <c r="T21" s="43"/>
      <c r="U21" s="883"/>
      <c r="V21" s="43"/>
      <c r="W21" s="43"/>
      <c r="X21" s="43"/>
      <c r="Y21" s="43"/>
      <c r="Z21" s="43"/>
      <c r="AA21" s="43"/>
      <c r="AB21" s="43"/>
      <c r="AC21" s="43"/>
      <c r="AD21" s="43"/>
      <c r="AE21" s="43"/>
    </row>
    <row r="22" spans="2:37" x14ac:dyDescent="0.3">
      <c r="B22" s="1884" t="s">
        <v>880</v>
      </c>
      <c r="C22" s="1885"/>
      <c r="D22" s="1885"/>
      <c r="E22" s="1885"/>
      <c r="F22" s="1885"/>
      <c r="G22" s="1885"/>
      <c r="H22" s="1885"/>
      <c r="I22" s="1885"/>
      <c r="J22" s="1885"/>
      <c r="K22" s="1886"/>
      <c r="L22" s="43"/>
      <c r="M22" s="43"/>
      <c r="N22" s="43"/>
      <c r="O22" s="43"/>
      <c r="P22" s="43"/>
      <c r="Q22" s="43"/>
      <c r="R22" s="883"/>
      <c r="S22" s="43"/>
      <c r="T22" s="43"/>
      <c r="U22" s="883"/>
      <c r="V22" s="43"/>
      <c r="W22" s="43"/>
      <c r="X22" s="43"/>
      <c r="Y22" s="43"/>
      <c r="Z22" s="43"/>
      <c r="AA22" s="43"/>
      <c r="AB22" s="43"/>
      <c r="AC22" s="43"/>
      <c r="AD22" s="43"/>
      <c r="AE22" s="43"/>
    </row>
    <row r="23" spans="2:37" x14ac:dyDescent="0.3">
      <c r="B23" s="1409" t="s">
        <v>881</v>
      </c>
      <c r="C23" s="1410" t="s">
        <v>882</v>
      </c>
      <c r="D23" s="1410" t="s">
        <v>883</v>
      </c>
      <c r="E23" s="1410" t="s">
        <v>884</v>
      </c>
      <c r="F23" s="1410" t="s">
        <v>885</v>
      </c>
      <c r="G23" s="1411"/>
      <c r="H23" s="42"/>
      <c r="I23" s="42"/>
      <c r="J23" s="42"/>
      <c r="K23" s="42"/>
      <c r="R23" s="70"/>
      <c r="U23" s="70"/>
    </row>
    <row r="24" spans="2:37" x14ac:dyDescent="0.3">
      <c r="B24" s="1413" t="s">
        <v>886</v>
      </c>
      <c r="C24" s="66">
        <f>2*1</f>
        <v>2</v>
      </c>
      <c r="D24" s="66">
        <v>1</v>
      </c>
      <c r="E24" s="66"/>
      <c r="F24" s="66"/>
      <c r="G24" s="42"/>
      <c r="H24" s="42"/>
      <c r="I24" s="42"/>
      <c r="J24" s="42"/>
      <c r="K24" s="42"/>
      <c r="R24" s="70"/>
      <c r="U24" s="70"/>
    </row>
    <row r="25" spans="2:37" x14ac:dyDescent="0.3">
      <c r="B25" s="1414" t="s">
        <v>887</v>
      </c>
      <c r="C25" s="66">
        <f t="shared" ref="C25:C37" si="3">2*1</f>
        <v>2</v>
      </c>
      <c r="D25" s="66">
        <v>1</v>
      </c>
      <c r="E25" s="66"/>
      <c r="F25" s="66"/>
      <c r="G25" s="42"/>
      <c r="H25" s="42"/>
      <c r="I25" s="42"/>
      <c r="J25" s="42"/>
      <c r="K25" s="42"/>
      <c r="R25" s="70"/>
      <c r="U25" s="70"/>
    </row>
    <row r="26" spans="2:37" x14ac:dyDescent="0.3">
      <c r="B26" s="1413" t="s">
        <v>888</v>
      </c>
      <c r="C26" s="66">
        <f t="shared" si="3"/>
        <v>2</v>
      </c>
      <c r="D26" s="66">
        <v>1</v>
      </c>
      <c r="E26" s="66"/>
      <c r="F26" s="66"/>
      <c r="G26" s="42"/>
      <c r="H26" s="42"/>
      <c r="I26" s="42"/>
      <c r="J26" s="42"/>
      <c r="K26" s="42"/>
      <c r="R26" s="70"/>
      <c r="U26" s="70"/>
    </row>
    <row r="27" spans="2:37" x14ac:dyDescent="0.3">
      <c r="B27" s="1414" t="s">
        <v>889</v>
      </c>
      <c r="C27" s="66">
        <f t="shared" si="3"/>
        <v>2</v>
      </c>
      <c r="D27" s="66">
        <v>1</v>
      </c>
      <c r="E27" s="66"/>
      <c r="F27" s="66"/>
      <c r="G27" s="42"/>
      <c r="H27" s="42"/>
      <c r="I27" s="42"/>
      <c r="J27" s="42"/>
      <c r="K27" s="42"/>
      <c r="R27" s="70"/>
      <c r="U27" s="70"/>
    </row>
    <row r="28" spans="2:37" x14ac:dyDescent="0.3">
      <c r="B28" s="1413" t="s">
        <v>890</v>
      </c>
      <c r="C28" s="66">
        <f t="shared" si="3"/>
        <v>2</v>
      </c>
      <c r="D28" s="66">
        <v>1</v>
      </c>
      <c r="E28" s="66"/>
      <c r="F28" s="66"/>
      <c r="G28" s="42"/>
      <c r="H28" s="42"/>
      <c r="I28" s="42"/>
      <c r="J28" s="42"/>
      <c r="K28" s="42"/>
      <c r="R28" s="70"/>
      <c r="U28" s="70"/>
    </row>
    <row r="29" spans="2:37" x14ac:dyDescent="0.3">
      <c r="B29" s="1414" t="s">
        <v>891</v>
      </c>
      <c r="C29" s="66">
        <f t="shared" si="3"/>
        <v>2</v>
      </c>
      <c r="D29" s="66">
        <v>1</v>
      </c>
      <c r="E29" s="66"/>
      <c r="F29" s="66"/>
      <c r="G29" s="42"/>
      <c r="H29" s="42"/>
      <c r="I29" s="42"/>
      <c r="J29" s="42"/>
      <c r="K29" s="42"/>
      <c r="R29" s="70"/>
      <c r="U29" s="70"/>
    </row>
    <row r="30" spans="2:37" x14ac:dyDescent="0.3">
      <c r="B30" s="1413" t="s">
        <v>892</v>
      </c>
      <c r="C30" s="66">
        <f t="shared" si="3"/>
        <v>2</v>
      </c>
      <c r="D30" s="66">
        <v>1</v>
      </c>
      <c r="E30" s="66"/>
      <c r="F30" s="66"/>
      <c r="G30" s="42"/>
      <c r="H30" s="42"/>
      <c r="I30" s="42"/>
      <c r="J30" s="42"/>
      <c r="K30" s="42"/>
      <c r="R30" s="70"/>
      <c r="U30" s="70"/>
    </row>
    <row r="31" spans="2:37" x14ac:dyDescent="0.3">
      <c r="B31" s="1414" t="s">
        <v>893</v>
      </c>
      <c r="C31" s="66">
        <f t="shared" si="3"/>
        <v>2</v>
      </c>
      <c r="D31" s="66">
        <v>1</v>
      </c>
      <c r="E31" s="66"/>
      <c r="F31" s="66"/>
      <c r="G31" s="42"/>
      <c r="H31" s="42"/>
      <c r="I31" s="42"/>
      <c r="J31" s="42"/>
      <c r="K31" s="42"/>
    </row>
    <row r="32" spans="2:37" x14ac:dyDescent="0.3">
      <c r="B32" s="1413" t="s">
        <v>894</v>
      </c>
      <c r="C32" s="66">
        <f t="shared" si="3"/>
        <v>2</v>
      </c>
      <c r="D32" s="66">
        <v>1</v>
      </c>
      <c r="E32" s="66"/>
      <c r="F32" s="66"/>
      <c r="G32" s="42"/>
      <c r="H32" s="42"/>
      <c r="I32" s="42"/>
      <c r="J32" s="42"/>
      <c r="K32" s="42"/>
    </row>
    <row r="33" spans="2:11" x14ac:dyDescent="0.3">
      <c r="B33" s="1414" t="s">
        <v>895</v>
      </c>
      <c r="C33" s="66">
        <f t="shared" si="3"/>
        <v>2</v>
      </c>
      <c r="D33" s="66">
        <v>1</v>
      </c>
      <c r="E33" s="66"/>
      <c r="F33" s="66"/>
      <c r="G33" s="42"/>
      <c r="H33" s="42"/>
      <c r="I33" s="42"/>
      <c r="J33" s="42"/>
      <c r="K33" s="42"/>
    </row>
    <row r="34" spans="2:11" x14ac:dyDescent="0.3">
      <c r="B34" s="1413" t="s">
        <v>896</v>
      </c>
      <c r="C34" s="66">
        <f t="shared" si="3"/>
        <v>2</v>
      </c>
      <c r="D34" s="66">
        <v>1</v>
      </c>
      <c r="E34" s="66"/>
      <c r="F34" s="66"/>
      <c r="G34" s="42"/>
      <c r="H34" s="42"/>
      <c r="I34" s="42"/>
      <c r="J34" s="42"/>
      <c r="K34" s="42"/>
    </row>
    <row r="35" spans="2:11" x14ac:dyDescent="0.3">
      <c r="B35" s="1414" t="s">
        <v>897</v>
      </c>
      <c r="C35" s="66">
        <f t="shared" si="3"/>
        <v>2</v>
      </c>
      <c r="D35" s="66">
        <v>1</v>
      </c>
      <c r="E35" s="66"/>
      <c r="F35" s="66"/>
      <c r="G35" s="42"/>
      <c r="H35" s="42"/>
      <c r="I35" s="42"/>
      <c r="J35" s="42"/>
      <c r="K35" s="42"/>
    </row>
    <row r="36" spans="2:11" x14ac:dyDescent="0.3">
      <c r="B36" s="1413" t="s">
        <v>898</v>
      </c>
      <c r="C36" s="66">
        <f t="shared" si="3"/>
        <v>2</v>
      </c>
      <c r="D36" s="66">
        <v>1</v>
      </c>
      <c r="E36" s="66"/>
      <c r="F36" s="66"/>
      <c r="G36" s="42"/>
      <c r="H36" s="42"/>
      <c r="I36" s="42"/>
      <c r="J36" s="42"/>
      <c r="K36" s="42"/>
    </row>
    <row r="37" spans="2:11" x14ac:dyDescent="0.3">
      <c r="B37" s="1414" t="s">
        <v>899</v>
      </c>
      <c r="C37" s="66">
        <f t="shared" si="3"/>
        <v>2</v>
      </c>
      <c r="D37" s="66">
        <v>1</v>
      </c>
      <c r="E37" s="66"/>
      <c r="F37" s="66"/>
      <c r="G37" s="42"/>
      <c r="H37" s="42"/>
      <c r="I37" s="42"/>
      <c r="J37" s="42"/>
      <c r="K37" s="42"/>
    </row>
    <row r="38" spans="2:11" x14ac:dyDescent="0.3">
      <c r="B38" s="1412"/>
      <c r="C38" s="66"/>
      <c r="D38" s="66"/>
      <c r="E38" s="66">
        <v>1</v>
      </c>
      <c r="F38" s="66">
        <v>1</v>
      </c>
      <c r="G38" s="42"/>
      <c r="H38" s="42"/>
      <c r="I38" s="42"/>
      <c r="J38" s="42"/>
      <c r="K38" s="42"/>
    </row>
    <row r="39" spans="2:11" x14ac:dyDescent="0.3">
      <c r="B39" s="42" t="s">
        <v>900</v>
      </c>
      <c r="C39" s="66"/>
      <c r="D39" s="66">
        <v>5</v>
      </c>
      <c r="E39" s="66"/>
      <c r="F39" s="66"/>
      <c r="G39" s="42"/>
      <c r="H39" s="42"/>
      <c r="I39" s="42"/>
      <c r="J39" s="42"/>
      <c r="K39" s="42"/>
    </row>
    <row r="40" spans="2:11" x14ac:dyDescent="0.3">
      <c r="B40" s="42" t="s">
        <v>901</v>
      </c>
      <c r="C40" s="66"/>
      <c r="D40" s="66">
        <v>27</v>
      </c>
      <c r="E40" s="66">
        <v>1</v>
      </c>
      <c r="F40" s="66"/>
      <c r="G40" s="42"/>
      <c r="H40" s="42"/>
      <c r="I40" s="42"/>
      <c r="J40" s="42"/>
      <c r="K40" s="42"/>
    </row>
    <row r="41" spans="2:11" x14ac:dyDescent="0.3">
      <c r="B41" s="1409" t="s">
        <v>902</v>
      </c>
      <c r="C41" s="1409">
        <f>SUM(C24:C40)</f>
        <v>28</v>
      </c>
      <c r="D41" s="1409">
        <f>SUM(D24:D40)</f>
        <v>46</v>
      </c>
      <c r="E41" s="1409">
        <f>SUM(E24:E40)</f>
        <v>2</v>
      </c>
      <c r="F41" s="1409">
        <f>SUM(F24:F40)</f>
        <v>1</v>
      </c>
      <c r="G41" s="42"/>
      <c r="H41" s="42"/>
      <c r="I41" s="42"/>
      <c r="J41" s="42"/>
      <c r="K41" s="42"/>
    </row>
  </sheetData>
  <mergeCells count="16">
    <mergeCell ref="B22:K22"/>
    <mergeCell ref="B2:L2"/>
    <mergeCell ref="E4:G4"/>
    <mergeCell ref="H4:J4"/>
    <mergeCell ref="K4:M4"/>
    <mergeCell ref="N4:P4"/>
    <mergeCell ref="C8:C16"/>
    <mergeCell ref="D8:D16"/>
    <mergeCell ref="T4:V4"/>
    <mergeCell ref="E6:G6"/>
    <mergeCell ref="H6:J6"/>
    <mergeCell ref="K6:M6"/>
    <mergeCell ref="N6:P6"/>
    <mergeCell ref="Q6:S6"/>
    <mergeCell ref="T6:V6"/>
    <mergeCell ref="Q4:S4"/>
  </mergeCells>
  <pageMargins left="0.70866141732283472" right="0.70866141732283472" top="0.74803149606299213" bottom="0.74803149606299213" header="0.31496062992125984" footer="0.31496062992125984"/>
  <pageSetup paperSize="9" scale="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15</vt:i4>
      </vt:variant>
    </vt:vector>
  </HeadingPairs>
  <TitlesOfParts>
    <vt:vector size="51" baseType="lpstr">
      <vt:lpstr>Hoja4</vt:lpstr>
      <vt:lpstr>FLUJO DE CAJA</vt:lpstr>
      <vt:lpstr>Impermeabilizacion</vt:lpstr>
      <vt:lpstr>SOBREPISO</vt:lpstr>
      <vt:lpstr>SIST.INCENDIO</vt:lpstr>
      <vt:lpstr>CIELO RASO</vt:lpstr>
      <vt:lpstr>CORNISAS</vt:lpstr>
      <vt:lpstr>VIDRIOS</vt:lpstr>
      <vt:lpstr>SISTEMA HIDRONEUMATICO</vt:lpstr>
      <vt:lpstr>MOVIMIENTO DE TIERRA</vt:lpstr>
      <vt:lpstr>pavimento concreto</vt:lpstr>
      <vt:lpstr>pavimento asfalto</vt:lpstr>
      <vt:lpstr>CEMENTO PULIDO</vt:lpstr>
      <vt:lpstr>TERRACOTA</vt:lpstr>
      <vt:lpstr>PINTURA </vt:lpstr>
      <vt:lpstr>BARANDAS</vt:lpstr>
      <vt:lpstr>MALLA PUESTA A TIERRA</vt:lpstr>
      <vt:lpstr>TRANSFORMADOR</vt:lpstr>
      <vt:lpstr>ILUMINACION</vt:lpstr>
      <vt:lpstr>POSTE Y HERRAJE</vt:lpstr>
      <vt:lpstr>CABLES</vt:lpstr>
      <vt:lpstr>PAISAJISMO</vt:lpstr>
      <vt:lpstr>PUERTAS DE MADERA</vt:lpstr>
      <vt:lpstr>TABIQUERIA DE BAÑOS</vt:lpstr>
      <vt:lpstr>REMATES DE MAMPOSTERIA</vt:lpstr>
      <vt:lpstr>REPA.TANQUILLAS</vt:lpstr>
      <vt:lpstr>M.O GRIETAS EN PAREDES</vt:lpstr>
      <vt:lpstr>COMUNICACIONES</vt:lpstr>
      <vt:lpstr>AVISOS CORPOREOS</vt:lpstr>
      <vt:lpstr>INSTALACIONES SANITARIAS</vt:lpstr>
      <vt:lpstr>ACONDICIONAMIENTO DE TANQUE</vt:lpstr>
      <vt:lpstr>CONTROL CONT PALMERAS</vt:lpstr>
      <vt:lpstr>Hoja1</vt:lpstr>
      <vt:lpstr>Hoja3</vt:lpstr>
      <vt:lpstr>Hoja2</vt:lpstr>
      <vt:lpstr>Hoja5</vt:lpstr>
      <vt:lpstr>BARANDAS!Área_de_impresión</vt:lpstr>
      <vt:lpstr>'CEMENTO PULIDO'!Área_de_impresión</vt:lpstr>
      <vt:lpstr>'CONTROL CONT PALMERAS'!Área_de_impresión</vt:lpstr>
      <vt:lpstr>'FLUJO DE CAJA'!Área_de_impresión</vt:lpstr>
      <vt:lpstr>Hoja1!Área_de_impresión</vt:lpstr>
      <vt:lpstr>Impermeabilizacion!Área_de_impresión</vt:lpstr>
      <vt:lpstr>'M.O GRIETAS EN PAREDES'!Área_de_impresión</vt:lpstr>
      <vt:lpstr>'MOVIMIENTO DE TIERRA'!Área_de_impresión</vt:lpstr>
      <vt:lpstr>'pavimento concreto'!Área_de_impresión</vt:lpstr>
      <vt:lpstr>'PINTURA '!Área_de_impresión</vt:lpstr>
      <vt:lpstr>REPA.TANQUILLAS!Área_de_impresión</vt:lpstr>
      <vt:lpstr>SIST.INCENDIO!Área_de_impresión</vt:lpstr>
      <vt:lpstr>'SISTEMA HIDRONEUMATICO'!Área_de_impresión</vt:lpstr>
      <vt:lpstr>SOBREPISO!Área_de_impresión</vt:lpstr>
      <vt:lpstr>VIDRIOS!Área_de_impresión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170 VCR3</dc:creator>
  <cp:lastModifiedBy>170 VCR6</cp:lastModifiedBy>
  <cp:lastPrinted>2016-11-01T20:22:51Z</cp:lastPrinted>
  <dcterms:created xsi:type="dcterms:W3CDTF">2015-04-10T15:12:07Z</dcterms:created>
  <dcterms:modified xsi:type="dcterms:W3CDTF">2017-11-29T18:35:58Z</dcterms:modified>
</cp:coreProperties>
</file>