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drawings/drawing4.xml" ContentType="application/vnd.openxmlformats-officedocument.drawingml.chartshapes+xml"/>
  <Override PartName="/xl/charts/chart4.xml" ContentType="application/vnd.openxmlformats-officedocument.drawingml.chart+xml"/>
  <Override PartName="/xl/charts/chart5.xml" ContentType="application/vnd.openxmlformats-officedocument.drawingml.chart+xml"/>
  <Override PartName="/xl/drawings/drawing5.xml" ContentType="application/vnd.openxmlformats-officedocument.drawingml.chartshapes+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showPivotChartFilter="1" autoCompressPictures="0"/>
  <mc:AlternateContent xmlns:mc="http://schemas.openxmlformats.org/markup-compatibility/2006">
    <mc:Choice Requires="x15">
      <x15ac:absPath xmlns:x15ac="http://schemas.microsoft.com/office/spreadsheetml/2010/11/ac" url="X:\"/>
    </mc:Choice>
  </mc:AlternateContent>
  <bookViews>
    <workbookView xWindow="0" yWindow="0" windowWidth="22470" windowHeight="12030" tabRatio="675" firstSheet="1" activeTab="1"/>
  </bookViews>
  <sheets>
    <sheet name="Instructions" sheetId="18" r:id="rId1"/>
    <sheet name="TLFB data" sheetId="15" r:id="rId2"/>
    <sheet name="Lifetime" sheetId="26" r:id="rId3"/>
    <sheet name="Exposure Summary" sheetId="25" r:id="rId4"/>
    <sheet name="Settings-Do not Adjust" sheetId="2" r:id="rId5"/>
    <sheet name="Lists" sheetId="27" r:id="rId6"/>
    <sheet name="Versions" sheetId="28" r:id="rId7"/>
    <sheet name="Coding revision 20170310" sheetId="29" r:id="rId8"/>
  </sheets>
  <definedNames>
    <definedName name="Ages">Lists!$A$1:$A$90</definedName>
    <definedName name="Alcohol">Lists!$C$1:$C$4</definedName>
    <definedName name="Alcohol1">Lists!$C$1:$C$4</definedName>
    <definedName name="daysInMonth">'Settings-Do not Adjust'!$G$23</definedName>
    <definedName name="H" localSheetId="3">#REF!</definedName>
    <definedName name="H">#REF!</definedName>
    <definedName name="L" localSheetId="3">#REF!</definedName>
    <definedName name="L">#REF!</definedName>
    <definedName name="Lspread" localSheetId="3">#REF!</definedName>
    <definedName name="Lspread">#REF!</definedName>
    <definedName name="month">'Settings-Do not Adjust'!$G$18</definedName>
    <definedName name="monthName">'Settings-Do not Adjust'!$G$20</definedName>
    <definedName name="monthNames">'Settings-Do not Adjust'!$C$19:$C$30</definedName>
    <definedName name="_xlnm.Print_Area" localSheetId="0">Instructions!$A$1:$K$55</definedName>
    <definedName name="_xlnm.Print_Area" localSheetId="1">'TLFB data'!$B$5:$I$85</definedName>
    <definedName name="Qty">Lists!$D$1:$D$7</definedName>
    <definedName name="rgb_13">'Settings-Do not Adjust'!$E$14</definedName>
    <definedName name="rgb_13hex">'Settings-Do not Adjust'!$E$15</definedName>
    <definedName name="rgb_39">'Settings-Do not Adjust'!$I$14</definedName>
    <definedName name="rgb_39hex">'Settings-Do not Adjust'!$I$15</definedName>
    <definedName name="rgb_40">'Settings-Do not Adjust'!$I$6</definedName>
    <definedName name="rgb_40hex">'Settings-Do not Adjust'!$I$7</definedName>
    <definedName name="rgb_44">'Settings-Do not Adjust'!$G$6</definedName>
    <definedName name="rgb_44hex">'Settings-Do not Adjust'!$G$7</definedName>
    <definedName name="rgb_45">'Settings-Do not Adjust'!$E$6</definedName>
    <definedName name="rgb_45hex">'Settings-Do not Adjust'!$E$7</definedName>
    <definedName name="rgb_46">'Settings-Do not Adjust'!$C$6</definedName>
    <definedName name="rgb_46hex">'Settings-Do not Adjust'!$C$7</definedName>
    <definedName name="rgb_47">'Settings-Do not Adjust'!$C$14</definedName>
    <definedName name="rgb_47hex">'Settings-Do not Adjust'!$C$15</definedName>
    <definedName name="rgb_53">'Settings-Do not Adjust'!$A$6</definedName>
    <definedName name="rgb_53hex">'Settings-Do not Adjust'!$A$7</definedName>
    <definedName name="rgb_54">'Settings-Do not Adjust'!$G$14</definedName>
    <definedName name="rgb_54hex">'Settings-Do not Adjust'!$G$15</definedName>
    <definedName name="rgb_55">'Settings-Do not Adjust'!$A$14</definedName>
    <definedName name="rgb_55hex">'Settings-Do not Adjust'!$A$15</definedName>
    <definedName name="S" localSheetId="3">#REF!</definedName>
    <definedName name="S">#REF!</definedName>
    <definedName name="startDate">'Settings-Do not Adjust'!$G$21</definedName>
    <definedName name="startDayOfWeek">'Settings-Do not Adjust'!$G$22</definedName>
    <definedName name="thisMonth">'Settings-Do not Adjust'!$A$20</definedName>
    <definedName name="thisMonthName">'Settings-Do not Adjust'!$A$21</definedName>
    <definedName name="thisYear">'Settings-Do not Adjust'!$A$22</definedName>
    <definedName name="V" localSheetId="3">#REF!</definedName>
    <definedName name="V">#REF!</definedName>
    <definedName name="weekday">'Settings-Do not Adjust'!$B$34:$H$34</definedName>
    <definedName name="WeekNo">'Settings-Do not Adjust'!$A$35:$A$40</definedName>
    <definedName name="year">'Settings-Do not Adjust'!$G$19</definedName>
    <definedName name="Years">Lists!$B$1:$B$90</definedName>
  </definedNames>
  <calcPr calcId="162913"/>
  <extLst>
    <ext xmlns:mx="http://schemas.microsoft.com/office/mac/excel/2008/main" uri="http://schemas.microsoft.com/office/mac/excel/2008/main">
      <mx:ArchID Flags="2"/>
    </ext>
  </extLst>
</workbook>
</file>

<file path=xl/calcChain.xml><?xml version="1.0" encoding="utf-8"?>
<calcChain xmlns="http://schemas.openxmlformats.org/spreadsheetml/2006/main">
  <c r="L26" i="26" l="1"/>
  <c r="K26" i="26"/>
  <c r="J26" i="26"/>
  <c r="H26" i="26"/>
  <c r="A66" i="29" l="1"/>
  <c r="A64" i="29"/>
  <c r="A62" i="29"/>
  <c r="A60" i="29"/>
  <c r="A58" i="29"/>
  <c r="A57" i="29"/>
  <c r="A50" i="29"/>
  <c r="A48" i="29"/>
  <c r="A46" i="29"/>
  <c r="A44" i="29"/>
  <c r="A42" i="29"/>
  <c r="A41" i="29"/>
  <c r="A25" i="29"/>
  <c r="A9" i="29"/>
  <c r="B72" i="29"/>
  <c r="B51" i="29"/>
  <c r="B9" i="29"/>
  <c r="K86" i="15" l="1"/>
  <c r="K83" i="15"/>
  <c r="K80" i="15"/>
  <c r="K77" i="15"/>
  <c r="K74" i="15"/>
  <c r="K72" i="15"/>
  <c r="L66" i="15"/>
  <c r="K65" i="15"/>
  <c r="L64" i="15"/>
  <c r="L62" i="15"/>
  <c r="K62" i="15"/>
  <c r="L60" i="15"/>
  <c r="K59" i="15"/>
  <c r="L58" i="15"/>
  <c r="K56" i="15"/>
  <c r="K53" i="15"/>
  <c r="K51" i="15"/>
  <c r="L50" i="15"/>
  <c r="L48" i="15"/>
  <c r="L46" i="15"/>
  <c r="L44" i="15"/>
  <c r="K44" i="15"/>
  <c r="L42" i="15"/>
  <c r="K41" i="15"/>
  <c r="K38" i="15"/>
  <c r="K35" i="15"/>
  <c r="L34" i="15"/>
  <c r="L32" i="15"/>
  <c r="K32" i="15"/>
  <c r="L30" i="15"/>
  <c r="L28" i="15"/>
  <c r="L26" i="15"/>
  <c r="K23" i="15"/>
  <c r="K20" i="15"/>
  <c r="L18" i="15"/>
  <c r="K17" i="15"/>
  <c r="L16" i="15"/>
  <c r="L14" i="15"/>
  <c r="K14" i="15"/>
  <c r="L12" i="15"/>
  <c r="K11" i="15"/>
  <c r="L10" i="15"/>
  <c r="K9" i="15"/>
  <c r="T10" i="15" l="1"/>
  <c r="AY5" i="15"/>
  <c r="AW5" i="15"/>
  <c r="B6" i="15" s="1"/>
  <c r="I10" i="15" l="1"/>
  <c r="I14" i="15"/>
  <c r="I16" i="15"/>
  <c r="I26" i="15"/>
  <c r="I28" i="15"/>
  <c r="I32" i="15"/>
  <c r="I34" i="15"/>
  <c r="I44" i="15"/>
  <c r="I46" i="15"/>
  <c r="I50" i="15"/>
  <c r="I58" i="15"/>
  <c r="I62" i="15"/>
  <c r="I64" i="15"/>
  <c r="G6" i="15"/>
  <c r="P6" i="15" s="1"/>
  <c r="T15" i="15"/>
  <c r="N6" i="15"/>
  <c r="W32" i="15"/>
  <c r="W31" i="15"/>
  <c r="W30" i="15"/>
  <c r="W29" i="15"/>
  <c r="W28" i="15"/>
  <c r="W27" i="15"/>
  <c r="W26" i="15"/>
  <c r="AL110" i="15"/>
  <c r="AM144" i="15"/>
  <c r="AM143" i="15"/>
  <c r="AM142" i="15"/>
  <c r="AM141" i="15"/>
  <c r="AM140" i="15"/>
  <c r="AM139" i="15"/>
  <c r="AM138" i="15"/>
  <c r="AM137" i="15"/>
  <c r="AM136" i="15"/>
  <c r="AM135" i="15"/>
  <c r="AM134" i="15"/>
  <c r="AM133" i="15"/>
  <c r="AN133" i="15" s="1"/>
  <c r="AM132" i="15"/>
  <c r="AN132" i="15"/>
  <c r="AM131" i="15"/>
  <c r="AM130" i="15"/>
  <c r="AN130" i="15" s="1"/>
  <c r="AM129" i="15"/>
  <c r="AM128" i="15"/>
  <c r="AM127" i="15"/>
  <c r="AM126" i="15"/>
  <c r="AM125" i="15"/>
  <c r="AM124" i="15"/>
  <c r="AN124" i="15" s="1"/>
  <c r="AM123" i="15"/>
  <c r="AM122" i="15"/>
  <c r="AN122" i="15" s="1"/>
  <c r="AM121" i="15"/>
  <c r="AM120" i="15"/>
  <c r="AM119" i="15"/>
  <c r="AM118" i="15"/>
  <c r="AM117" i="15"/>
  <c r="AM116" i="15"/>
  <c r="AM115" i="15"/>
  <c r="AM114" i="15"/>
  <c r="AN115" i="15" s="1"/>
  <c r="AM113" i="15"/>
  <c r="AM112" i="15"/>
  <c r="AM111" i="15"/>
  <c r="AM110" i="15"/>
  <c r="AN110" i="15" s="1"/>
  <c r="AM109" i="15"/>
  <c r="AM108" i="15"/>
  <c r="AN108" i="15" s="1"/>
  <c r="AM107" i="15"/>
  <c r="AM106" i="15"/>
  <c r="AN106" i="15" s="1"/>
  <c r="AM105" i="15"/>
  <c r="AM104" i="15"/>
  <c r="AM103" i="15"/>
  <c r="AM102" i="15"/>
  <c r="AM101" i="15"/>
  <c r="AM100" i="15"/>
  <c r="AM99" i="15"/>
  <c r="AM98" i="15"/>
  <c r="AM97" i="15"/>
  <c r="AM96" i="15"/>
  <c r="AM95" i="15"/>
  <c r="AM94" i="15"/>
  <c r="AM93" i="15"/>
  <c r="AM92" i="15"/>
  <c r="AM91" i="15"/>
  <c r="AM90" i="15"/>
  <c r="AM89" i="15"/>
  <c r="AM88" i="15"/>
  <c r="AN88" i="15" s="1"/>
  <c r="AM87" i="15"/>
  <c r="AM86" i="15"/>
  <c r="AN87" i="15" s="1"/>
  <c r="AM85" i="15"/>
  <c r="AM84" i="15"/>
  <c r="AM83" i="15"/>
  <c r="AM82" i="15"/>
  <c r="AM81" i="15"/>
  <c r="AM80" i="15"/>
  <c r="AM79" i="15"/>
  <c r="AM78" i="15"/>
  <c r="AN79" i="15" s="1"/>
  <c r="AM77" i="15"/>
  <c r="AM76" i="15"/>
  <c r="AM75" i="15"/>
  <c r="AM74" i="15"/>
  <c r="AN75" i="15" s="1"/>
  <c r="AM73" i="15"/>
  <c r="AM72" i="15"/>
  <c r="AM71" i="15"/>
  <c r="AM70" i="15"/>
  <c r="AN70" i="15" s="1"/>
  <c r="AM69" i="15"/>
  <c r="AM68" i="15"/>
  <c r="AM67" i="15"/>
  <c r="AM66" i="15"/>
  <c r="AM65" i="15"/>
  <c r="AM64" i="15"/>
  <c r="AN64" i="15" s="1"/>
  <c r="AM63" i="15"/>
  <c r="AM62" i="15"/>
  <c r="AM61" i="15"/>
  <c r="AM60" i="15"/>
  <c r="AM59" i="15"/>
  <c r="AM58" i="15"/>
  <c r="AN58" i="15" s="1"/>
  <c r="AM57" i="15"/>
  <c r="AM56" i="15"/>
  <c r="AM55" i="15"/>
  <c r="AN55" i="15" s="1"/>
  <c r="AM54" i="15"/>
  <c r="AM53" i="15"/>
  <c r="AM52" i="15"/>
  <c r="AM51" i="15"/>
  <c r="AM50" i="15"/>
  <c r="AM49" i="15"/>
  <c r="AM48" i="15"/>
  <c r="AM47" i="15"/>
  <c r="AM46" i="15"/>
  <c r="AM45" i="15"/>
  <c r="AM44" i="15"/>
  <c r="AM43" i="15"/>
  <c r="AM42" i="15"/>
  <c r="AM41" i="15"/>
  <c r="AM40" i="15"/>
  <c r="AM39" i="15"/>
  <c r="AN39" i="15" s="1"/>
  <c r="AM38" i="15"/>
  <c r="AM37" i="15"/>
  <c r="AM36" i="15"/>
  <c r="AM35" i="15"/>
  <c r="AN36" i="15" s="1"/>
  <c r="AM34" i="15"/>
  <c r="AN34" i="15"/>
  <c r="AM33" i="15"/>
  <c r="AM32" i="15"/>
  <c r="AM31" i="15"/>
  <c r="AM30" i="15"/>
  <c r="AN30" i="15" s="1"/>
  <c r="AM29" i="15"/>
  <c r="AM28" i="15"/>
  <c r="AM27" i="15"/>
  <c r="AM26" i="15"/>
  <c r="AM25" i="15"/>
  <c r="AM24" i="15"/>
  <c r="AM23" i="15"/>
  <c r="AM22" i="15"/>
  <c r="AM21" i="15"/>
  <c r="AM20" i="15"/>
  <c r="AM19" i="15"/>
  <c r="AM18" i="15"/>
  <c r="AM17" i="15"/>
  <c r="AM16" i="15"/>
  <c r="AN16" i="15" s="1"/>
  <c r="AM15" i="15"/>
  <c r="AM14" i="15"/>
  <c r="AM13" i="15"/>
  <c r="AM12" i="15"/>
  <c r="AM11" i="15"/>
  <c r="AN11" i="15" s="1"/>
  <c r="AM10" i="15"/>
  <c r="AM9" i="15"/>
  <c r="AN9" i="15" s="1"/>
  <c r="AM8" i="15"/>
  <c r="AN8" i="15"/>
  <c r="AM7" i="15"/>
  <c r="AM6" i="15"/>
  <c r="AN6" i="15" s="1"/>
  <c r="AM5" i="15"/>
  <c r="AN5" i="15" s="1"/>
  <c r="AN126" i="15"/>
  <c r="AN114" i="15"/>
  <c r="AN15" i="15"/>
  <c r="AN47" i="15"/>
  <c r="AN107" i="15"/>
  <c r="AN127" i="15"/>
  <c r="AN135" i="15"/>
  <c r="BI194" i="15"/>
  <c r="BI192" i="15"/>
  <c r="BH192" i="15"/>
  <c r="BI190" i="15"/>
  <c r="BI188" i="15"/>
  <c r="BI186" i="15"/>
  <c r="BI184" i="15"/>
  <c r="BI182" i="15"/>
  <c r="BI180" i="15"/>
  <c r="BI178" i="15"/>
  <c r="BI176" i="15"/>
  <c r="BI174" i="15"/>
  <c r="BI172" i="15"/>
  <c r="BI170" i="15"/>
  <c r="BI168" i="15"/>
  <c r="BI166" i="15"/>
  <c r="BI164" i="15"/>
  <c r="BI162" i="15"/>
  <c r="BI160" i="15"/>
  <c r="BI158" i="15"/>
  <c r="BI156" i="15"/>
  <c r="BI154" i="15"/>
  <c r="BI152" i="15"/>
  <c r="BI150" i="15"/>
  <c r="BI148" i="15"/>
  <c r="BI146" i="15"/>
  <c r="BI144" i="15"/>
  <c r="BI142" i="15"/>
  <c r="BI140" i="15"/>
  <c r="BI138" i="15"/>
  <c r="BI136" i="15"/>
  <c r="BI134" i="15"/>
  <c r="BI132" i="15"/>
  <c r="BI130" i="15"/>
  <c r="BI128" i="15"/>
  <c r="BI126" i="15"/>
  <c r="BI124" i="15"/>
  <c r="BI122" i="15"/>
  <c r="BI120" i="15"/>
  <c r="BI118" i="15"/>
  <c r="BI116" i="15"/>
  <c r="BI114" i="15"/>
  <c r="BI112" i="15"/>
  <c r="BI110" i="15"/>
  <c r="BI108" i="15"/>
  <c r="BI106" i="15"/>
  <c r="BI104" i="15"/>
  <c r="BH194" i="15"/>
  <c r="BH190" i="15"/>
  <c r="BH188" i="15"/>
  <c r="BH186" i="15"/>
  <c r="BH184" i="15"/>
  <c r="BH182" i="15"/>
  <c r="BH180" i="15"/>
  <c r="BH178" i="15"/>
  <c r="BH176" i="15"/>
  <c r="BH174" i="15"/>
  <c r="BH172" i="15"/>
  <c r="BH170" i="15"/>
  <c r="BH168" i="15"/>
  <c r="BH166" i="15"/>
  <c r="BH164" i="15"/>
  <c r="BH162" i="15"/>
  <c r="BH160" i="15"/>
  <c r="BH158" i="15"/>
  <c r="BH156" i="15"/>
  <c r="BH154" i="15"/>
  <c r="BH152" i="15"/>
  <c r="BH150" i="15"/>
  <c r="BH148" i="15"/>
  <c r="BH146" i="15"/>
  <c r="BH144" i="15"/>
  <c r="BH142" i="15"/>
  <c r="BH140" i="15"/>
  <c r="BH138" i="15"/>
  <c r="BH136" i="15"/>
  <c r="BH134" i="15"/>
  <c r="BH132" i="15"/>
  <c r="BH130" i="15"/>
  <c r="BH128" i="15"/>
  <c r="BH126" i="15"/>
  <c r="BH124" i="15"/>
  <c r="BH122" i="15"/>
  <c r="BH120" i="15"/>
  <c r="BH118" i="15"/>
  <c r="BH116" i="15"/>
  <c r="BH114" i="15"/>
  <c r="BH112" i="15"/>
  <c r="BH110" i="15"/>
  <c r="BH108" i="15"/>
  <c r="BH106" i="15"/>
  <c r="BH104" i="15"/>
  <c r="BG194" i="15"/>
  <c r="BG192" i="15"/>
  <c r="BG190" i="15"/>
  <c r="BG188" i="15"/>
  <c r="BG186" i="15"/>
  <c r="BG184" i="15"/>
  <c r="BG182" i="15"/>
  <c r="BG180" i="15"/>
  <c r="BG178" i="15"/>
  <c r="BG176" i="15"/>
  <c r="BG174" i="15"/>
  <c r="BG172" i="15"/>
  <c r="BG170" i="15"/>
  <c r="BG168" i="15"/>
  <c r="BG166" i="15"/>
  <c r="BG164" i="15"/>
  <c r="BG162" i="15"/>
  <c r="BG160" i="15"/>
  <c r="BG158" i="15"/>
  <c r="BG156" i="15"/>
  <c r="BG154" i="15"/>
  <c r="BG152" i="15"/>
  <c r="BG150" i="15"/>
  <c r="BG148" i="15"/>
  <c r="BG146" i="15"/>
  <c r="BG144" i="15"/>
  <c r="BG142" i="15"/>
  <c r="BG140" i="15"/>
  <c r="BG138" i="15"/>
  <c r="BG136" i="15"/>
  <c r="BG134" i="15"/>
  <c r="BG132" i="15"/>
  <c r="BG130" i="15"/>
  <c r="BG128" i="15"/>
  <c r="BG126" i="15"/>
  <c r="BG124" i="15"/>
  <c r="BG122" i="15"/>
  <c r="BG120" i="15"/>
  <c r="BG118" i="15"/>
  <c r="BG116" i="15"/>
  <c r="BG114" i="15"/>
  <c r="BG112" i="15"/>
  <c r="BG110" i="15"/>
  <c r="BG108" i="15"/>
  <c r="BG106" i="15"/>
  <c r="BG104" i="15"/>
  <c r="BF194" i="15"/>
  <c r="BF192" i="15"/>
  <c r="BF190" i="15"/>
  <c r="BF188" i="15"/>
  <c r="BF186" i="15"/>
  <c r="BF184" i="15"/>
  <c r="BF182" i="15"/>
  <c r="BF180" i="15"/>
  <c r="BF178" i="15"/>
  <c r="BF176" i="15"/>
  <c r="BF174" i="15"/>
  <c r="BF172" i="15"/>
  <c r="BF170" i="15"/>
  <c r="BF168" i="15"/>
  <c r="BF166" i="15"/>
  <c r="BF164" i="15"/>
  <c r="BF162" i="15"/>
  <c r="BF160" i="15"/>
  <c r="BF158" i="15"/>
  <c r="BF156" i="15"/>
  <c r="BF154" i="15"/>
  <c r="BF152" i="15"/>
  <c r="BF150" i="15"/>
  <c r="BF148" i="15"/>
  <c r="BF146" i="15"/>
  <c r="BF144" i="15"/>
  <c r="BF142" i="15"/>
  <c r="BF140" i="15"/>
  <c r="BF138" i="15"/>
  <c r="BF136" i="15"/>
  <c r="BF134" i="15"/>
  <c r="BF132" i="15"/>
  <c r="BF130" i="15"/>
  <c r="BF128" i="15"/>
  <c r="BF126" i="15"/>
  <c r="BF124" i="15"/>
  <c r="BF122" i="15"/>
  <c r="BF120" i="15"/>
  <c r="BF118" i="15"/>
  <c r="BF116" i="15"/>
  <c r="BF114" i="15"/>
  <c r="BF112" i="15"/>
  <c r="BF110" i="15"/>
  <c r="BF108" i="15"/>
  <c r="BF106" i="15"/>
  <c r="BF104" i="15"/>
  <c r="BE194" i="15"/>
  <c r="BE192" i="15"/>
  <c r="BE190" i="15"/>
  <c r="BE188" i="15"/>
  <c r="BE186" i="15"/>
  <c r="BE184" i="15"/>
  <c r="BE182" i="15"/>
  <c r="BE180" i="15"/>
  <c r="BE178" i="15"/>
  <c r="BE176" i="15"/>
  <c r="BE174" i="15"/>
  <c r="BE172" i="15"/>
  <c r="BE170" i="15"/>
  <c r="BE168" i="15"/>
  <c r="BE166" i="15"/>
  <c r="BE164" i="15"/>
  <c r="BE162" i="15"/>
  <c r="BE160" i="15"/>
  <c r="BE158" i="15"/>
  <c r="BE156" i="15"/>
  <c r="BE154" i="15"/>
  <c r="BE152" i="15"/>
  <c r="BE150" i="15"/>
  <c r="BE148" i="15"/>
  <c r="BE146" i="15"/>
  <c r="BE144" i="15"/>
  <c r="BE142" i="15"/>
  <c r="BE140" i="15"/>
  <c r="BE138" i="15"/>
  <c r="BE136" i="15"/>
  <c r="BE134" i="15"/>
  <c r="BE132" i="15"/>
  <c r="BE130" i="15"/>
  <c r="BE128" i="15"/>
  <c r="BE126" i="15"/>
  <c r="BE124" i="15"/>
  <c r="BE122" i="15"/>
  <c r="BE120" i="15"/>
  <c r="BE118" i="15"/>
  <c r="BE116" i="15"/>
  <c r="BE114" i="15"/>
  <c r="BE112" i="15"/>
  <c r="BE110" i="15"/>
  <c r="BE108" i="15"/>
  <c r="BE106" i="15"/>
  <c r="BE104" i="15"/>
  <c r="BD194" i="15"/>
  <c r="BD192" i="15"/>
  <c r="BD190" i="15"/>
  <c r="BD188" i="15"/>
  <c r="BD186" i="15"/>
  <c r="BD184" i="15"/>
  <c r="BD182" i="15"/>
  <c r="BD180" i="15"/>
  <c r="BD178" i="15"/>
  <c r="BD176" i="15"/>
  <c r="BD174" i="15"/>
  <c r="BD172" i="15"/>
  <c r="BD170" i="15"/>
  <c r="BD168" i="15"/>
  <c r="BD166" i="15"/>
  <c r="BD164" i="15"/>
  <c r="BD162" i="15"/>
  <c r="BD160" i="15"/>
  <c r="BD158" i="15"/>
  <c r="BD156" i="15"/>
  <c r="BD154" i="15"/>
  <c r="BD152" i="15"/>
  <c r="BD150" i="15"/>
  <c r="BD148" i="15"/>
  <c r="BD146" i="15"/>
  <c r="BD144" i="15"/>
  <c r="BD142" i="15"/>
  <c r="BD140" i="15"/>
  <c r="BD138" i="15"/>
  <c r="BD136" i="15"/>
  <c r="BD134" i="15"/>
  <c r="BD132" i="15"/>
  <c r="BD130" i="15"/>
  <c r="BD128" i="15"/>
  <c r="BD126" i="15"/>
  <c r="BD124" i="15"/>
  <c r="BD122" i="15"/>
  <c r="BD120" i="15"/>
  <c r="BD118" i="15"/>
  <c r="BD116" i="15"/>
  <c r="BD114" i="15"/>
  <c r="BD112" i="15"/>
  <c r="BD110" i="15"/>
  <c r="BD108" i="15"/>
  <c r="BD106" i="15"/>
  <c r="BD104" i="15"/>
  <c r="BC194" i="15"/>
  <c r="BC192" i="15"/>
  <c r="BC190" i="15"/>
  <c r="BC188" i="15"/>
  <c r="BC186" i="15"/>
  <c r="BC184" i="15"/>
  <c r="BC182" i="15"/>
  <c r="BC180" i="15"/>
  <c r="BC178" i="15"/>
  <c r="BC176" i="15"/>
  <c r="BC174" i="15"/>
  <c r="BC172" i="15"/>
  <c r="BC170" i="15"/>
  <c r="BC168" i="15"/>
  <c r="BC166" i="15"/>
  <c r="BC164" i="15"/>
  <c r="BC162" i="15"/>
  <c r="BC160" i="15"/>
  <c r="BC158" i="15"/>
  <c r="BC156" i="15"/>
  <c r="BC154" i="15"/>
  <c r="BC152" i="15"/>
  <c r="BC150" i="15"/>
  <c r="BC148" i="15"/>
  <c r="BC146" i="15"/>
  <c r="BC144" i="15"/>
  <c r="BC142" i="15"/>
  <c r="BC140" i="15"/>
  <c r="BC138" i="15"/>
  <c r="BC136" i="15"/>
  <c r="BC134" i="15"/>
  <c r="BC132" i="15"/>
  <c r="BC130" i="15"/>
  <c r="BC128" i="15"/>
  <c r="BC126" i="15"/>
  <c r="BC124" i="15"/>
  <c r="BC122" i="15"/>
  <c r="BC120" i="15"/>
  <c r="BC118" i="15"/>
  <c r="BC116" i="15"/>
  <c r="BC114" i="15"/>
  <c r="BC112" i="15"/>
  <c r="BC110" i="15"/>
  <c r="BC108" i="15"/>
  <c r="BC106" i="15"/>
  <c r="BC104" i="15"/>
  <c r="BB194" i="15"/>
  <c r="BB192" i="15"/>
  <c r="BB190" i="15"/>
  <c r="BB188" i="15"/>
  <c r="BB186" i="15"/>
  <c r="BB184" i="15"/>
  <c r="BB182" i="15"/>
  <c r="BB180" i="15"/>
  <c r="BB178" i="15"/>
  <c r="BB176" i="15"/>
  <c r="BB174" i="15"/>
  <c r="BB172" i="15"/>
  <c r="BB170" i="15"/>
  <c r="BB168" i="15"/>
  <c r="BB166" i="15"/>
  <c r="BB164" i="15"/>
  <c r="BB162" i="15"/>
  <c r="BB160" i="15"/>
  <c r="BB158" i="15"/>
  <c r="BB156" i="15"/>
  <c r="BB154" i="15"/>
  <c r="BB152" i="15"/>
  <c r="BB150" i="15"/>
  <c r="BB148" i="15"/>
  <c r="BB146" i="15"/>
  <c r="BB144" i="15"/>
  <c r="BB142" i="15"/>
  <c r="BB140" i="15"/>
  <c r="BB138" i="15"/>
  <c r="BB136" i="15"/>
  <c r="BB134" i="15"/>
  <c r="BB132" i="15"/>
  <c r="BB130" i="15"/>
  <c r="BB128" i="15"/>
  <c r="BB126" i="15"/>
  <c r="BB124" i="15"/>
  <c r="BB122" i="15"/>
  <c r="BB120" i="15"/>
  <c r="BB118" i="15"/>
  <c r="BB116" i="15"/>
  <c r="BB114" i="15"/>
  <c r="BB112" i="15"/>
  <c r="BB110" i="15"/>
  <c r="BB108" i="15"/>
  <c r="BB106" i="15"/>
  <c r="BB104" i="15"/>
  <c r="BA194" i="15"/>
  <c r="BA192" i="15"/>
  <c r="BA190" i="15"/>
  <c r="BA188" i="15"/>
  <c r="BA186" i="15"/>
  <c r="BA184" i="15"/>
  <c r="BA182" i="15"/>
  <c r="BA180" i="15"/>
  <c r="BA178" i="15"/>
  <c r="BA176" i="15"/>
  <c r="BA174" i="15"/>
  <c r="BA172" i="15"/>
  <c r="BA170" i="15"/>
  <c r="BA168" i="15"/>
  <c r="BA166" i="15"/>
  <c r="BA164" i="15"/>
  <c r="BA162" i="15"/>
  <c r="BA160" i="15"/>
  <c r="BA158" i="15"/>
  <c r="BA156" i="15"/>
  <c r="BA154" i="15"/>
  <c r="BA152" i="15"/>
  <c r="BA150" i="15"/>
  <c r="BA148" i="15"/>
  <c r="BA146" i="15"/>
  <c r="BA144" i="15"/>
  <c r="BA142" i="15"/>
  <c r="BA140" i="15"/>
  <c r="BA138" i="15"/>
  <c r="BA136" i="15"/>
  <c r="BA134" i="15"/>
  <c r="BA132" i="15"/>
  <c r="BA130" i="15"/>
  <c r="BA128" i="15"/>
  <c r="BA126" i="15"/>
  <c r="BA124" i="15"/>
  <c r="BA122" i="15"/>
  <c r="BA120" i="15"/>
  <c r="BA118" i="15"/>
  <c r="BA116" i="15"/>
  <c r="BA114" i="15"/>
  <c r="BA112" i="15"/>
  <c r="BA110" i="15"/>
  <c r="BA108" i="15"/>
  <c r="BA106" i="15"/>
  <c r="BA104" i="15"/>
  <c r="AZ194" i="15"/>
  <c r="AZ192" i="15"/>
  <c r="AZ190" i="15"/>
  <c r="AZ188" i="15"/>
  <c r="AZ186" i="15"/>
  <c r="AZ184" i="15"/>
  <c r="AZ182" i="15"/>
  <c r="AZ180" i="15"/>
  <c r="AZ178" i="15"/>
  <c r="AZ176" i="15"/>
  <c r="AZ174" i="15"/>
  <c r="AZ172" i="15"/>
  <c r="AZ170" i="15"/>
  <c r="AZ168" i="15"/>
  <c r="AZ166" i="15"/>
  <c r="AZ164" i="15"/>
  <c r="AZ162" i="15"/>
  <c r="AZ160" i="15"/>
  <c r="AZ158" i="15"/>
  <c r="AZ156" i="15"/>
  <c r="AZ154" i="15"/>
  <c r="AZ152" i="15"/>
  <c r="AZ150" i="15"/>
  <c r="AZ148" i="15"/>
  <c r="AZ146" i="15"/>
  <c r="AZ144" i="15"/>
  <c r="AZ142" i="15"/>
  <c r="AZ140" i="15"/>
  <c r="AZ138" i="15"/>
  <c r="AZ136" i="15"/>
  <c r="AZ134" i="15"/>
  <c r="AZ132" i="15"/>
  <c r="AZ130" i="15"/>
  <c r="AZ128" i="15"/>
  <c r="AZ126" i="15"/>
  <c r="AZ124" i="15"/>
  <c r="AZ122" i="15"/>
  <c r="AZ120" i="15"/>
  <c r="AZ118" i="15"/>
  <c r="AZ116" i="15"/>
  <c r="AZ114" i="15"/>
  <c r="AZ112" i="15"/>
  <c r="AZ110" i="15"/>
  <c r="AZ108" i="15"/>
  <c r="AZ106" i="15"/>
  <c r="AZ104" i="15"/>
  <c r="AY130" i="15"/>
  <c r="AX130" i="15"/>
  <c r="AW130" i="15"/>
  <c r="AV130" i="15"/>
  <c r="AU130" i="15"/>
  <c r="AT130" i="15"/>
  <c r="AS130" i="15"/>
  <c r="AR130" i="15"/>
  <c r="AQ130" i="15"/>
  <c r="AP130" i="15"/>
  <c r="AY128" i="15"/>
  <c r="AX128" i="15"/>
  <c r="AW128" i="15"/>
  <c r="AV128" i="15"/>
  <c r="AU128" i="15"/>
  <c r="AT128" i="15"/>
  <c r="AS128" i="15"/>
  <c r="AR128" i="15"/>
  <c r="AQ128" i="15"/>
  <c r="AP128" i="15"/>
  <c r="AY126" i="15"/>
  <c r="AX126" i="15"/>
  <c r="AW126" i="15"/>
  <c r="AV126" i="15"/>
  <c r="AU126" i="15"/>
  <c r="AT126" i="15"/>
  <c r="AS126" i="15"/>
  <c r="AR126" i="15"/>
  <c r="AQ126" i="15"/>
  <c r="AP126" i="15"/>
  <c r="AY124" i="15"/>
  <c r="AX124" i="15"/>
  <c r="AW124" i="15"/>
  <c r="AV124" i="15"/>
  <c r="AU124" i="15"/>
  <c r="AT124" i="15"/>
  <c r="AS124" i="15"/>
  <c r="AR124" i="15"/>
  <c r="AQ124" i="15"/>
  <c r="AP124" i="15"/>
  <c r="AY122" i="15"/>
  <c r="AX122" i="15"/>
  <c r="AW122" i="15"/>
  <c r="AV122" i="15"/>
  <c r="AU122" i="15"/>
  <c r="AT122" i="15"/>
  <c r="AS122" i="15"/>
  <c r="AR122" i="15"/>
  <c r="AQ122" i="15"/>
  <c r="AP122" i="15"/>
  <c r="AY120" i="15"/>
  <c r="AX120" i="15"/>
  <c r="AW120" i="15"/>
  <c r="AV120" i="15"/>
  <c r="AU120" i="15"/>
  <c r="AT120" i="15"/>
  <c r="AS120" i="15"/>
  <c r="AR120" i="15"/>
  <c r="AQ120" i="15"/>
  <c r="AP120" i="15"/>
  <c r="AY118" i="15"/>
  <c r="AX118" i="15"/>
  <c r="AW118" i="15"/>
  <c r="AV118" i="15"/>
  <c r="AU118" i="15"/>
  <c r="AT118" i="15"/>
  <c r="AS118" i="15"/>
  <c r="AR118" i="15"/>
  <c r="AQ118" i="15"/>
  <c r="AP118" i="15"/>
  <c r="AY116" i="15"/>
  <c r="AX116" i="15"/>
  <c r="AW116" i="15"/>
  <c r="AV116" i="15"/>
  <c r="AU116" i="15"/>
  <c r="AT116" i="15"/>
  <c r="AS116" i="15"/>
  <c r="AR116" i="15"/>
  <c r="AQ116" i="15"/>
  <c r="AP116" i="15"/>
  <c r="AY114" i="15"/>
  <c r="AX114" i="15"/>
  <c r="AW114" i="15"/>
  <c r="AV114" i="15"/>
  <c r="AU114" i="15"/>
  <c r="AT114" i="15"/>
  <c r="AS114" i="15"/>
  <c r="AR114" i="15"/>
  <c r="AQ114" i="15"/>
  <c r="AP114" i="15"/>
  <c r="AY112" i="15"/>
  <c r="AX112" i="15"/>
  <c r="AW112" i="15"/>
  <c r="AV112" i="15"/>
  <c r="AU112" i="15"/>
  <c r="AT112" i="15"/>
  <c r="AS112" i="15"/>
  <c r="AR112" i="15"/>
  <c r="AQ112" i="15"/>
  <c r="AP112" i="15"/>
  <c r="AY110" i="15"/>
  <c r="AX110" i="15"/>
  <c r="AW110" i="15"/>
  <c r="AV110" i="15"/>
  <c r="AU110" i="15"/>
  <c r="AT110" i="15"/>
  <c r="AS110" i="15"/>
  <c r="AR110" i="15"/>
  <c r="AQ110" i="15"/>
  <c r="AP110" i="15"/>
  <c r="AY108" i="15"/>
  <c r="AX108" i="15"/>
  <c r="AW108" i="15"/>
  <c r="AV108" i="15"/>
  <c r="AU108" i="15"/>
  <c r="AT108" i="15"/>
  <c r="AS108" i="15"/>
  <c r="AR108" i="15"/>
  <c r="AQ108" i="15"/>
  <c r="AP108" i="15"/>
  <c r="AY106" i="15"/>
  <c r="AX106" i="15"/>
  <c r="AW106" i="15"/>
  <c r="AV106" i="15"/>
  <c r="AU106" i="15"/>
  <c r="AT106" i="15"/>
  <c r="AS106" i="15"/>
  <c r="AR106" i="15"/>
  <c r="AQ106" i="15"/>
  <c r="AP106" i="15"/>
  <c r="AY104" i="15"/>
  <c r="AX104" i="15"/>
  <c r="AW104" i="15"/>
  <c r="AV104" i="15"/>
  <c r="AU104" i="15"/>
  <c r="AT104" i="15"/>
  <c r="AS104" i="15"/>
  <c r="AR104" i="15"/>
  <c r="AQ104" i="15"/>
  <c r="AP104" i="15"/>
  <c r="J66" i="15"/>
  <c r="I66" i="15"/>
  <c r="J64" i="15"/>
  <c r="J62" i="15"/>
  <c r="J60" i="15"/>
  <c r="I60" i="15"/>
  <c r="J58" i="15"/>
  <c r="J50" i="15"/>
  <c r="J48" i="15"/>
  <c r="M48" i="15" s="1"/>
  <c r="I48" i="15"/>
  <c r="J46" i="15"/>
  <c r="J44" i="15"/>
  <c r="J42" i="15"/>
  <c r="I42" i="15"/>
  <c r="J34" i="15"/>
  <c r="J32" i="15"/>
  <c r="J30" i="15"/>
  <c r="I30" i="15"/>
  <c r="J28" i="15"/>
  <c r="J26" i="15"/>
  <c r="J18" i="15"/>
  <c r="I18" i="15"/>
  <c r="J16" i="15"/>
  <c r="B4" i="25"/>
  <c r="J14" i="15"/>
  <c r="J12" i="15"/>
  <c r="I12" i="15"/>
  <c r="J10" i="15"/>
  <c r="B27" i="15"/>
  <c r="B48" i="15" s="1"/>
  <c r="B9" i="15"/>
  <c r="C9" i="15" s="1"/>
  <c r="D9" i="15" s="1"/>
  <c r="E9" i="15" s="1"/>
  <c r="F9" i="15" s="1"/>
  <c r="G9" i="15" s="1"/>
  <c r="H9" i="15" s="1"/>
  <c r="B12" i="15" s="1"/>
  <c r="C12" i="15" s="1"/>
  <c r="D12" i="15" s="1"/>
  <c r="E12" i="15" s="1"/>
  <c r="F12" i="15" s="1"/>
  <c r="G12" i="15" s="1"/>
  <c r="H12" i="15" s="1"/>
  <c r="B15" i="15" s="1"/>
  <c r="C15" i="15" s="1"/>
  <c r="D15" i="15" s="1"/>
  <c r="E15" i="15" s="1"/>
  <c r="F15" i="15" s="1"/>
  <c r="G15" i="15" s="1"/>
  <c r="H15" i="15" s="1"/>
  <c r="B18" i="15" s="1"/>
  <c r="AY194" i="15"/>
  <c r="AY192" i="15"/>
  <c r="AY190" i="15"/>
  <c r="AY188" i="15"/>
  <c r="AY186" i="15"/>
  <c r="AY184" i="15"/>
  <c r="AY182" i="15"/>
  <c r="AY180" i="15"/>
  <c r="AY178" i="15"/>
  <c r="AY176" i="15"/>
  <c r="AY174" i="15"/>
  <c r="AY172" i="15"/>
  <c r="AY170" i="15"/>
  <c r="AY168" i="15"/>
  <c r="AY166" i="15"/>
  <c r="AY164" i="15"/>
  <c r="AY162" i="15"/>
  <c r="AY160" i="15"/>
  <c r="AY158" i="15"/>
  <c r="AY156" i="15"/>
  <c r="AY154" i="15"/>
  <c r="AY152" i="15"/>
  <c r="AY150" i="15"/>
  <c r="AY148" i="15"/>
  <c r="AY146" i="15"/>
  <c r="AY144" i="15"/>
  <c r="AY142" i="15"/>
  <c r="AY140" i="15"/>
  <c r="AY138" i="15"/>
  <c r="AY136" i="15"/>
  <c r="AY134" i="15"/>
  <c r="AY132" i="15"/>
  <c r="AX194" i="15"/>
  <c r="AX192" i="15"/>
  <c r="AX190" i="15"/>
  <c r="AX188" i="15"/>
  <c r="AX186" i="15"/>
  <c r="AX184" i="15"/>
  <c r="AX182" i="15"/>
  <c r="AX180" i="15"/>
  <c r="AX178" i="15"/>
  <c r="AX176" i="15"/>
  <c r="AX174" i="15"/>
  <c r="AX172" i="15"/>
  <c r="AX170" i="15"/>
  <c r="AX168" i="15"/>
  <c r="AX166" i="15"/>
  <c r="AX164" i="15"/>
  <c r="AX162" i="15"/>
  <c r="AX160" i="15"/>
  <c r="AX158" i="15"/>
  <c r="AX156" i="15"/>
  <c r="AX154" i="15"/>
  <c r="AX152" i="15"/>
  <c r="AX150" i="15"/>
  <c r="AX148" i="15"/>
  <c r="AX146" i="15"/>
  <c r="AX144" i="15"/>
  <c r="AX142" i="15"/>
  <c r="AX140" i="15"/>
  <c r="AX138" i="15"/>
  <c r="AX136" i="15"/>
  <c r="AX134" i="15"/>
  <c r="AX132" i="15"/>
  <c r="AW194" i="15"/>
  <c r="AW192" i="15"/>
  <c r="AW190" i="15"/>
  <c r="AW188" i="15"/>
  <c r="AW186" i="15"/>
  <c r="AW184" i="15"/>
  <c r="AW182" i="15"/>
  <c r="AW180" i="15"/>
  <c r="AW178" i="15"/>
  <c r="AW176" i="15"/>
  <c r="AW174" i="15"/>
  <c r="AW172" i="15"/>
  <c r="AW170" i="15"/>
  <c r="AW168" i="15"/>
  <c r="AW166" i="15"/>
  <c r="AW164" i="15"/>
  <c r="AW162" i="15"/>
  <c r="AW160" i="15"/>
  <c r="AW158" i="15"/>
  <c r="AW156" i="15"/>
  <c r="AW154" i="15"/>
  <c r="AW152" i="15"/>
  <c r="AW150" i="15"/>
  <c r="AW148" i="15"/>
  <c r="AW146" i="15"/>
  <c r="AW144" i="15"/>
  <c r="AW142" i="15"/>
  <c r="AW140" i="15"/>
  <c r="AW138" i="15"/>
  <c r="AW136" i="15"/>
  <c r="AW134" i="15"/>
  <c r="AW132" i="15"/>
  <c r="AV194" i="15"/>
  <c r="AV192" i="15"/>
  <c r="AV190" i="15"/>
  <c r="AV188" i="15"/>
  <c r="AV186" i="15"/>
  <c r="AV184" i="15"/>
  <c r="AV182" i="15"/>
  <c r="AV180" i="15"/>
  <c r="AV178" i="15"/>
  <c r="AV176" i="15"/>
  <c r="AV174" i="15"/>
  <c r="AV172" i="15"/>
  <c r="AV170" i="15"/>
  <c r="AV168" i="15"/>
  <c r="AV166" i="15"/>
  <c r="AV164" i="15"/>
  <c r="AV162" i="15"/>
  <c r="AV160" i="15"/>
  <c r="AV158" i="15"/>
  <c r="AV156" i="15"/>
  <c r="AV154" i="15"/>
  <c r="AV152" i="15"/>
  <c r="AV150" i="15"/>
  <c r="AV148" i="15"/>
  <c r="AV146" i="15"/>
  <c r="AV144" i="15"/>
  <c r="AV142" i="15"/>
  <c r="AV140" i="15"/>
  <c r="AV138" i="15"/>
  <c r="AV136" i="15"/>
  <c r="AV134" i="15"/>
  <c r="AV132" i="15"/>
  <c r="AU154" i="15"/>
  <c r="AU194" i="15"/>
  <c r="AU192" i="15"/>
  <c r="AU190" i="15"/>
  <c r="AU188" i="15"/>
  <c r="AU186" i="15"/>
  <c r="AU184" i="15"/>
  <c r="AU182" i="15"/>
  <c r="AU180" i="15"/>
  <c r="AU178" i="15"/>
  <c r="AU176" i="15"/>
  <c r="AU174" i="15"/>
  <c r="AU172" i="15"/>
  <c r="AU170" i="15"/>
  <c r="AU168" i="15"/>
  <c r="AU166" i="15"/>
  <c r="AU164" i="15"/>
  <c r="AU162" i="15"/>
  <c r="AU160" i="15"/>
  <c r="AU158" i="15"/>
  <c r="AU156" i="15"/>
  <c r="AU152" i="15"/>
  <c r="AU150" i="15"/>
  <c r="AU148" i="15"/>
  <c r="AU146" i="15"/>
  <c r="AU144" i="15"/>
  <c r="AU142" i="15"/>
  <c r="AU140" i="15"/>
  <c r="AU138" i="15"/>
  <c r="AU136" i="15"/>
  <c r="AU134" i="15"/>
  <c r="AU132" i="15"/>
  <c r="T9" i="15"/>
  <c r="S5" i="15"/>
  <c r="R6" i="15"/>
  <c r="AR194" i="15"/>
  <c r="AR192" i="15"/>
  <c r="AR190" i="15"/>
  <c r="AR188" i="15"/>
  <c r="AR186" i="15"/>
  <c r="AR184" i="15"/>
  <c r="AR182" i="15"/>
  <c r="AR180" i="15"/>
  <c r="AR178" i="15"/>
  <c r="AR176" i="15"/>
  <c r="AR174" i="15"/>
  <c r="AR172" i="15"/>
  <c r="AR170" i="15"/>
  <c r="AR168" i="15"/>
  <c r="AR166" i="15"/>
  <c r="AR164" i="15"/>
  <c r="AR162" i="15"/>
  <c r="AR160" i="15"/>
  <c r="AR158" i="15"/>
  <c r="AR156" i="15"/>
  <c r="AR154" i="15"/>
  <c r="AR152" i="15"/>
  <c r="AR150" i="15"/>
  <c r="AR148" i="15"/>
  <c r="AR146" i="15"/>
  <c r="AR144" i="15"/>
  <c r="AR142" i="15"/>
  <c r="AR140" i="15"/>
  <c r="AT138" i="15"/>
  <c r="AS138" i="15"/>
  <c r="AR138" i="15"/>
  <c r="AQ138" i="15"/>
  <c r="AP138" i="15"/>
  <c r="AR136" i="15"/>
  <c r="AR134" i="15"/>
  <c r="AR132" i="15"/>
  <c r="AT134" i="15"/>
  <c r="AS134" i="15"/>
  <c r="AQ134" i="15"/>
  <c r="AP134" i="15"/>
  <c r="H4" i="25"/>
  <c r="E6" i="25" s="1"/>
  <c r="F2" i="25"/>
  <c r="Q5" i="15"/>
  <c r="P5" i="15"/>
  <c r="I8" i="15"/>
  <c r="AT194" i="15"/>
  <c r="AS194" i="15"/>
  <c r="AQ194" i="15"/>
  <c r="AP194" i="15"/>
  <c r="AT192" i="15"/>
  <c r="AS192" i="15"/>
  <c r="AQ192" i="15"/>
  <c r="AP192" i="15"/>
  <c r="AT190" i="15"/>
  <c r="AS190" i="15"/>
  <c r="AQ190" i="15"/>
  <c r="AP190" i="15"/>
  <c r="AT188" i="15"/>
  <c r="AS188" i="15"/>
  <c r="AQ188" i="15"/>
  <c r="AP188" i="15"/>
  <c r="AT186" i="15"/>
  <c r="AS186" i="15"/>
  <c r="AQ186" i="15"/>
  <c r="AP186" i="15"/>
  <c r="AT184" i="15"/>
  <c r="AS184" i="15"/>
  <c r="AQ184" i="15"/>
  <c r="AP184" i="15"/>
  <c r="AT182" i="15"/>
  <c r="AS182" i="15"/>
  <c r="AQ182" i="15"/>
  <c r="AP182" i="15"/>
  <c r="AT180" i="15"/>
  <c r="AS180" i="15"/>
  <c r="AQ180" i="15"/>
  <c r="AP180" i="15"/>
  <c r="AT178" i="15"/>
  <c r="AS178" i="15"/>
  <c r="AQ178" i="15"/>
  <c r="AP178" i="15"/>
  <c r="AT176" i="15"/>
  <c r="AS176" i="15"/>
  <c r="AQ176" i="15"/>
  <c r="AP176" i="15"/>
  <c r="AT174" i="15"/>
  <c r="AS174" i="15"/>
  <c r="AQ174" i="15"/>
  <c r="AP174" i="15"/>
  <c r="AT172" i="15"/>
  <c r="AS172" i="15"/>
  <c r="AQ172" i="15"/>
  <c r="AP172" i="15"/>
  <c r="AT170" i="15"/>
  <c r="AS170" i="15"/>
  <c r="AQ170" i="15"/>
  <c r="AP170" i="15"/>
  <c r="AT168" i="15"/>
  <c r="AS168" i="15"/>
  <c r="AQ168" i="15"/>
  <c r="AP168" i="15"/>
  <c r="AT166" i="15"/>
  <c r="AS166" i="15"/>
  <c r="AQ166" i="15"/>
  <c r="AP166" i="15"/>
  <c r="AT164" i="15"/>
  <c r="AS164" i="15"/>
  <c r="AQ164" i="15"/>
  <c r="AP164" i="15"/>
  <c r="AT162" i="15"/>
  <c r="AS162" i="15"/>
  <c r="AQ162" i="15"/>
  <c r="AP162" i="15"/>
  <c r="AT160" i="15"/>
  <c r="AS160" i="15"/>
  <c r="AQ160" i="15"/>
  <c r="AP160" i="15"/>
  <c r="AT158" i="15"/>
  <c r="AS158" i="15"/>
  <c r="AQ158" i="15"/>
  <c r="AP158" i="15"/>
  <c r="AT156" i="15"/>
  <c r="AS156" i="15"/>
  <c r="AQ156" i="15"/>
  <c r="AP156" i="15"/>
  <c r="AT154" i="15"/>
  <c r="AS154" i="15"/>
  <c r="AQ154" i="15"/>
  <c r="AP154" i="15"/>
  <c r="AT152" i="15"/>
  <c r="AS152" i="15"/>
  <c r="AQ152" i="15"/>
  <c r="AP152" i="15"/>
  <c r="AT150" i="15"/>
  <c r="AS150" i="15"/>
  <c r="AQ150" i="15"/>
  <c r="AP150" i="15"/>
  <c r="AT148" i="15"/>
  <c r="AS148" i="15"/>
  <c r="AQ148" i="15"/>
  <c r="AP148" i="15"/>
  <c r="AT146" i="15"/>
  <c r="AS146" i="15"/>
  <c r="AQ146" i="15"/>
  <c r="AP146" i="15"/>
  <c r="AT144" i="15"/>
  <c r="AS144" i="15"/>
  <c r="AQ144" i="15"/>
  <c r="AP144" i="15"/>
  <c r="AT142" i="15"/>
  <c r="AS142" i="15"/>
  <c r="AQ142" i="15"/>
  <c r="AP142" i="15"/>
  <c r="AT140" i="15"/>
  <c r="AS140" i="15"/>
  <c r="AQ140" i="15"/>
  <c r="AP140" i="15"/>
  <c r="AT136" i="15"/>
  <c r="AS136" i="15"/>
  <c r="AQ136" i="15"/>
  <c r="AP136" i="15"/>
  <c r="AT132" i="15"/>
  <c r="AS132" i="15"/>
  <c r="AQ132" i="15"/>
  <c r="AP132" i="15"/>
  <c r="F96" i="15"/>
  <c r="G96" i="15" s="1"/>
  <c r="B30" i="25"/>
  <c r="H94" i="15"/>
  <c r="M44" i="15"/>
  <c r="Y41" i="15"/>
  <c r="G21" i="2"/>
  <c r="G22" i="2" s="1"/>
  <c r="A22" i="2"/>
  <c r="A20" i="2"/>
  <c r="A21" i="2" s="1"/>
  <c r="G20" i="2"/>
  <c r="A19" i="2"/>
  <c r="M26" i="15"/>
  <c r="M60" i="15"/>
  <c r="M18" i="15"/>
  <c r="M34" i="15"/>
  <c r="M28" i="15"/>
  <c r="M50" i="15"/>
  <c r="M58" i="15"/>
  <c r="M66" i="15"/>
  <c r="M12" i="15"/>
  <c r="M16" i="15"/>
  <c r="M14" i="15"/>
  <c r="M42" i="15"/>
  <c r="M10" i="15"/>
  <c r="M30" i="15"/>
  <c r="M32" i="15"/>
  <c r="M46" i="15"/>
  <c r="M62" i="15"/>
  <c r="M64" i="15"/>
  <c r="B6" i="25"/>
  <c r="B5" i="25"/>
  <c r="D12" i="2"/>
  <c r="H12" i="2"/>
  <c r="H4" i="2"/>
  <c r="F4" i="2"/>
  <c r="D4" i="2"/>
  <c r="J4" i="2"/>
  <c r="B4" i="2"/>
  <c r="J12" i="2"/>
  <c r="F12" i="2"/>
  <c r="B12" i="2"/>
  <c r="AN14" i="15" l="1"/>
  <c r="AN17" i="15"/>
  <c r="AN40" i="15"/>
  <c r="AN45" i="15"/>
  <c r="AN52" i="15"/>
  <c r="AN57" i="15"/>
  <c r="AN60" i="15"/>
  <c r="AN63" i="15"/>
  <c r="AN67" i="15"/>
  <c r="AN84" i="15"/>
  <c r="AN95" i="15"/>
  <c r="AN112" i="15"/>
  <c r="AN119" i="15"/>
  <c r="AN143" i="15"/>
  <c r="T17" i="15"/>
  <c r="AN7" i="15"/>
  <c r="AN12" i="15"/>
  <c r="AN24" i="15"/>
  <c r="AN27" i="15"/>
  <c r="AN46" i="15"/>
  <c r="AN140" i="15"/>
  <c r="Z38" i="15"/>
  <c r="AN80" i="15"/>
  <c r="AN98" i="15"/>
  <c r="AN103" i="15"/>
  <c r="Z40" i="15"/>
  <c r="Z41" i="15"/>
  <c r="AN74" i="15"/>
  <c r="AN102" i="15"/>
  <c r="AN43" i="15"/>
  <c r="AN50" i="15"/>
  <c r="B2" i="25"/>
  <c r="Z39" i="15"/>
  <c r="AN54" i="15"/>
  <c r="H6" i="15"/>
  <c r="G7" i="15" s="1"/>
  <c r="AG118" i="15"/>
  <c r="AI118" i="15" s="1"/>
  <c r="AG124" i="15"/>
  <c r="AI124" i="15" s="1"/>
  <c r="AN131" i="15"/>
  <c r="AN111" i="15"/>
  <c r="AN71" i="15"/>
  <c r="AN51" i="15"/>
  <c r="AN31" i="15"/>
  <c r="AN134" i="15"/>
  <c r="AN13" i="15"/>
  <c r="AN44" i="15"/>
  <c r="AN48" i="15"/>
  <c r="AN49" i="15"/>
  <c r="AN56" i="15"/>
  <c r="AN72" i="15"/>
  <c r="AN73" i="15"/>
  <c r="AN85" i="15"/>
  <c r="AN96" i="15"/>
  <c r="AN97" i="15"/>
  <c r="AN100" i="15"/>
  <c r="AN104" i="15"/>
  <c r="AN105" i="15"/>
  <c r="AN109" i="15"/>
  <c r="AN113" i="15"/>
  <c r="AN123" i="15"/>
  <c r="AN125" i="15"/>
  <c r="AN138" i="15"/>
  <c r="B35" i="2" a="1"/>
  <c r="AG134" i="15"/>
  <c r="AI134" i="15" s="1"/>
  <c r="AN118" i="15"/>
  <c r="AG176" i="15"/>
  <c r="AI176" i="15" s="1"/>
  <c r="AG108" i="15"/>
  <c r="AI108" i="15" s="1"/>
  <c r="AN83" i="15"/>
  <c r="AN86" i="15"/>
  <c r="AN91" i="15"/>
  <c r="AN99" i="15"/>
  <c r="AH134" i="15"/>
  <c r="AG132" i="15"/>
  <c r="AH132" i="15" s="1"/>
  <c r="AG136" i="15"/>
  <c r="AH136" i="15" s="1"/>
  <c r="AG140" i="15"/>
  <c r="AI140" i="15" s="1"/>
  <c r="AG142" i="15"/>
  <c r="AH142" i="15" s="1"/>
  <c r="AG144" i="15"/>
  <c r="AI144" i="15" s="1"/>
  <c r="AG146" i="15"/>
  <c r="AH146" i="15" s="1"/>
  <c r="AG148" i="15"/>
  <c r="AI148" i="15" s="1"/>
  <c r="AG150" i="15"/>
  <c r="AH150" i="15" s="1"/>
  <c r="AG152" i="15"/>
  <c r="AI152" i="15" s="1"/>
  <c r="AG154" i="15"/>
  <c r="AH154" i="15" s="1"/>
  <c r="AG156" i="15"/>
  <c r="AI156" i="15" s="1"/>
  <c r="AG158" i="15"/>
  <c r="AH158" i="15" s="1"/>
  <c r="AG160" i="15"/>
  <c r="AI160" i="15" s="1"/>
  <c r="AG162" i="15"/>
  <c r="AH162" i="15" s="1"/>
  <c r="AG164" i="15"/>
  <c r="AI164" i="15" s="1"/>
  <c r="AG166" i="15"/>
  <c r="AH166" i="15" s="1"/>
  <c r="AG168" i="15"/>
  <c r="AI168" i="15" s="1"/>
  <c r="AG170" i="15"/>
  <c r="AH170" i="15" s="1"/>
  <c r="AG172" i="15"/>
  <c r="AI172" i="15" s="1"/>
  <c r="AG174" i="15"/>
  <c r="AH174" i="15" s="1"/>
  <c r="AG178" i="15"/>
  <c r="AG180" i="15"/>
  <c r="AI180" i="15" s="1"/>
  <c r="AG182" i="15"/>
  <c r="AI182" i="15" s="1"/>
  <c r="AG184" i="15"/>
  <c r="AH184" i="15" s="1"/>
  <c r="AG186" i="15"/>
  <c r="AI186" i="15" s="1"/>
  <c r="AG190" i="15"/>
  <c r="AH190" i="15" s="1"/>
  <c r="AG192" i="15"/>
  <c r="AI192" i="15" s="1"/>
  <c r="AG194" i="15"/>
  <c r="AH194" i="15" s="1"/>
  <c r="AG104" i="15"/>
  <c r="V39" i="15" s="1"/>
  <c r="AG106" i="15"/>
  <c r="AH106" i="15" s="1"/>
  <c r="AG110" i="15"/>
  <c r="AI110" i="15" s="1"/>
  <c r="AG112" i="15"/>
  <c r="AI112" i="15" s="1"/>
  <c r="AG114" i="15"/>
  <c r="AH114" i="15" s="1"/>
  <c r="AG116" i="15"/>
  <c r="AI116" i="15" s="1"/>
  <c r="AG120" i="15"/>
  <c r="AH120" i="15" s="1"/>
  <c r="AG122" i="15"/>
  <c r="AH122" i="15" s="1"/>
  <c r="AG126" i="15"/>
  <c r="AI126" i="15" s="1"/>
  <c r="AG128" i="15"/>
  <c r="AH128" i="15" s="1"/>
  <c r="AG130" i="15"/>
  <c r="AI130" i="15" s="1"/>
  <c r="AG188" i="15"/>
  <c r="AI188" i="15" s="1"/>
  <c r="AH160" i="15"/>
  <c r="AH176" i="15"/>
  <c r="T8" i="15"/>
  <c r="T11" i="15" s="1"/>
  <c r="AH152" i="15"/>
  <c r="AH168" i="15"/>
  <c r="AH186" i="15"/>
  <c r="AI146" i="15"/>
  <c r="AI150" i="15"/>
  <c r="AI158" i="15"/>
  <c r="AI162" i="15"/>
  <c r="AI166" i="15"/>
  <c r="AI174" i="15"/>
  <c r="AI178" i="15"/>
  <c r="AH178" i="15"/>
  <c r="AH188" i="15"/>
  <c r="AI194" i="15"/>
  <c r="AH156" i="15"/>
  <c r="AH180" i="15"/>
  <c r="AH192" i="15"/>
  <c r="T13" i="15"/>
  <c r="B9" i="25" s="1"/>
  <c r="Y40" i="15"/>
  <c r="B30" i="15"/>
  <c r="C30" i="15" s="1"/>
  <c r="D30" i="15" s="1"/>
  <c r="E30" i="15" s="1"/>
  <c r="F30" i="15" s="1"/>
  <c r="G30" i="15" s="1"/>
  <c r="H30" i="15" s="1"/>
  <c r="B33" i="15" s="1"/>
  <c r="C33" i="15" s="1"/>
  <c r="D33" i="15" s="1"/>
  <c r="E33" i="15" s="1"/>
  <c r="F33" i="15" s="1"/>
  <c r="G33" i="15" s="1"/>
  <c r="H33" i="15" s="1"/>
  <c r="B36" i="15" s="1"/>
  <c r="C36" i="15" s="1"/>
  <c r="D36" i="15" s="1"/>
  <c r="E36" i="15" s="1"/>
  <c r="F36" i="15" s="1"/>
  <c r="G36" i="15" s="1"/>
  <c r="H36" i="15" s="1"/>
  <c r="B39" i="15" s="1"/>
  <c r="B45" i="15" s="1"/>
  <c r="I24" i="15"/>
  <c r="AL75" i="15"/>
  <c r="AN59" i="15"/>
  <c r="AN35" i="15"/>
  <c r="AN53" i="15"/>
  <c r="AN61" i="15"/>
  <c r="AN62" i="15"/>
  <c r="AN68" i="15"/>
  <c r="AN69" i="15"/>
  <c r="AN76" i="15"/>
  <c r="AN92" i="15"/>
  <c r="AN101" i="15"/>
  <c r="AL40" i="15"/>
  <c r="B69" i="15"/>
  <c r="AL51" i="15" s="1"/>
  <c r="Y39" i="15"/>
  <c r="I40" i="15"/>
  <c r="AN20" i="15"/>
  <c r="AN21" i="15"/>
  <c r="AN23" i="15"/>
  <c r="AN37" i="15"/>
  <c r="AN38" i="15"/>
  <c r="AG138" i="15"/>
  <c r="B16" i="25"/>
  <c r="B20" i="25"/>
  <c r="B19" i="25"/>
  <c r="B18" i="25"/>
  <c r="B15" i="25"/>
  <c r="B17" i="25"/>
  <c r="B14" i="25"/>
  <c r="B7" i="25"/>
  <c r="B24" i="15"/>
  <c r="C18" i="15"/>
  <c r="B21" i="15"/>
  <c r="B51" i="15"/>
  <c r="C51" i="15" s="1"/>
  <c r="D51" i="15" s="1"/>
  <c r="E51" i="15" s="1"/>
  <c r="F51" i="15" s="1"/>
  <c r="G51" i="15" s="1"/>
  <c r="H51" i="15" s="1"/>
  <c r="B54" i="15" s="1"/>
  <c r="C54" i="15" s="1"/>
  <c r="D54" i="15" s="1"/>
  <c r="E54" i="15" s="1"/>
  <c r="F54" i="15" s="1"/>
  <c r="G54" i="15" s="1"/>
  <c r="H54" i="15" s="1"/>
  <c r="B57" i="15" s="1"/>
  <c r="C57" i="15" s="1"/>
  <c r="D57" i="15" s="1"/>
  <c r="E57" i="15" s="1"/>
  <c r="F57" i="15" s="1"/>
  <c r="G57" i="15" s="1"/>
  <c r="H57" i="15" s="1"/>
  <c r="B60" i="15" s="1"/>
  <c r="AN26" i="15"/>
  <c r="AN25" i="15"/>
  <c r="AN32" i="15"/>
  <c r="AN33" i="15"/>
  <c r="AN42" i="15"/>
  <c r="AN41" i="15"/>
  <c r="AN120" i="15"/>
  <c r="AN121" i="15"/>
  <c r="AN136" i="15"/>
  <c r="AN137" i="15"/>
  <c r="AN142" i="15"/>
  <c r="AN141" i="15"/>
  <c r="AN22" i="15"/>
  <c r="AN139" i="15"/>
  <c r="AN19" i="15"/>
  <c r="AN10" i="15"/>
  <c r="AN18" i="15"/>
  <c r="AN28" i="15"/>
  <c r="AN29" i="15"/>
  <c r="AN66" i="15"/>
  <c r="AN65" i="15"/>
  <c r="AN78" i="15"/>
  <c r="AN77" i="15"/>
  <c r="AN82" i="15"/>
  <c r="AN81" i="15"/>
  <c r="AN90" i="15"/>
  <c r="AN89" i="15"/>
  <c r="AN94" i="15"/>
  <c r="AN93" i="15"/>
  <c r="AN116" i="15"/>
  <c r="AN117" i="15"/>
  <c r="AN128" i="15"/>
  <c r="AN129" i="15"/>
  <c r="AN144" i="15"/>
  <c r="AI142" i="15" l="1"/>
  <c r="AI114" i="15"/>
  <c r="AH148" i="15"/>
  <c r="AH164" i="15"/>
  <c r="AI190" i="15"/>
  <c r="AH182" i="15"/>
  <c r="AH172" i="15"/>
  <c r="AI170" i="15"/>
  <c r="AI154" i="15"/>
  <c r="T12" i="15"/>
  <c r="T16" i="15" s="1"/>
  <c r="AH104" i="15"/>
  <c r="AH126" i="15"/>
  <c r="AI128" i="15"/>
  <c r="AI106" i="15"/>
  <c r="AH140" i="15"/>
  <c r="AH130" i="15"/>
  <c r="AI120" i="15"/>
  <c r="AH108" i="15"/>
  <c r="B1" i="25"/>
  <c r="B3" i="25" s="1"/>
  <c r="V41" i="15"/>
  <c r="C26" i="25" s="1"/>
  <c r="AH118" i="15"/>
  <c r="AI132" i="15"/>
  <c r="Z42" i="15"/>
  <c r="AI136" i="15"/>
  <c r="AI122" i="15"/>
  <c r="AH124" i="15"/>
  <c r="AH110" i="15"/>
  <c r="AH144" i="15"/>
  <c r="V40" i="15"/>
  <c r="C25" i="25" s="1"/>
  <c r="E36" i="2"/>
  <c r="G38" i="2"/>
  <c r="B35" i="2"/>
  <c r="F36" i="2"/>
  <c r="B38" i="2"/>
  <c r="F37" i="2"/>
  <c r="H39" i="2"/>
  <c r="H38" i="2"/>
  <c r="D40" i="2"/>
  <c r="G35" i="2"/>
  <c r="D35" i="2"/>
  <c r="B37" i="2"/>
  <c r="D39" i="2"/>
  <c r="B40" i="2"/>
  <c r="E35" i="2"/>
  <c r="H36" i="2"/>
  <c r="C35" i="2"/>
  <c r="E37" i="2"/>
  <c r="G39" i="2"/>
  <c r="B36" i="2"/>
  <c r="D38" i="2"/>
  <c r="F40" i="2"/>
  <c r="C40" i="2"/>
  <c r="B39" i="2"/>
  <c r="H37" i="2"/>
  <c r="G36" i="2"/>
  <c r="F35" i="2"/>
  <c r="H35" i="2"/>
  <c r="C38" i="2"/>
  <c r="E40" i="2"/>
  <c r="G37" i="2"/>
  <c r="C39" i="2"/>
  <c r="AI184" i="15"/>
  <c r="D36" i="2"/>
  <c r="F38" i="2"/>
  <c r="H40" i="2"/>
  <c r="C37" i="2"/>
  <c r="E39" i="2"/>
  <c r="G40" i="2"/>
  <c r="F39" i="2"/>
  <c r="E38" i="2"/>
  <c r="D37" i="2"/>
  <c r="C36" i="2"/>
  <c r="AH112" i="15"/>
  <c r="B72" i="15"/>
  <c r="C72" i="15" s="1"/>
  <c r="D72" i="15" s="1"/>
  <c r="E72" i="15" s="1"/>
  <c r="F72" i="15" s="1"/>
  <c r="G72" i="15" s="1"/>
  <c r="H72" i="15" s="1"/>
  <c r="B75" i="15" s="1"/>
  <c r="C75" i="15" s="1"/>
  <c r="D75" i="15" s="1"/>
  <c r="E75" i="15" s="1"/>
  <c r="F75" i="15" s="1"/>
  <c r="G75" i="15" s="1"/>
  <c r="H75" i="15" s="1"/>
  <c r="B78" i="15" s="1"/>
  <c r="C78" i="15" s="1"/>
  <c r="D78" i="15" s="1"/>
  <c r="E78" i="15" s="1"/>
  <c r="F78" i="15" s="1"/>
  <c r="G78" i="15" s="1"/>
  <c r="H78" i="15" s="1"/>
  <c r="B81" i="15" s="1"/>
  <c r="B87" i="15" s="1"/>
  <c r="AH116" i="15"/>
  <c r="B42" i="15"/>
  <c r="C39" i="15"/>
  <c r="D39" i="15" s="1"/>
  <c r="AH138" i="15"/>
  <c r="AI138" i="15"/>
  <c r="W39" i="15"/>
  <c r="D24" i="25" s="1"/>
  <c r="C24" i="25"/>
  <c r="AL5" i="15"/>
  <c r="I56" i="15"/>
  <c r="Y38" i="15"/>
  <c r="V42" i="15"/>
  <c r="AP14" i="15"/>
  <c r="AQ14" i="15" s="1"/>
  <c r="B63" i="15"/>
  <c r="B66" i="15"/>
  <c r="C60" i="15"/>
  <c r="AU7" i="15"/>
  <c r="AP18" i="15"/>
  <c r="AQ18" i="15" s="1"/>
  <c r="AP15" i="15"/>
  <c r="AQ15" i="15" s="1"/>
  <c r="AP20" i="15"/>
  <c r="AU15" i="15"/>
  <c r="AU18" i="15"/>
  <c r="AU17" i="15"/>
  <c r="AU20" i="15"/>
  <c r="C21" i="15"/>
  <c r="C24" i="15"/>
  <c r="D18" i="15"/>
  <c r="AP17" i="15"/>
  <c r="AQ17" i="15" s="1"/>
  <c r="AP7" i="15"/>
  <c r="AP10" i="15"/>
  <c r="AP11" i="15"/>
  <c r="AQ11" i="15" s="1"/>
  <c r="AP9" i="15"/>
  <c r="AP8" i="15"/>
  <c r="AQ8" i="15" s="1"/>
  <c r="AP19" i="15"/>
  <c r="AQ19" i="15" s="1"/>
  <c r="AP6" i="15"/>
  <c r="AQ6" i="15" s="1"/>
  <c r="AU11" i="15"/>
  <c r="AU19" i="15"/>
  <c r="AU14" i="15"/>
  <c r="AU5" i="15"/>
  <c r="AU13" i="15"/>
  <c r="AU8" i="15"/>
  <c r="AU16" i="15"/>
  <c r="AP5" i="15"/>
  <c r="AP12" i="15"/>
  <c r="AQ12" i="15" s="1"/>
  <c r="AP16" i="15"/>
  <c r="AQ16" i="15" s="1"/>
  <c r="AP13" i="15"/>
  <c r="AQ13" i="15" s="1"/>
  <c r="AU6" i="15"/>
  <c r="AU10" i="15"/>
  <c r="AU9" i="15"/>
  <c r="AU12" i="15"/>
  <c r="W41" i="15" l="1"/>
  <c r="D26" i="25" s="1"/>
  <c r="W40" i="15"/>
  <c r="D25" i="25" s="1"/>
  <c r="C45" i="15"/>
  <c r="AI195" i="15"/>
  <c r="T14" i="15"/>
  <c r="C42" i="15"/>
  <c r="B84" i="15"/>
  <c r="I26" i="26"/>
  <c r="T20" i="15" s="1"/>
  <c r="T23" i="15" s="1"/>
  <c r="T19" i="15"/>
  <c r="C81" i="15"/>
  <c r="D81" i="15" s="1"/>
  <c r="W42" i="15"/>
  <c r="D27" i="25" s="1"/>
  <c r="C27" i="25"/>
  <c r="AQ9" i="15"/>
  <c r="AR9" i="15"/>
  <c r="AQ10" i="15"/>
  <c r="AR14" i="15"/>
  <c r="D42" i="15"/>
  <c r="E39" i="15"/>
  <c r="D45" i="15"/>
  <c r="AQ5" i="15"/>
  <c r="T18" i="15"/>
  <c r="AR5" i="15"/>
  <c r="AQ7" i="15"/>
  <c r="AR7" i="15"/>
  <c r="D24" i="15"/>
  <c r="D21" i="15"/>
  <c r="E18" i="15"/>
  <c r="C66" i="15"/>
  <c r="D60" i="15"/>
  <c r="C63" i="15"/>
  <c r="C87" i="15" l="1"/>
  <c r="C84" i="15"/>
  <c r="T22" i="15"/>
  <c r="B8" i="25" s="1"/>
  <c r="T21" i="15"/>
  <c r="E45" i="15"/>
  <c r="F39" i="15"/>
  <c r="E42" i="15"/>
  <c r="D66" i="15"/>
  <c r="E60" i="15"/>
  <c r="D63" i="15"/>
  <c r="E24" i="15"/>
  <c r="E21" i="15"/>
  <c r="F18" i="15"/>
  <c r="AQ21" i="15"/>
  <c r="D84" i="15"/>
  <c r="D87" i="15"/>
  <c r="E81" i="15"/>
  <c r="F45" i="15" l="1"/>
  <c r="G39" i="15"/>
  <c r="F42" i="15"/>
  <c r="E87" i="15"/>
  <c r="F81" i="15"/>
  <c r="E84" i="15"/>
  <c r="F24" i="15"/>
  <c r="F21" i="15"/>
  <c r="G18" i="15"/>
  <c r="E63" i="15"/>
  <c r="E66" i="15"/>
  <c r="F60" i="15"/>
  <c r="F66" i="15" l="1"/>
  <c r="G60" i="15"/>
  <c r="F63" i="15"/>
  <c r="G45" i="15"/>
  <c r="G42" i="15"/>
  <c r="H39" i="15"/>
  <c r="G21" i="15"/>
  <c r="G24" i="15"/>
  <c r="H18" i="15"/>
  <c r="F84" i="15"/>
  <c r="G81" i="15"/>
  <c r="F87" i="15"/>
  <c r="H45" i="15" l="1"/>
  <c r="H42" i="15"/>
  <c r="G63" i="15"/>
  <c r="G66" i="15"/>
  <c r="H60" i="15"/>
  <c r="G87" i="15"/>
  <c r="G84" i="15"/>
  <c r="H81" i="15"/>
  <c r="H24" i="15"/>
  <c r="H21" i="15"/>
  <c r="H87" i="15" l="1"/>
  <c r="H84" i="15"/>
  <c r="H63" i="15"/>
  <c r="H66" i="15"/>
  <c r="A10" i="29"/>
  <c r="A12" i="29"/>
  <c r="A14" i="29"/>
  <c r="A16" i="29"/>
  <c r="A18" i="29"/>
  <c r="A26" i="29"/>
  <c r="A28" i="29"/>
  <c r="A30" i="29"/>
  <c r="A32" i="29"/>
  <c r="A34" i="29"/>
</calcChain>
</file>

<file path=xl/comments1.xml><?xml version="1.0" encoding="utf-8"?>
<comments xmlns="http://schemas.openxmlformats.org/spreadsheetml/2006/main">
  <authors>
    <author>Sean O'Connor</author>
  </authors>
  <commentList>
    <comment ref="B7" authorId="0" shapeId="0">
      <text>
        <r>
          <rPr>
            <b/>
            <sz val="11"/>
            <color indexed="81"/>
            <rFont val="Tahoma"/>
            <family val="2"/>
          </rPr>
          <t>Sean O'Connor:  15apr13</t>
        </r>
        <r>
          <rPr>
            <sz val="11"/>
            <color indexed="81"/>
            <rFont val="Tahoma"/>
            <family val="2"/>
          </rPr>
          <t xml:space="preserve">
Intended Use:   This version is for the BRACS/PAR project; for the 90-days prior to the enrollment interview.
</t>
        </r>
        <r>
          <rPr>
            <b/>
            <sz val="11"/>
            <color indexed="81"/>
            <rFont val="Tahoma"/>
            <family val="2"/>
          </rPr>
          <t>SETUP</t>
        </r>
        <r>
          <rPr>
            <sz val="11"/>
            <color indexed="81"/>
            <rFont val="Tahoma"/>
            <family val="2"/>
          </rPr>
          <t xml:space="preserve">:
Enter  BP#### subject number (C5), Subject Gender (E6), Interview Date (F6) on 90 days sheet, and
                    age, height and weight (gender is automatic) on Exposure Summary sheet.
</t>
        </r>
        <r>
          <rPr>
            <sz val="11"/>
            <color indexed="81"/>
            <rFont val="Tahoma"/>
            <family val="2"/>
          </rPr>
          <t>Save As:  BPT90_####_ZZzzZZ,   where #### is LYCASE subject number and ZZzzZZ is date of TLFB90
                                           if BRACS/PAR Subject 1437 did the TLFB on 3/15/09, then save as BPT90_01437_031509</t>
        </r>
      </text>
    </comment>
    <comment ref="C7" authorId="0" shapeId="0">
      <text>
        <r>
          <rPr>
            <b/>
            <sz val="11"/>
            <color indexed="81"/>
            <rFont val="Tahoma"/>
            <family val="2"/>
          </rPr>
          <t>Sean O'Connor:</t>
        </r>
        <r>
          <rPr>
            <sz val="11"/>
            <color indexed="81"/>
            <rFont val="Tahoma"/>
            <family val="2"/>
          </rPr>
          <t xml:space="preserve">
Intended Use:   This version is for the BRACS/PAR project; for the 90-days prior to the enrollment interview.
</t>
        </r>
        <r>
          <rPr>
            <b/>
            <sz val="11"/>
            <color indexed="81"/>
            <rFont val="Tahoma"/>
            <family val="2"/>
          </rPr>
          <t>OPERATION</t>
        </r>
        <r>
          <rPr>
            <sz val="11"/>
            <color indexed="81"/>
            <rFont val="Tahoma"/>
            <family val="2"/>
          </rPr>
          <t xml:space="preserve">:
Must have the appropriate, prepared, Subject-specific file open; see preparation.
Inform the subject about the task, and about what a standard drink is (instructions sheet).
Get the subject to recall </t>
        </r>
        <r>
          <rPr>
            <u/>
            <sz val="11"/>
            <color indexed="81"/>
            <rFont val="Tahoma"/>
            <family val="2"/>
          </rPr>
          <t>at least</t>
        </r>
        <r>
          <rPr>
            <sz val="11"/>
            <color indexed="81"/>
            <rFont val="Tahoma"/>
            <family val="2"/>
          </rPr>
          <t xml:space="preserve"> FIVE events in the last 90 days that are at least several days apart: (birthdays of self or significant others, holidays, sporting events, social events, injuries, arrests, whatever)
Type a 1- or 2-word prompt in the TAN cell on the appropriate date for each event.
Sit with the subject while s/he works through the standard drinks for each of the events, entered as an INTEGER in the YELLOW cellls.
Let the subject fill in the daily drinking for ALL the rest of the dates not masked.
Have the subject inform you when s/he has finished.
CHECK that an INTEGER number is in every YELLOW cell, and NONE in black cells except for dates.
SAVE the contents, CLOSE the file, and MOVE it to the TLFB database.</t>
        </r>
      </text>
    </comment>
  </commentList>
</comments>
</file>

<file path=xl/sharedStrings.xml><?xml version="1.0" encoding="utf-8"?>
<sst xmlns="http://schemas.openxmlformats.org/spreadsheetml/2006/main" count="792" uniqueCount="629">
  <si>
    <t>in a day such as 2 beers and 3 glasses of wine, you would enter the number 5 for that day.</t>
  </si>
  <si>
    <t xml:space="preserve">enter the number 6 for that day. If you drank two or more different kinds of alcoholic beverages </t>
  </si>
  <si>
    <t>Instructions for Filling Out the Timeline Alcohol Use Calendar</t>
  </si>
  <si>
    <r>
      <t>•</t>
    </r>
    <r>
      <rPr>
        <sz val="10"/>
        <rFont val="Helvetica"/>
        <family val="2"/>
      </rPr>
      <t xml:space="preserve"> We want you to record your drinking on the calendar using Standard Drinks. </t>
    </r>
    <r>
      <rPr>
        <i/>
        <sz val="10"/>
        <rFont val="Helvetica"/>
        <family val="2"/>
      </rPr>
      <t>For example,</t>
    </r>
    <r>
      <rPr>
        <sz val="10"/>
        <rFont val="Helvetica"/>
        <family val="2"/>
      </rPr>
      <t xml:space="preserve"> if you had 6 beers,</t>
    </r>
  </si>
  <si>
    <r>
      <t xml:space="preserve">It’s important that something is written for </t>
    </r>
    <r>
      <rPr>
        <b/>
        <u/>
        <sz val="12"/>
        <rFont val="Helvetica"/>
        <family val="2"/>
      </rPr>
      <t>every</t>
    </r>
    <r>
      <rPr>
        <b/>
        <sz val="12"/>
        <rFont val="Helvetica"/>
        <family val="2"/>
      </rPr>
      <t xml:space="preserve"> day, even if it is a “0”.</t>
    </r>
  </si>
  <si>
    <t>Miller High Life</t>
  </si>
  <si>
    <t>Natural Ice</t>
  </si>
  <si>
    <t>Natural Light</t>
  </si>
  <si>
    <t>Old Milwaukee</t>
  </si>
  <si>
    <t>Olde English 800</t>
  </si>
  <si>
    <t>Olde English 800 Ice</t>
  </si>
  <si>
    <t>Red Dog</t>
  </si>
  <si>
    <t>Redhook Ale</t>
  </si>
  <si>
    <t>Sam Adams Boston Ale</t>
  </si>
  <si>
    <t>Sam Adams Boston Lager</t>
  </si>
  <si>
    <t>Sam Adams Cherry Wheat</t>
  </si>
  <si>
    <t>Sam Adams Cream Stout</t>
  </si>
  <si>
    <t>Sam Adams Double Bock</t>
  </si>
  <si>
    <t>Sam Adams Golden Pilsner</t>
  </si>
  <si>
    <t>Sam Adams IPA</t>
  </si>
  <si>
    <r>
      <t>•</t>
    </r>
    <r>
      <rPr>
        <sz val="10"/>
        <rFont val="Helvetica"/>
        <family val="2"/>
      </rPr>
      <t xml:space="preserve"> If you have an appointment book you can use it to help you recall your drinking.</t>
    </r>
  </si>
  <si>
    <r>
      <t>•</t>
    </r>
    <r>
      <rPr>
        <sz val="10"/>
        <rFont val="Helvetica"/>
        <family val="2"/>
      </rPr>
      <t xml:space="preserve"> If you have regular drinking patterns you can use these to help you recall your drinking. For example, you may </t>
    </r>
  </si>
  <si>
    <t>WeekNo</t>
  </si>
  <si>
    <t>Sun</t>
  </si>
  <si>
    <t>Mon</t>
  </si>
  <si>
    <t>Tue</t>
  </si>
  <si>
    <t>Wed</t>
  </si>
  <si>
    <t>Thu</t>
  </si>
  <si>
    <t>Fri</t>
  </si>
  <si>
    <t>Sat</t>
  </si>
  <si>
    <t>Settings and Formulas</t>
  </si>
  <si>
    <t>Standard Drink Conversion:</t>
  </si>
  <si>
    <t>Wine</t>
  </si>
  <si>
    <t>Hard Liquor</t>
  </si>
  <si>
    <t>one 12 oz beer = 1 drink</t>
  </si>
  <si>
    <t xml:space="preserve">have a daily or weekend/weekday pattern, or drink more in the summer or on trips, or you may drink on Monday </t>
  </si>
  <si>
    <t>nights watching football.</t>
  </si>
  <si>
    <t>WINE: 1 Bottle</t>
  </si>
  <si>
    <t>25 oz/750 ml = 5 standard drinks</t>
  </si>
  <si>
    <t>40 oz/1.5 liter = 8 standard drinks</t>
  </si>
  <si>
    <t>25 oz fortified = 8 1/3 standard drinks</t>
  </si>
  <si>
    <t>HARD LIQUOR: 1 Bottle</t>
  </si>
  <si>
    <t>1.2 oz 80 proof Liquor = 1 drink</t>
  </si>
  <si>
    <t>one 16 oz. Beer = 1.3 drinks</t>
  </si>
  <si>
    <t>If patient enters an invalid entry (values must be between 0-45) display:</t>
  </si>
  <si>
    <t>"Warning!: Please verify that the number you entered is correct. You cannot drink more than 45 drinks in one day."</t>
  </si>
  <si>
    <r>
      <t>•</t>
    </r>
    <r>
      <rPr>
        <sz val="10"/>
        <rFont val="Helvetica"/>
        <family val="2"/>
      </rPr>
      <t xml:space="preserve"> On days when you did not drink, you should enter a ” </t>
    </r>
    <r>
      <rPr>
        <b/>
        <sz val="12"/>
        <rFont val="Helvetica"/>
        <family val="2"/>
      </rPr>
      <t>0</t>
    </r>
    <r>
      <rPr>
        <b/>
        <sz val="11"/>
        <rFont val="Helvetica"/>
        <family val="2"/>
      </rPr>
      <t xml:space="preserve"> </t>
    </r>
    <r>
      <rPr>
        <sz val="10"/>
        <rFont val="Helvetica"/>
        <family val="2"/>
      </rPr>
      <t>”.</t>
    </r>
  </si>
  <si>
    <r>
      <t>•</t>
    </r>
    <r>
      <rPr>
        <sz val="10"/>
        <rFont val="Helvetica"/>
        <family val="2"/>
      </rPr>
      <t xml:space="preserve"> On days when you did drink, you should enter in the total number of drinks you had. </t>
    </r>
  </si>
  <si>
    <t>Mickey's</t>
  </si>
  <si>
    <t>Mickey's Ice</t>
  </si>
  <si>
    <t>Miller Genuine Draft</t>
  </si>
  <si>
    <t>41 Drinks</t>
  </si>
  <si>
    <t>42 Drinks</t>
  </si>
  <si>
    <t>43 Drinks</t>
  </si>
  <si>
    <t>44 Drinks</t>
  </si>
  <si>
    <t>45 Drinks</t>
  </si>
  <si>
    <t>0 drinks</t>
  </si>
  <si>
    <t>Days of 7 DRINKS</t>
  </si>
  <si>
    <t>Days of 8 DRINKS</t>
  </si>
  <si>
    <t>Days of 9 DRINKS</t>
  </si>
  <si>
    <t>Days of 10 DRINKS</t>
  </si>
  <si>
    <t>Days of 11 DRINKS</t>
  </si>
  <si>
    <t>Days of 12 DRINKS</t>
  </si>
  <si>
    <t>Days of 13 DRINKS</t>
  </si>
  <si>
    <t>Days of 14 DRINKS</t>
  </si>
  <si>
    <t>Days of 15 DRINKS</t>
  </si>
  <si>
    <t>Days of 16 DRINKS</t>
  </si>
  <si>
    <t>Days of 17 DRINKS</t>
  </si>
  <si>
    <t>Days of 18 DRINKS</t>
  </si>
  <si>
    <t>Days of 19 DRINKS</t>
  </si>
  <si>
    <t>Days of 20 DRINKS</t>
  </si>
  <si>
    <t>Days of 21 DRINKS</t>
  </si>
  <si>
    <t>Days of 22 DRINKS</t>
  </si>
  <si>
    <t>Days of 23 DRINKS</t>
  </si>
  <si>
    <t>Days of 24 DRINKS</t>
  </si>
  <si>
    <t>Days of 25 DRINKS</t>
  </si>
  <si>
    <t>Days of 26 DRINKS</t>
  </si>
  <si>
    <t>Days of 27 DRINKS</t>
  </si>
  <si>
    <t>Days of 28 DRINKS</t>
  </si>
  <si>
    <t>Days of 29 DRINKS</t>
  </si>
  <si>
    <t>Sam Adams Octoberfest</t>
  </si>
  <si>
    <t>Sam Adams Pale Ale</t>
  </si>
  <si>
    <t>Sam Adams Spring Ale</t>
  </si>
  <si>
    <t>Sam Adams Summer Ale</t>
  </si>
  <si>
    <t>Sam Adams Triple Bock</t>
  </si>
  <si>
    <t>Sam Adams Winter Lager</t>
  </si>
  <si>
    <t>Tequiza</t>
  </si>
  <si>
    <t>Averages:</t>
  </si>
  <si>
    <t>Gender:</t>
  </si>
  <si>
    <t>Interview Date:</t>
  </si>
  <si>
    <t>Mondays</t>
  </si>
  <si>
    <t>Tuesdays</t>
  </si>
  <si>
    <t>Wednesdays</t>
  </si>
  <si>
    <t>Thursdays</t>
  </si>
  <si>
    <t>Fridays</t>
  </si>
  <si>
    <t>Saturdays</t>
  </si>
  <si>
    <r>
      <t>YOUR BEST ESTIMATE</t>
    </r>
    <r>
      <rPr>
        <b/>
        <sz val="14"/>
        <rFont val="Helvetica"/>
        <family val="2"/>
      </rPr>
      <t xml:space="preserve"> </t>
    </r>
  </si>
  <si>
    <r>
      <t>•</t>
    </r>
    <r>
      <rPr>
        <sz val="10"/>
        <rFont val="Helvetica"/>
        <family val="2"/>
      </rPr>
      <t xml:space="preserve"> We realize it isn’t easy to recall things with 100% accuracy. </t>
    </r>
  </si>
  <si>
    <r>
      <t>•</t>
    </r>
    <r>
      <rPr>
        <sz val="10"/>
        <rFont val="Helvetica"/>
        <family val="2"/>
      </rPr>
      <t xml:space="preserve"> If you are not sure whether you drank 7 or 11 drinks or whether you drank on a Thursday or a Friday, </t>
    </r>
    <r>
      <rPr>
        <b/>
        <sz val="10"/>
        <rFont val="Helvetica"/>
        <family val="2"/>
      </rPr>
      <t xml:space="preserve">give it your </t>
    </r>
  </si>
  <si>
    <r>
      <t>best guess!</t>
    </r>
    <r>
      <rPr>
        <sz val="10"/>
        <rFont val="Helvetica"/>
        <family val="2"/>
      </rPr>
      <t xml:space="preserve"> What is important is that 7 or 11 drinks is very different from 1 or 2 drinks or 25 drinks. The goal is to </t>
    </r>
  </si>
  <si>
    <t>get a sense of how frequently you drank, how much you drank, and your patterns of drinking.</t>
  </si>
  <si>
    <t>HELPFUL HINTS:</t>
  </si>
  <si>
    <t>8 14 18</t>
  </si>
  <si>
    <t>080E12</t>
  </si>
  <si>
    <t>18 11 8</t>
  </si>
  <si>
    <t>120B08</t>
  </si>
  <si>
    <t>42 79 98</t>
  </si>
  <si>
    <t>2A4F62</t>
  </si>
  <si>
    <t>98 61 42</t>
  </si>
  <si>
    <t>623D2A</t>
  </si>
  <si>
    <t>77 144 178</t>
  </si>
  <si>
    <t>4D90B2</t>
  </si>
  <si>
    <t>178 110 77</t>
  </si>
  <si>
    <t>B26E4D</t>
  </si>
  <si>
    <t>157 194 213</t>
  </si>
  <si>
    <t>9DC2D5</t>
  </si>
  <si>
    <t>213 176 157</t>
  </si>
  <si>
    <t>D5B09D</t>
  </si>
  <si>
    <t>237 244 247</t>
  </si>
  <si>
    <t>EDF4F7</t>
  </si>
  <si>
    <t>247 241 237</t>
  </si>
  <si>
    <t>F7F1ED</t>
  </si>
  <si>
    <t>Days of 44 DRINKS</t>
  </si>
  <si>
    <t>Days of 45 DRINKS</t>
  </si>
  <si>
    <t>Drinking Summary Graph</t>
  </si>
  <si>
    <t>Abstinent</t>
  </si>
  <si>
    <t>Low Ethanol Consumption</t>
  </si>
  <si>
    <t>High Ethanol Consumption</t>
  </si>
  <si>
    <t>Very High Ethanol Consumption</t>
  </si>
  <si>
    <t>Category</t>
  </si>
  <si>
    <t>Number of Drinks</t>
  </si>
  <si>
    <t>1 to 3</t>
  </si>
  <si>
    <t>4 to 9</t>
  </si>
  <si>
    <t>10 or more</t>
  </si>
  <si>
    <t>Percent</t>
  </si>
  <si>
    <t>Total</t>
  </si>
  <si>
    <t>Greatest # of drinks in 1 day:</t>
  </si>
  <si>
    <t>based on averages</t>
  </si>
  <si>
    <t>100proof</t>
  </si>
  <si>
    <t>80proof</t>
  </si>
  <si>
    <t>Reg beer</t>
  </si>
  <si>
    <t>Light beer</t>
  </si>
  <si>
    <t>Non-Alc</t>
  </si>
  <si>
    <t>Light Wine</t>
  </si>
  <si>
    <t>Wine Cooler</t>
  </si>
  <si>
    <t>Onces</t>
  </si>
  <si>
    <t>Product</t>
  </si>
  <si>
    <t>Calories</t>
  </si>
  <si>
    <t>% alcohol</t>
  </si>
  <si>
    <t>12oz</t>
  </si>
  <si>
    <t>Anheuser Busch Natural Ice</t>
  </si>
  <si>
    <t>Coors NA</t>
  </si>
  <si>
    <t>1 oz 100 proof Liquor = 1 drink</t>
  </si>
  <si>
    <t>12oz. (mickey) = 8 drinks</t>
  </si>
  <si>
    <t>Calories:</t>
  </si>
  <si>
    <t xml:space="preserve">To do this, we would like you to fill out the calendar. </t>
  </si>
  <si>
    <r>
      <t>ü</t>
    </r>
    <r>
      <rPr>
        <sz val="7"/>
        <rFont val="Times New Roman"/>
        <family val="1"/>
      </rPr>
      <t xml:space="preserve">       </t>
    </r>
    <r>
      <rPr>
        <sz val="10"/>
        <rFont val="Helvetica"/>
        <family val="2"/>
      </rPr>
      <t>Filling out the calendar is not hard!</t>
    </r>
  </si>
  <si>
    <r>
      <t>ü</t>
    </r>
    <r>
      <rPr>
        <sz val="7"/>
        <rFont val="Times New Roman"/>
        <family val="1"/>
      </rPr>
      <t xml:space="preserve">       </t>
    </r>
    <r>
      <rPr>
        <sz val="10"/>
        <rFont val="Helvetica"/>
        <family val="2"/>
      </rPr>
      <t>Try to be as accurate as possible.</t>
    </r>
  </si>
  <si>
    <r>
      <t>ü</t>
    </r>
    <r>
      <rPr>
        <sz val="7"/>
        <rFont val="Times New Roman"/>
        <family val="1"/>
      </rPr>
      <t xml:space="preserve">      </t>
    </r>
    <r>
      <rPr>
        <sz val="10"/>
        <rFont val="Helvetica"/>
        <family val="2"/>
      </rPr>
      <t>We recognize you won’t have perfect recall. That’s OKAY.</t>
    </r>
  </si>
  <si>
    <t>WHAT TO FILL IN:</t>
  </si>
  <si>
    <r>
      <t>•</t>
    </r>
    <r>
      <rPr>
        <sz val="10"/>
        <rFont val="Helvetica"/>
        <family val="2"/>
      </rPr>
      <t xml:space="preserve"> The idea is to put a number in for </t>
    </r>
    <r>
      <rPr>
        <b/>
        <sz val="10"/>
        <rFont val="Helvetica"/>
        <family val="2"/>
      </rPr>
      <t>each day</t>
    </r>
    <r>
      <rPr>
        <sz val="10"/>
        <rFont val="Helvetica"/>
        <family val="2"/>
      </rPr>
      <t xml:space="preserve"> on the calendar.</t>
    </r>
  </si>
  <si>
    <t>Mich Hefeweizen</t>
  </si>
  <si>
    <t>Mich Honey Lager</t>
  </si>
  <si>
    <t>Michelob</t>
  </si>
  <si>
    <t xml:space="preserve"> </t>
  </si>
  <si>
    <t xml:space="preserve">       </t>
  </si>
  <si>
    <t>Are you engaged in relief drinking?...........</t>
  </si>
  <si>
    <t>% of days drinking:</t>
  </si>
  <si>
    <t>Relief drinking?</t>
  </si>
  <si>
    <t>1 drink</t>
  </si>
  <si>
    <t>2 drinks</t>
  </si>
  <si>
    <t>3 drinks</t>
  </si>
  <si>
    <t>4 drinks</t>
  </si>
  <si>
    <t>5 drinks</t>
  </si>
  <si>
    <t>6 drinks</t>
  </si>
  <si>
    <t>7 drinks</t>
  </si>
  <si>
    <t>8 drinks</t>
  </si>
  <si>
    <t>9 drinks</t>
  </si>
  <si>
    <t>10 drinks</t>
  </si>
  <si>
    <t>11 drinks</t>
  </si>
  <si>
    <t>Days of 1 DRINK</t>
  </si>
  <si>
    <t>Days of 2 DRINKS</t>
  </si>
  <si>
    <t>Days of 3 DRINKS</t>
  </si>
  <si>
    <t>Days of 4 DRINKS</t>
  </si>
  <si>
    <t>Percentages</t>
  </si>
  <si>
    <t>Days of 5 DRINKS</t>
  </si>
  <si>
    <t>Days of 6 DRINKS</t>
  </si>
  <si>
    <t>12 Drinks</t>
  </si>
  <si>
    <t>13 Drinks</t>
  </si>
  <si>
    <t>14 Drinks</t>
  </si>
  <si>
    <t>15 Drinks</t>
  </si>
  <si>
    <t>16 Drinks</t>
  </si>
  <si>
    <t>17 Drinks</t>
  </si>
  <si>
    <t>18 Drinks</t>
  </si>
  <si>
    <t>19 Drinks</t>
  </si>
  <si>
    <t>20 Drinks</t>
  </si>
  <si>
    <t>21 Drinks</t>
  </si>
  <si>
    <t>22 Drinks</t>
  </si>
  <si>
    <t>23 Drinks</t>
  </si>
  <si>
    <t>24 Drinks</t>
  </si>
  <si>
    <t>Days of 30 DRINKS</t>
  </si>
  <si>
    <t>Days of 31 DRINKS</t>
  </si>
  <si>
    <t>Days of 32 DRINKS</t>
  </si>
  <si>
    <t>Days of 33 DRINKS</t>
  </si>
  <si>
    <t>Days of 34 DRINKS</t>
  </si>
  <si>
    <t>Days of 35 DRINKS</t>
  </si>
  <si>
    <t>Days of 36 DRINKS</t>
  </si>
  <si>
    <t>Days of 37 DRINKS</t>
  </si>
  <si>
    <t>Days of 38 DRINKS</t>
  </si>
  <si>
    <t>Days of 39 DRINKS</t>
  </si>
  <si>
    <t>Sundays</t>
  </si>
  <si>
    <t>12 oz (mickey)=  8 standard drinks</t>
  </si>
  <si>
    <t>text</t>
  </si>
  <si>
    <t>Dark</t>
  </si>
  <si>
    <t>Light</t>
  </si>
  <si>
    <t>January</t>
  </si>
  <si>
    <t>February</t>
  </si>
  <si>
    <t>March</t>
  </si>
  <si>
    <t>April</t>
  </si>
  <si>
    <t>May</t>
  </si>
  <si>
    <t>June</t>
  </si>
  <si>
    <t>July</t>
  </si>
  <si>
    <t>August</t>
  </si>
  <si>
    <t>September</t>
  </si>
  <si>
    <t>October</t>
  </si>
  <si>
    <t>November</t>
  </si>
  <si>
    <t>December</t>
  </si>
  <si>
    <t>Month Names</t>
  </si>
  <si>
    <t>month</t>
  </si>
  <si>
    <t>year</t>
  </si>
  <si>
    <t>startDate</t>
  </si>
  <si>
    <t>monthName</t>
  </si>
  <si>
    <t>startDayOfWeek</t>
  </si>
  <si>
    <t>Today's Date</t>
  </si>
  <si>
    <t>37 Drinks</t>
  </si>
  <si>
    <t>38 Drinks</t>
  </si>
  <si>
    <t>39 Drinks</t>
  </si>
  <si>
    <t>40 Drinks</t>
  </si>
  <si>
    <t># of Days Drinking:</t>
  </si>
  <si>
    <r>
      <t>•</t>
    </r>
    <r>
      <rPr>
        <u/>
        <sz val="10"/>
        <rFont val="Helvetica"/>
        <family val="2"/>
      </rPr>
      <t xml:space="preserve"> Please keep in mind anniversaries, birthdays, hospitalizations, etc where drinking increased or decreased.</t>
    </r>
  </si>
  <si>
    <t>drinks this week</t>
  </si>
  <si>
    <t># of days/wk drinking</t>
  </si>
  <si>
    <t>number of abstinent days</t>
  </si>
  <si>
    <t>Day count check</t>
  </si>
  <si>
    <t>Days Entered</t>
  </si>
  <si>
    <t>Finished? Click on the box to the right to answer yes.</t>
  </si>
  <si>
    <t>Anheuser World Select</t>
  </si>
  <si>
    <t>Anheuser Busch Natural Light</t>
  </si>
  <si>
    <t>Bacardi Silver Green Apple</t>
  </si>
  <si>
    <t>Anheuser Doc's Hard Lemon</t>
  </si>
  <si>
    <r>
      <t xml:space="preserve">To help us evaluate your drinking, we need to get an idea of what your alcohol use was like in the past </t>
    </r>
    <r>
      <rPr>
        <u/>
        <sz val="10"/>
        <rFont val="Helvetica"/>
        <family val="2"/>
      </rPr>
      <t>____</t>
    </r>
    <r>
      <rPr>
        <sz val="10"/>
        <rFont val="Helvetica"/>
        <family val="2"/>
      </rPr>
      <t xml:space="preserve"> days.</t>
    </r>
  </si>
  <si>
    <t>Click Cell to Enter</t>
  </si>
  <si>
    <t>Click Here</t>
  </si>
  <si>
    <t>Number of Drink Days</t>
  </si>
  <si>
    <t>Busch Light</t>
  </si>
  <si>
    <t>Bacardi Silver</t>
  </si>
  <si>
    <t>Michelob Ultra</t>
  </si>
  <si>
    <t>Bacardi Silver Black Cherry</t>
  </si>
  <si>
    <t>Miller Lite</t>
  </si>
  <si>
    <t>Bacardi Silver O3</t>
  </si>
  <si>
    <t>Bud Select</t>
  </si>
  <si>
    <t>Bacardi Silver Raz</t>
  </si>
  <si>
    <t>Keystone Light</t>
  </si>
  <si>
    <t>Bacardi Silver Watermelon</t>
  </si>
  <si>
    <t>Coors Light</t>
  </si>
  <si>
    <t>Bud Dry</t>
  </si>
  <si>
    <t>Bud Ice</t>
  </si>
  <si>
    <t>Corona Light</t>
  </si>
  <si>
    <t>Bud Ice Light</t>
  </si>
  <si>
    <t>Bud Light</t>
  </si>
  <si>
    <t>Mich Golden Draft Light</t>
  </si>
  <si>
    <t>Miller Genuine Draft Lite</t>
  </si>
  <si>
    <t>Budweiser</t>
  </si>
  <si>
    <t>Busch Ice</t>
  </si>
  <si>
    <t>Michelob Light</t>
  </si>
  <si>
    <t>Sam Adams Light</t>
  </si>
  <si>
    <t xml:space="preserve">Coors Extra  </t>
  </si>
  <si>
    <t>Coors Extra Gold</t>
  </si>
  <si>
    <t>Average:</t>
  </si>
  <si>
    <t>Coors Original</t>
  </si>
  <si>
    <t>Corona Extra</t>
  </si>
  <si>
    <t>Foster's Lager</t>
  </si>
  <si>
    <t>Guinness Draught</t>
  </si>
  <si>
    <t>Guinness Foreign Extra Stout</t>
  </si>
  <si>
    <t>Heineken</t>
  </si>
  <si>
    <t>Heineken Special Dark</t>
  </si>
  <si>
    <t>Hurricane</t>
  </si>
  <si>
    <t>Hurricane Ice</t>
  </si>
  <si>
    <t>Icehouse 5.0</t>
  </si>
  <si>
    <t>Icehouse 5.5</t>
  </si>
  <si>
    <t>Killian's</t>
  </si>
  <si>
    <t>King Cobra</t>
  </si>
  <si>
    <t>Labatt Blue</t>
  </si>
  <si>
    <t>Mich Amber Bock</t>
  </si>
  <si>
    <t>Mich Black &amp; Tan</t>
  </si>
  <si>
    <t>Mich Golden Draft</t>
  </si>
  <si>
    <t>25 Drinks</t>
  </si>
  <si>
    <t>26 Drinks</t>
  </si>
  <si>
    <t>27 Drinks</t>
  </si>
  <si>
    <t>28 Drinks</t>
  </si>
  <si>
    <t>29 Drinks</t>
  </si>
  <si>
    <t>30 Drinks</t>
  </si>
  <si>
    <t>31 Drinks</t>
  </si>
  <si>
    <t>32 Drinks</t>
  </si>
  <si>
    <t>33 Drinks</t>
  </si>
  <si>
    <t>34 Drinks</t>
  </si>
  <si>
    <t>35 Drinks</t>
  </si>
  <si>
    <t>36 Drinks</t>
  </si>
  <si>
    <t>Days of 40 DRINKS</t>
  </si>
  <si>
    <t>Days of 41 DRINKS</t>
  </si>
  <si>
    <t>Days of 42 DRINKS</t>
  </si>
  <si>
    <t>Days of 43 DRINKS</t>
  </si>
  <si>
    <t>26 oz = 17 1/3 standard drinks</t>
  </si>
  <si>
    <t>40 oz = 26 2/3 standard drinks</t>
  </si>
  <si>
    <t>• After you have finished reading this, please wait for the administrator to tell you what to do next.</t>
  </si>
  <si>
    <t>Subject</t>
  </si>
  <si>
    <t>Average Drinks Per week</t>
  </si>
  <si>
    <t>through</t>
  </si>
  <si>
    <t>Choose Interview</t>
  </si>
  <si>
    <t>Subject #</t>
  </si>
  <si>
    <t>age (yrs)</t>
  </si>
  <si>
    <t>height (cm)</t>
  </si>
  <si>
    <t>weight (Kg)</t>
  </si>
  <si>
    <t xml:space="preserve"> M or F</t>
  </si>
  <si>
    <t>enter:</t>
  </si>
  <si>
    <t>~Avg peak exposure/ drinking day: (mg%)</t>
  </si>
  <si>
    <t>Days with &gt; 80mg% exposure</t>
  </si>
  <si>
    <t>Version 3 Morphometric Transformation of   {height(cm), weight (Kg), age (yrs)},  for men and women, into Total Body Water (TBW: L)</t>
  </si>
  <si>
    <t>Then TBW(L) =</t>
  </si>
  <si>
    <t>Preparation</t>
  </si>
  <si>
    <t>Operation</t>
  </si>
  <si>
    <t>This sheet expresses exposure history by converting drinks to milligrams ethanol and dividing grams by Total Body Water(dL): (g/L)</t>
  </si>
  <si>
    <t>Greatest exposure in 1 day (mg%):</t>
  </si>
  <si>
    <t>Average Peak Exposure (mg%) by Weekday</t>
  </si>
  <si>
    <t>one 40 oz. Beer =3.3 drinks</t>
  </si>
  <si>
    <t>one small glass of wine = 1 drink</t>
  </si>
  <si>
    <t>one LARGE glass of wine = 2 drinks</t>
  </si>
  <si>
    <t>750 ml liquor = 20 drinks</t>
  </si>
  <si>
    <t>one pint = 13 drinks</t>
  </si>
  <si>
    <t>one shot = 1 drink</t>
  </si>
  <si>
    <t>incomplete</t>
  </si>
  <si>
    <t>entry</t>
  </si>
  <si>
    <t xml:space="preserve">   Drinking Days</t>
  </si>
  <si>
    <t>Count Table:   (row: # days per week drinking specified number of drinks per day  that week;   column:  week)</t>
  </si>
  <si>
    <t>third month back</t>
  </si>
  <si>
    <t>second month back</t>
  </si>
  <si>
    <t>current</t>
  </si>
  <si>
    <t>fourth month bacl</t>
  </si>
  <si>
    <t>Non DRINK DAYS</t>
  </si>
  <si>
    <t>Percent of 90 days</t>
  </si>
  <si>
    <t>DD by # D/DD</t>
  </si>
  <si>
    <t>total alcohol consumed:</t>
  </si>
  <si>
    <t>Kg</t>
  </si>
  <si>
    <t>Drinks consumed by day of week</t>
  </si>
  <si>
    <t>Number of Drinks by month</t>
  </si>
  <si>
    <t>gm etoh   by #D/DD</t>
  </si>
  <si>
    <t>zzzif(B74="","",IF(B74=0,0,1))</t>
  </si>
  <si>
    <t>zzzif(C74="","",IF(C74=0,0,1))</t>
  </si>
  <si>
    <t>zzzif(D74="","",IF(D74=0,0,1))</t>
  </si>
  <si>
    <t>zzzif(E74="","",IF(E74=0,0,1))</t>
  </si>
  <si>
    <t>zzzif(F74="","",IF(F74=0,0,1))</t>
  </si>
  <si>
    <t>zzzif(G74="","",IF(G74=0,0,1))</t>
  </si>
  <si>
    <t>zzzif(H74="","",IF(H74=0,0,1))</t>
  </si>
  <si>
    <t>zzzif(B77="","",IF(B77=0,0,1))</t>
  </si>
  <si>
    <t>zzzif(C77="","",IF(C77=0,0,1))</t>
  </si>
  <si>
    <t>zzzif(D77="","",IF(D77=0,0,1))</t>
  </si>
  <si>
    <t>zzzif(E77="","",IF(E77=0,0,1))</t>
  </si>
  <si>
    <t>zzzif(F77="","",IF(F77=0,0,1))</t>
  </si>
  <si>
    <t>zzzif(G77="","",IF(G77=0,0,1))</t>
  </si>
  <si>
    <t>zzzif(H77="","",IF(H77=0,0,1))</t>
  </si>
  <si>
    <t>zzzif(B80="","",IF(B80=0,0,1))</t>
  </si>
  <si>
    <t>zzzif(C80="","",IF(C80=0,0,1))</t>
  </si>
  <si>
    <t>zzzif(D80="","",IF(D80=0,0,1))</t>
  </si>
  <si>
    <t>zzzif(E80="","",IF(E80=0,0,1))</t>
  </si>
  <si>
    <t>zzzif(F80="","",IF(F80=0,0,1))</t>
  </si>
  <si>
    <t>zzzif(G80="","",IF(G80=0,0,1))</t>
  </si>
  <si>
    <t>zzzif(H80="","",IF(H80=0,0,1))</t>
  </si>
  <si>
    <t>zzzif(B83="","",IF(B83=0,0,1))</t>
  </si>
  <si>
    <t>zzzif(C83="","",IF(C83=0,0,1))</t>
  </si>
  <si>
    <t>zzzif(D83="","",IF(D83=0,0,1))</t>
  </si>
  <si>
    <t>zzzif(E83="","",IF(E83=0,0,1))</t>
  </si>
  <si>
    <t>zzzif(F83="","",IF(F83=0,0,1))</t>
  </si>
  <si>
    <t>zzzif(G83="","",IF(G83=0,0,1))</t>
  </si>
  <si>
    <t>zzzif(H83="","",IF(H83=0,0,1))</t>
  </si>
  <si>
    <t>zzzif(B86="","",IF(B86=0,0,1))</t>
  </si>
  <si>
    <t>zzzif(C86="","",IF(C86=0,0,1))</t>
  </si>
  <si>
    <t>zzzif(D86="","",IF(D86=0,0,1))</t>
  </si>
  <si>
    <t>zzzif(E86="","",IF(E86=0,0,1))</t>
  </si>
  <si>
    <t>zzzif(F86="","",IF(F86=0,0,1))</t>
  </si>
  <si>
    <t>zzzif(G86="","",IF(G86=0,0,1))</t>
  </si>
  <si>
    <t>zzzif(H86="","",IF(H86=0,0,1))</t>
  </si>
  <si>
    <t>zzzif(B53="","",IF(B53=0,0,1))</t>
  </si>
  <si>
    <t>zzzif(C53="","",IF(C53=0,0,1))</t>
  </si>
  <si>
    <t>zzzif(D53="","",IF(D53=0,0,1))</t>
  </si>
  <si>
    <t>zzzif(E53="","",IF(E53=0,0,1))</t>
  </si>
  <si>
    <t>zzzif(F53="","",IF(F53=0,0,1))</t>
  </si>
  <si>
    <t>zzzif(G53="","",IF(G53=0,0,1))</t>
  </si>
  <si>
    <t>zzzif(H53="","",IF(H53=0,0,1))</t>
  </si>
  <si>
    <t>zzzif(B56="","",IF(B56=0,0,1))</t>
  </si>
  <si>
    <t>zzzif(C56="","",IF(C56=0,0,1))</t>
  </si>
  <si>
    <t>zzzif(D56="","",IF(D56=0,0,1))</t>
  </si>
  <si>
    <t>zzzif(E56="","",IF(E56=0,0,1))</t>
  </si>
  <si>
    <t>zzzif(F56="","",IF(F56=0,0,1))</t>
  </si>
  <si>
    <t>zzzif(G56="","",IF(G56=0,0,1))</t>
  </si>
  <si>
    <t>zzzif(H56="","",IF(H56=0,0,1))</t>
  </si>
  <si>
    <t>zzzif(B59="","",IF(B59=0,0,1))</t>
  </si>
  <si>
    <t>zzzif(C59="","",IF(C59=0,0,1))</t>
  </si>
  <si>
    <t>zzzif(D59="","",IF(D59=0,0,1))</t>
  </si>
  <si>
    <t>zzzif(E59="","",IF(E59=0,0,1))</t>
  </si>
  <si>
    <t>zzzif(F59="","",IF(F59=0,0,1))</t>
  </si>
  <si>
    <t>zzzif(G59="","",IF(G59=0,0,1))</t>
  </si>
  <si>
    <t>zzzif(H59="","",IF(H59=0,0,1))</t>
  </si>
  <si>
    <t>zzzif(B62="","",IF(B62=0,0,1))</t>
  </si>
  <si>
    <t>zzzif(C62="","",IF(C62=0,0,1))</t>
  </si>
  <si>
    <t>zzzif(D62="","",IF(D62=0,0,1))</t>
  </si>
  <si>
    <t>zzzif(E62="","",IF(E62=0,0,1))</t>
  </si>
  <si>
    <t>zzzif(F62="","",IF(F62=0,0,1))</t>
  </si>
  <si>
    <t>zzzif(G62="","",IF(G62=0,0,1))</t>
  </si>
  <si>
    <t>zzzif(H62="","",IF(H62=0,0,1))</t>
  </si>
  <si>
    <t>zzzif(B65="","",IF(B65=0,0,1))</t>
  </si>
  <si>
    <t>zzzif(C65="","",IF(C65=0,0,1))</t>
  </si>
  <si>
    <t>zzzif(D65="","",IF(D65=0,0,1))</t>
  </si>
  <si>
    <t>zzzif(E65="","",IF(E65=0,0,1))</t>
  </si>
  <si>
    <t>zzzif(F65="","",IF(F65=0,0,1))</t>
  </si>
  <si>
    <t>zzzif(G65="","",IF(G65=0,0,1))</t>
  </si>
  <si>
    <t>zzzif(H65="","",IF(H65=0,0,1))</t>
  </si>
  <si>
    <t>zzzif(B32="","",IF(B32=0,0,1))</t>
  </si>
  <si>
    <t>zzzif(C32="","",IF(C32=0,0,1))</t>
  </si>
  <si>
    <t>zzzif(D32="","",IF(D32=0,0,1))</t>
  </si>
  <si>
    <t>zzzif(E32="","",IF(E32=0,0,1))</t>
  </si>
  <si>
    <t>zzzif(F32="","",IF(F32=0,0,1))</t>
  </si>
  <si>
    <t>zzzif(G32="","",IF(G32=0,0,1))</t>
  </si>
  <si>
    <t>zzzif(H32="","",IF(H32=0,0,1))</t>
  </si>
  <si>
    <t>zzzif(B35="","",IF(B35=0,0,1))</t>
  </si>
  <si>
    <t>zzzif(C35="","",IF(C35=0,0,1))</t>
  </si>
  <si>
    <t>zzzif(D35="","",IF(D35=0,0,1))</t>
  </si>
  <si>
    <t>zzzif(E35="","",IF(E35=0,0,1))</t>
  </si>
  <si>
    <t>zzzif(F35="","",IF(F35=0,0,1))</t>
  </si>
  <si>
    <t>zzzif(G35="","",IF(G35=0,0,1))</t>
  </si>
  <si>
    <t>zzzif(H35="","",IF(H35=0,0,1))</t>
  </si>
  <si>
    <t>zzzif(B38="","",IF(B38=0,0,1))</t>
  </si>
  <si>
    <t>zzzif(C38="","",IF(C38=0,0,1))</t>
  </si>
  <si>
    <t>zzzif(D38="","",IF(D38=0,0,1))</t>
  </si>
  <si>
    <t>zzzif(E38="","",IF(E38=0,0,1))</t>
  </si>
  <si>
    <t>zzzif(F38="","",IF(F38=0,0,1))</t>
  </si>
  <si>
    <t>zzzif(G38="","",IF(G38=0,0,1))</t>
  </si>
  <si>
    <t>zzzif(H38="","",IF(H38=0,0,1))</t>
  </si>
  <si>
    <t>zzzif(B41="","",IF(B41=0,0,1))</t>
  </si>
  <si>
    <t>zzzif(C41="","",IF(C41=0,0,1))</t>
  </si>
  <si>
    <t>zzzif(D41="","",IF(D41=0,0,1))</t>
  </si>
  <si>
    <t>zzzif(E41="","",IF(E41=0,0,1))</t>
  </si>
  <si>
    <t>zzzif(F41="","",IF(F41=0,0,1))</t>
  </si>
  <si>
    <t>zzzif(G41="","",IF(G41=0,0,1))</t>
  </si>
  <si>
    <t>zzzif(H41="","",IF(H41=0,0,1))</t>
  </si>
  <si>
    <t>zzzif(B44="","",IF(B44=0,0,1))</t>
  </si>
  <si>
    <t>zzzif(C44="","",IF(C44=0,0,1))</t>
  </si>
  <si>
    <t>zzzif(D44="","",IF(D44=0,0,1))</t>
  </si>
  <si>
    <t>zzzif(E44="","",IF(E44=0,0,1))</t>
  </si>
  <si>
    <t>zzzif(F44="","",IF(F44=0,0,1))</t>
  </si>
  <si>
    <t>zzzif(G44="","",IF(G44=0,0,1))</t>
  </si>
  <si>
    <t>zzzif(H44="","",IF(H44=0,0,1))</t>
  </si>
  <si>
    <t>zzzif(B11="","",IF(B11=0,0,1))</t>
  </si>
  <si>
    <t>zzzif(C11="","",IF(C11=0,0,1))</t>
  </si>
  <si>
    <t>zzzif(D11="","",IF(D11=0,0,1))</t>
  </si>
  <si>
    <t>zzzif(E11="","",IF(E11=0,0,1))</t>
  </si>
  <si>
    <t>zzzif(F11="","",IF(F11=0,0,1))</t>
  </si>
  <si>
    <t>zzzif(G11="","",IF(G11=0,0,1))</t>
  </si>
  <si>
    <t>zzzif(H11="","",IF(H11=0,0,1))</t>
  </si>
  <si>
    <t>zzzif(B14="","",IF(B14=0,0,1))</t>
  </si>
  <si>
    <t>zzzif(C14="","",IF(C14=0,0,1))</t>
  </si>
  <si>
    <t>zzzif(D14="","",IF(D14=0,0,1))</t>
  </si>
  <si>
    <t>zzzif(E14="","",IF(E14=0,0,1))</t>
  </si>
  <si>
    <t>zzzif(F14="","",IF(F14=0,0,1))</t>
  </si>
  <si>
    <t>zzzif(G14="","",IF(G14=0,0,1))</t>
  </si>
  <si>
    <t>zzzif(H14="","",IF(H14=0,0,1))</t>
  </si>
  <si>
    <t>zzzif(B17="","",IF(B17=0,0,1))</t>
  </si>
  <si>
    <t>zzzif(C17="","",IF(C17=0,0,1))</t>
  </si>
  <si>
    <t>zzzif(D17="","",IF(D17=0,0,1))</t>
  </si>
  <si>
    <t>zzzif(E17="","",IF(E17=0,0,1))</t>
  </si>
  <si>
    <t>zzzif(F17="","",IF(F17=0,0,1))</t>
  </si>
  <si>
    <t>zzzif(G17="","",IF(G17=0,0,1))</t>
  </si>
  <si>
    <t>zzzif(H17="","",IF(H17=0,0,1))</t>
  </si>
  <si>
    <t>zzzif(B20="","",IF(B20=0,0,1))</t>
  </si>
  <si>
    <t>zzzif(C20="","",IF(C20=0,0,1))</t>
  </si>
  <si>
    <t>zzzif(D20="","",IF(D20=0,0,1))</t>
  </si>
  <si>
    <t>zzzif(E20="","",IF(E20=0,0,1))</t>
  </si>
  <si>
    <t>zzzif(F20="","",IF(F20=0,0,1))</t>
  </si>
  <si>
    <t>zzzif(G20="","",IF(G20=0,0,1))</t>
  </si>
  <si>
    <t>zzzif(H20="","",IF(H20=0,0,1))</t>
  </si>
  <si>
    <t>zzzif(B23="","",IF(B23=0,0,1))</t>
  </si>
  <si>
    <t>zzzif(C23="","",IF(C23=0,0,1))</t>
  </si>
  <si>
    <t>zzzif(D23="","",IF(D23=0,0,1))</t>
  </si>
  <si>
    <t>zzzif(E23="","",IF(E23=0,0,1))</t>
  </si>
  <si>
    <t>zzzif(F23="","",IF(F23=0,0,1))</t>
  </si>
  <si>
    <t>zzzif(G23="","",IF(G23=0,0,1))</t>
  </si>
  <si>
    <t>zzzif(H23="","",IF(H23=0,0,1))</t>
  </si>
  <si>
    <t>Abstinent days(0) Drinking days(1)  on sequential days; blanks not in 90-day range</t>
  </si>
  <si>
    <t>duration of abstinence intervals</t>
  </si>
  <si>
    <t>duration of abstinence interval-    days</t>
  </si>
  <si>
    <t>&gt;15</t>
  </si>
  <si>
    <t xml:space="preserve">total </t>
  </si>
  <si>
    <t>Total grams ethanol/90 days:</t>
  </si>
  <si>
    <t># of abstinent days:</t>
  </si>
  <si>
    <t>Drinks / 90 days:</t>
  </si>
  <si>
    <t>mean Drinks Per week</t>
  </si>
  <si>
    <t>sum??</t>
  </si>
  <si>
    <t>STOP HERE &amp; notify Tech</t>
  </si>
  <si>
    <t>Analysis of # days drinking specific # drinks &amp; gm consumed</t>
  </si>
  <si>
    <t># occurrences at duration</t>
  </si>
  <si>
    <t># days at duration</t>
  </si>
  <si>
    <t xml:space="preserve"> ARC BRACS/PAR</t>
  </si>
  <si>
    <t>AO formulae</t>
  </si>
  <si>
    <t>test</t>
  </si>
  <si>
    <t>Drinking Category Graph</t>
  </si>
  <si>
    <t>D_INT_30D</t>
  </si>
  <si>
    <t>Total number of drinks in the 30 days before interview</t>
  </si>
  <si>
    <t>DD_INT_30D</t>
  </si>
  <si>
    <t>Total number of drinking days in the 30 days before interview</t>
  </si>
  <si>
    <t>D_DD_INT_30D</t>
  </si>
  <si>
    <t>Drinks per Drinking Day in the 30 days before interview (D_INT_30D/DD_INT_30D)</t>
  </si>
  <si>
    <t>HDD_INT_30D</t>
  </si>
  <si>
    <t>Total number of heavy drinking days in the 30 days before interview</t>
  </si>
  <si>
    <t xml:space="preserve">age: </t>
  </si>
  <si>
    <t xml:space="preserve">height (cm): </t>
  </si>
  <si>
    <t xml:space="preserve">weight (kg): </t>
  </si>
  <si>
    <t xml:space="preserve">TBW (L): </t>
  </si>
  <si>
    <t xml:space="preserve">Intensity of D/DD: </t>
  </si>
  <si>
    <t xml:space="preserve">Pattern of drinking is: </t>
  </si>
  <si>
    <t>Avg Drinks/Drinking Day:</t>
  </si>
  <si>
    <t xml:space="preserve">Jim:  Please password protect the sheet (password = bp90) but leave the following ranges accessable:  b6,c5, e6, f6, L5,L6, N5   and the twenty        14-cell ranges (Bxx:Hzz) where zz=xx+1   and xx includes 12,13,16,19,22,  31,34,37,40,43,  52,55,58,61,64,   73,76,79,82,95 </t>
  </si>
  <si>
    <t>Tot_BW</t>
  </si>
  <si>
    <r>
      <t xml:space="preserve">Interview </t>
    </r>
    <r>
      <rPr>
        <b/>
        <sz val="10"/>
        <color rgb="FFFF0000"/>
        <rFont val="Arial"/>
        <family val="2"/>
      </rPr>
      <t>TLFB_Date</t>
    </r>
    <r>
      <rPr>
        <b/>
        <sz val="10"/>
        <rFont val="Arial"/>
        <family val="2"/>
      </rPr>
      <t>:</t>
    </r>
  </si>
  <si>
    <t>Drinks_90Tot</t>
  </si>
  <si>
    <t>Ddays</t>
  </si>
  <si>
    <t>NoHvy_Ddays</t>
  </si>
  <si>
    <t>Avg_drinkswk</t>
  </si>
  <si>
    <t>Avg_drinksDDay</t>
  </si>
  <si>
    <t>Kg_Alc90</t>
  </si>
  <si>
    <t>Great_drink</t>
  </si>
  <si>
    <t>Int_Dday</t>
  </si>
  <si>
    <t>NoAbs</t>
  </si>
  <si>
    <t>Pat_drink</t>
  </si>
  <si>
    <t>Variables</t>
  </si>
  <si>
    <t>Avg. Heavy Drinking Days per Week:</t>
  </si>
  <si>
    <t>Avg_Hvy_drinkswk</t>
  </si>
  <si>
    <t>35-day TLFB</t>
  </si>
  <si>
    <r>
      <rPr>
        <b/>
        <sz val="14"/>
        <rFont val="Arial"/>
        <family val="2"/>
      </rPr>
      <t xml:space="preserve">   </t>
    </r>
    <r>
      <rPr>
        <b/>
        <u/>
        <sz val="14"/>
        <rFont val="Arial"/>
        <family val="2"/>
      </rPr>
      <t>Heavy Drinking Days last 35 days:</t>
    </r>
  </si>
  <si>
    <t>Kg alcohol consumed last 35 days:</t>
  </si>
  <si>
    <t>35 Days Back</t>
  </si>
  <si>
    <t>Male</t>
  </si>
  <si>
    <t>Now I would like you to think back to when you took your first drink. Do you remember the circumstances when you took your first drink?</t>
  </si>
  <si>
    <t>How old were you then?</t>
  </si>
  <si>
    <t>What did you drink?</t>
  </si>
  <si>
    <t>How much did you drink?</t>
  </si>
  <si>
    <t>When you started drinking regularly, what did you usually drink?</t>
  </si>
  <si>
    <t>Beer</t>
  </si>
  <si>
    <t>Liquor</t>
  </si>
  <si>
    <t>Other</t>
  </si>
  <si>
    <t>Did you usually drink alone?</t>
  </si>
  <si>
    <t>On what type of social occasions did you drink, if any?</t>
  </si>
  <si>
    <t>During what time of day would you do most of your drinking?  Please give the percentage of time during the morning, afternoon, and evening.</t>
  </si>
  <si>
    <t>1or&lt;/wk</t>
  </si>
  <si>
    <t>2-7/wk</t>
  </si>
  <si>
    <t>8-14/wk</t>
  </si>
  <si>
    <t>15-21/wk</t>
  </si>
  <si>
    <t>22-28/wk</t>
  </si>
  <si>
    <t>29-35/wk</t>
  </si>
  <si>
    <t>35+/wk</t>
  </si>
  <si>
    <t>Drinks/week</t>
  </si>
  <si>
    <t>If we say that drinking regularly is to have some form of alcohol at least once a month, can you remember when you first started drinking regularly?</t>
  </si>
  <si>
    <t>Total Drinks:</t>
  </si>
  <si>
    <t>Added lifetime drinking output to summary</t>
  </si>
  <si>
    <t>During the first year that you drank regularly, how much would you say that you drank per week (Drinks/days)?</t>
  </si>
  <si>
    <t>LDH_Years drinking:</t>
  </si>
  <si>
    <t>LDH_Total Drinks:</t>
  </si>
  <si>
    <t>LDH_Drinks  per week:</t>
  </si>
  <si>
    <t>LDH_Drinks per drinking day:</t>
  </si>
  <si>
    <t>LDH_Duration</t>
  </si>
  <si>
    <t>LDH_TotDrinks</t>
  </si>
  <si>
    <t>LDH_DrinksWk</t>
  </si>
  <si>
    <t>LDH_D/DD</t>
  </si>
  <si>
    <t>LDH_Days/WK</t>
  </si>
  <si>
    <t>Added LDH</t>
  </si>
  <si>
    <t>Added data validation input messages to LDH</t>
  </si>
  <si>
    <t>Changed name of 90 day tlfb data sheet to "tlfb data"</t>
  </si>
  <si>
    <t>Added version sheet</t>
  </si>
  <si>
    <t>/</t>
  </si>
  <si>
    <t>ALCOHOL Study</t>
  </si>
  <si>
    <t>Time-Line Follow Back</t>
  </si>
  <si>
    <t>Fixed conditional formatting in 3rd calendar from top</t>
  </si>
  <si>
    <t>Added formula to calculate month</t>
  </si>
  <si>
    <t>1. Ask questions above</t>
  </si>
  <si>
    <t>2. Verify onset drinking year and latest drinking year, and replace formula numbers if different.</t>
  </si>
  <si>
    <t>3. Complete interim years</t>
  </si>
  <si>
    <t>version 20160520, 2015</t>
  </si>
  <si>
    <t>K7 to K68</t>
  </si>
  <si>
    <t>corrected version 20170310</t>
  </si>
  <si>
    <t>Fixed errors in HDD formulas (see coding revision worksheet)</t>
  </si>
  <si>
    <t>Added coding revision sheet</t>
  </si>
  <si>
    <t>effect of revision</t>
  </si>
  <si>
    <t>includes 5 drinks for males and 4 drinks for females as HDD's; previous version did not count 5 drink days for males and 4 drink days for females as HDD's</t>
  </si>
  <si>
    <t>includes 4 drinks for females as HDD's; previous version did not count 4 drink days for females as HDD's</t>
  </si>
  <si>
    <t>includes males and females; previous version considered all subjects female; includes 4 drinks for females as HDD's; previous version did not count 4 drink days for females as HDD's</t>
  </si>
  <si>
    <t>K7 to K88</t>
  </si>
  <si>
    <t>(IF($E$6="Male",COUNTIF($B65:$H65,"&gt;4"),COUNTIF($B65:$H65,"&gt;3")))</t>
  </si>
  <si>
    <t>(IF($E$6="Male",COUNTIF($B59:$H59,"&gt;4"),COUNTIF($B59:$H59,"&gt;3")))</t>
  </si>
  <si>
    <t>(IF($E$6="Male",COUNTIF($B56:$H56,"&gt;4"),COUNTIF($B56:$H56,"&gt;3")))</t>
  </si>
  <si>
    <t>(IF($E$6="Male",COUNTIF($B53:$H53,"&gt;4"),COUNTIF($B53:$H53,"&gt;3")))</t>
  </si>
  <si>
    <t>(IF($E$6="Male",COUNTIF($B62:$H62,"&gt;4"),COUNTIF($B62:$H62,"&gt;3")))</t>
  </si>
  <si>
    <t>(IF($E$6="Male",COUNTIF($B74:$H74,"&gt;4"),COUNTIF($B74:$H74,"&gt;3")))</t>
  </si>
  <si>
    <t>(IF($E$6="Male",COUNTIF($B77:$H77,"&gt;4"),COUNTIF($B77:$H77,"&gt;3")))</t>
  </si>
  <si>
    <t>(IF($E$6="Male",COUNTIF($B80:$H80,"&gt;4"),COUNTIF($B80:$H80,"&gt;3")))</t>
  </si>
  <si>
    <t>(IF($E$6="Male",COUNTIF($B83:$H83,"&gt;4"),COUNTIF($B83:$H83,"&gt;3")))</t>
  </si>
  <si>
    <t>(IF($E$6="Male",COUNTIF($B86:$H86,"&gt;4"),COUNTIF($B86:$H86,"&gt;3")))</t>
  </si>
  <si>
    <t>(IF($E$6="Male",COUNTIF($B11:$H11,"&gt;4"),COUNTIF($B11:$H11,"&gt;3")))</t>
  </si>
  <si>
    <t>(IF($E$6="Male",COUNTIF($B14:$H14,"&gt;4"),COUNTIF($B14:$H14,"&gt;3")))</t>
  </si>
  <si>
    <t>(IF($E$6="Male",COUNTIF($B17:$H17,"&gt;4"),COUNTIF($B17:$H17,"&gt;3")))</t>
  </si>
  <si>
    <t>(IF($E$6="Male",COUNTIF($B20:$H20,"&gt;4"),COUNTIF($B20:$H20,"&gt;3")))</t>
  </si>
  <si>
    <t>(IF($E$6="Male",COUNTIF($B23:$H23,"&gt;4"),COUNTIF($B23:$H23,"&gt;3")))</t>
  </si>
  <si>
    <t>(IF($E$6="Male",COUNTIF($B32:$H32,"&gt;4"),COUNTIF($B32:$H32,"&gt;3")))</t>
  </si>
  <si>
    <t>(IF($E$6="Male",COUNTIF($B35:$H35,"&gt;4"),COUNTIF($B35:$H35,"&gt;3")))</t>
  </si>
  <si>
    <t>(IF($E$6="Male",COUNTIF($B38:$H38,"&gt;4"),COUNTIF($B38:$H38,"&gt;3")))</t>
  </si>
  <si>
    <t>(IF($E$6="Male",COUNTIF($B41:$H41,"&gt;4"),COUNTIF($B41:$H41,"&gt;3")))</t>
  </si>
  <si>
    <t>(IF($E$6="Male",COUNTIF($B44:$H44,"&gt;4"),COUNTIF($B44:$H44,"&gt;3")))</t>
  </si>
  <si>
    <t>"=" removed so as not to create circular reference</t>
  </si>
  <si>
    <t>LDH_Total KG's:</t>
  </si>
  <si>
    <t>Added LDH Total KG's stat</t>
  </si>
  <si>
    <t>Days/week</t>
  </si>
  <si>
    <t>Fixed LDH to better accommodate new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</si>
</sst>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m/d"/>
    <numFmt numFmtId="165" formatCode="&quot;$&quot;#,##0.00"/>
    <numFmt numFmtId="166" formatCode="mmmm\ yyyy"/>
    <numFmt numFmtId="167" formatCode="d;d;;"/>
    <numFmt numFmtId="168" formatCode="d"/>
    <numFmt numFmtId="169" formatCode="0.0"/>
    <numFmt numFmtId="170" formatCode="#,##0.0"/>
    <numFmt numFmtId="171" formatCode="m/d/yy;@"/>
  </numFmts>
  <fonts count="111">
    <font>
      <sz val="10"/>
      <name val="Verdana"/>
    </font>
    <font>
      <sz val="10"/>
      <name val="Verdana"/>
      <family val="2"/>
    </font>
    <font>
      <sz val="10"/>
      <name val="Verdana"/>
      <family val="2"/>
    </font>
    <font>
      <i/>
      <sz val="10"/>
      <name val="Verdana"/>
      <family val="2"/>
    </font>
    <font>
      <b/>
      <sz val="10"/>
      <name val="Verdana"/>
      <family val="2"/>
    </font>
    <font>
      <sz val="10"/>
      <color indexed="47"/>
      <name val="Verdana"/>
      <family val="2"/>
    </font>
    <font>
      <sz val="10"/>
      <color indexed="9"/>
      <name val="Verdana"/>
      <family val="2"/>
    </font>
    <font>
      <b/>
      <sz val="10"/>
      <color indexed="9"/>
      <name val="Verdana"/>
      <family val="2"/>
    </font>
    <font>
      <b/>
      <sz val="10"/>
      <color indexed="61"/>
      <name val="Verdana"/>
      <family val="2"/>
    </font>
    <font>
      <b/>
      <sz val="10"/>
      <color indexed="51"/>
      <name val="Verdana"/>
      <family val="2"/>
    </font>
    <font>
      <sz val="10"/>
      <color indexed="60"/>
      <name val="Verdana"/>
      <family val="2"/>
    </font>
    <font>
      <sz val="10"/>
      <color indexed="62"/>
      <name val="Verdana"/>
      <family val="2"/>
    </font>
    <font>
      <b/>
      <sz val="10"/>
      <color indexed="54"/>
      <name val="Verdana"/>
      <family val="2"/>
    </font>
    <font>
      <b/>
      <sz val="10"/>
      <color indexed="53"/>
      <name val="Verdana"/>
      <family val="2"/>
    </font>
    <font>
      <sz val="10"/>
      <color indexed="46"/>
      <name val="Verdana"/>
      <family val="2"/>
    </font>
    <font>
      <sz val="8"/>
      <name val="Verdana"/>
      <family val="2"/>
    </font>
    <font>
      <b/>
      <i/>
      <sz val="10"/>
      <name val="Verdana"/>
      <family val="2"/>
    </font>
    <font>
      <u/>
      <sz val="10"/>
      <color indexed="12"/>
      <name val="Verdana"/>
      <family val="2"/>
    </font>
    <font>
      <sz val="8"/>
      <color indexed="16"/>
      <name val="Verdana"/>
      <family val="2"/>
    </font>
    <font>
      <b/>
      <sz val="14"/>
      <color indexed="16"/>
      <name val="Verdana"/>
      <family val="2"/>
    </font>
    <font>
      <b/>
      <sz val="16"/>
      <color indexed="48"/>
      <name val="Comic Sans MS"/>
      <family val="4"/>
    </font>
    <font>
      <sz val="10"/>
      <color indexed="48"/>
      <name val="Comic Sans MS"/>
      <family val="4"/>
    </font>
    <font>
      <b/>
      <sz val="10"/>
      <name val="Comic Sans MS"/>
      <family val="4"/>
    </font>
    <font>
      <sz val="9"/>
      <name val="Verdana"/>
      <family val="2"/>
    </font>
    <font>
      <b/>
      <sz val="9"/>
      <name val="Verdana"/>
      <family val="2"/>
    </font>
    <font>
      <b/>
      <sz val="9"/>
      <name val="Comic Sans MS"/>
      <family val="4"/>
    </font>
    <font>
      <b/>
      <u/>
      <sz val="12"/>
      <name val="Arial"/>
      <family val="2"/>
    </font>
    <font>
      <b/>
      <u/>
      <sz val="11"/>
      <name val="Arial"/>
      <family val="2"/>
    </font>
    <font>
      <b/>
      <sz val="10"/>
      <name val="Arial"/>
      <family val="2"/>
    </font>
    <font>
      <u/>
      <sz val="10"/>
      <name val="Arial"/>
      <family val="2"/>
    </font>
    <font>
      <b/>
      <sz val="11"/>
      <color indexed="12"/>
      <name val="Verdana"/>
      <family val="2"/>
    </font>
    <font>
      <sz val="11"/>
      <name val="Arial"/>
      <family val="2"/>
    </font>
    <font>
      <u/>
      <sz val="11"/>
      <name val="Arial"/>
      <family val="2"/>
    </font>
    <font>
      <b/>
      <sz val="12"/>
      <name val="Times"/>
      <family val="1"/>
    </font>
    <font>
      <sz val="8"/>
      <name val="Verdana"/>
      <family val="2"/>
    </font>
    <font>
      <b/>
      <sz val="9"/>
      <name val="Geneva"/>
    </font>
    <font>
      <sz val="10"/>
      <name val="Helvetica"/>
      <family val="2"/>
    </font>
    <font>
      <u/>
      <sz val="10"/>
      <name val="Helvetica"/>
      <family val="2"/>
    </font>
    <font>
      <sz val="10"/>
      <name val="Wingdings"/>
      <charset val="2"/>
    </font>
    <font>
      <sz val="7"/>
      <name val="Times New Roman"/>
      <family val="1"/>
    </font>
    <font>
      <sz val="12"/>
      <name val="Wingdings"/>
      <charset val="2"/>
    </font>
    <font>
      <b/>
      <sz val="12"/>
      <name val="Helvetica"/>
      <family val="2"/>
    </font>
    <font>
      <sz val="14"/>
      <name val="Helvetica"/>
      <family val="2"/>
    </font>
    <font>
      <b/>
      <sz val="10"/>
      <name val="Helvetica"/>
      <family val="2"/>
    </font>
    <font>
      <b/>
      <sz val="11"/>
      <name val="Helvetica"/>
      <family val="2"/>
    </font>
    <font>
      <i/>
      <sz val="10"/>
      <name val="Helvetica"/>
      <family val="2"/>
    </font>
    <font>
      <b/>
      <u/>
      <sz val="12"/>
      <name val="Helvetica"/>
      <family val="2"/>
    </font>
    <font>
      <b/>
      <sz val="14"/>
      <name val="Helvetica"/>
      <family val="2"/>
    </font>
    <font>
      <b/>
      <u/>
      <sz val="10"/>
      <name val="Helvetica"/>
      <family val="2"/>
    </font>
    <font>
      <b/>
      <u/>
      <sz val="10"/>
      <name val="Verdana"/>
      <family val="2"/>
    </font>
    <font>
      <b/>
      <sz val="11.5"/>
      <name val="Helvetica"/>
      <family val="2"/>
    </font>
    <font>
      <sz val="11"/>
      <name val="Verdana"/>
      <family val="2"/>
    </font>
    <font>
      <u/>
      <sz val="14"/>
      <name val="Helvetica"/>
      <family val="2"/>
    </font>
    <font>
      <b/>
      <sz val="10"/>
      <color indexed="12"/>
      <name val="Verdana"/>
      <family val="2"/>
    </font>
    <font>
      <b/>
      <sz val="11"/>
      <name val="Arial"/>
      <family val="2"/>
    </font>
    <font>
      <sz val="10"/>
      <color indexed="9"/>
      <name val="Verdana"/>
      <family val="2"/>
    </font>
    <font>
      <b/>
      <u/>
      <sz val="12"/>
      <name val="Verdana"/>
      <family val="2"/>
    </font>
    <font>
      <b/>
      <sz val="12"/>
      <name val="Verdana"/>
      <family val="2"/>
    </font>
    <font>
      <sz val="10"/>
      <color rgb="FFFF0000"/>
      <name val="Verdana"/>
      <family val="2"/>
    </font>
    <font>
      <sz val="10"/>
      <color theme="0"/>
      <name val="Verdana"/>
      <family val="2"/>
    </font>
    <font>
      <b/>
      <u/>
      <sz val="8"/>
      <color theme="0"/>
      <name val="Arial"/>
      <family val="2"/>
    </font>
    <font>
      <b/>
      <sz val="9"/>
      <color theme="0"/>
      <name val="Comic Sans MS"/>
      <family val="4"/>
    </font>
    <font>
      <b/>
      <sz val="11"/>
      <color theme="0"/>
      <name val="Verdana"/>
      <family val="2"/>
    </font>
    <font>
      <sz val="12"/>
      <name val="Verdana"/>
      <family val="2"/>
    </font>
    <font>
      <sz val="16"/>
      <name val="Arial"/>
      <family val="2"/>
    </font>
    <font>
      <b/>
      <sz val="12"/>
      <name val="Arial"/>
      <family val="2"/>
    </font>
    <font>
      <b/>
      <u/>
      <sz val="14"/>
      <name val="Arial"/>
      <family val="2"/>
    </font>
    <font>
      <b/>
      <u/>
      <sz val="14"/>
      <name val="Geneva"/>
    </font>
    <font>
      <b/>
      <sz val="14"/>
      <name val="Arial"/>
      <family val="2"/>
    </font>
    <font>
      <b/>
      <sz val="16"/>
      <name val="Arial"/>
      <family val="2"/>
    </font>
    <font>
      <b/>
      <sz val="12"/>
      <color theme="3" tint="0.39997558519241921"/>
      <name val="Verdana"/>
      <family val="2"/>
    </font>
    <font>
      <sz val="12"/>
      <name val="Arial"/>
      <family val="2"/>
    </font>
    <font>
      <b/>
      <sz val="14"/>
      <color theme="3" tint="0.39997558519241921"/>
      <name val="Verdana"/>
      <family val="2"/>
    </font>
    <font>
      <sz val="16"/>
      <color theme="0"/>
      <name val="Verdana"/>
      <family val="2"/>
    </font>
    <font>
      <b/>
      <sz val="11"/>
      <color indexed="81"/>
      <name val="Tahoma"/>
      <family val="2"/>
    </font>
    <font>
      <sz val="11"/>
      <color indexed="81"/>
      <name val="Tahoma"/>
      <family val="2"/>
    </font>
    <font>
      <u/>
      <sz val="11"/>
      <color indexed="81"/>
      <name val="Tahoma"/>
      <family val="2"/>
    </font>
    <font>
      <sz val="10"/>
      <color rgb="FFC00000"/>
      <name val="Verdana"/>
      <family val="2"/>
    </font>
    <font>
      <b/>
      <sz val="10"/>
      <color theme="1"/>
      <name val="Verdana"/>
      <family val="2"/>
    </font>
    <font>
      <sz val="10"/>
      <color theme="1"/>
      <name val="Verdana"/>
      <family val="2"/>
    </font>
    <font>
      <b/>
      <sz val="7"/>
      <color theme="1"/>
      <name val="Verdana"/>
      <family val="2"/>
    </font>
    <font>
      <sz val="10"/>
      <color theme="7" tint="0.39997558519241921"/>
      <name val="Verdana"/>
      <family val="2"/>
    </font>
    <font>
      <b/>
      <sz val="12"/>
      <color indexed="12"/>
      <name val="Arial"/>
      <family val="2"/>
    </font>
    <font>
      <b/>
      <sz val="12"/>
      <color theme="1"/>
      <name val="Arial"/>
      <family val="2"/>
    </font>
    <font>
      <b/>
      <sz val="18"/>
      <name val="Arial"/>
      <family val="2"/>
    </font>
    <font>
      <sz val="18"/>
      <name val="Verdana"/>
      <family val="2"/>
    </font>
    <font>
      <b/>
      <sz val="18"/>
      <color theme="0" tint="-4.9989318521683403E-2"/>
      <name val="Arial"/>
      <family val="2"/>
    </font>
    <font>
      <sz val="18"/>
      <color theme="0" tint="-4.9989318521683403E-2"/>
      <name val="Verdana"/>
      <family val="2"/>
    </font>
    <font>
      <b/>
      <sz val="14"/>
      <color theme="0"/>
      <name val="Verdana"/>
      <family val="2"/>
    </font>
    <font>
      <b/>
      <sz val="10"/>
      <color theme="0"/>
      <name val="Verdana"/>
      <family val="2"/>
    </font>
    <font>
      <sz val="10"/>
      <color theme="0"/>
      <name val="Times New Roman"/>
      <family val="1"/>
    </font>
    <font>
      <b/>
      <sz val="10"/>
      <color theme="0"/>
      <name val="Times New Roman"/>
      <family val="1"/>
    </font>
    <font>
      <sz val="10"/>
      <color theme="0" tint="-4.9989318521683403E-2"/>
      <name val="Verdana"/>
      <family val="2"/>
    </font>
    <font>
      <sz val="16"/>
      <color theme="1"/>
      <name val="Arial"/>
      <family val="2"/>
    </font>
    <font>
      <b/>
      <sz val="16"/>
      <color theme="1"/>
      <name val="Arial"/>
      <family val="2"/>
    </font>
    <font>
      <sz val="11"/>
      <color theme="0" tint="-4.9989318521683403E-2"/>
      <name val="Calibri"/>
      <family val="2"/>
    </font>
    <font>
      <b/>
      <sz val="8"/>
      <name val="Verdana"/>
      <family val="2"/>
    </font>
    <font>
      <b/>
      <u/>
      <sz val="14"/>
      <color theme="1"/>
      <name val="Arial"/>
      <family val="2"/>
    </font>
    <font>
      <b/>
      <sz val="11"/>
      <name val="Verdana"/>
      <family val="2"/>
    </font>
    <font>
      <sz val="11"/>
      <color rgb="FF000000"/>
      <name val="Calibri"/>
      <family val="2"/>
    </font>
    <font>
      <sz val="11"/>
      <color rgb="FFFF0000"/>
      <name val="Calibri"/>
      <family val="2"/>
    </font>
    <font>
      <sz val="26"/>
      <color rgb="FFFF0000"/>
      <name val="Verdana"/>
      <family val="2"/>
    </font>
    <font>
      <sz val="16"/>
      <color theme="1"/>
      <name val="Verdana"/>
      <family val="2"/>
    </font>
    <font>
      <b/>
      <sz val="9"/>
      <color theme="1"/>
      <name val="Verdana"/>
      <family val="2"/>
    </font>
    <font>
      <b/>
      <sz val="11"/>
      <color theme="1"/>
      <name val="Verdana"/>
      <family val="2"/>
    </font>
    <font>
      <sz val="11"/>
      <color theme="1"/>
      <name val="Verdana"/>
      <family val="2"/>
    </font>
    <font>
      <b/>
      <sz val="12"/>
      <color rgb="FFFF0000"/>
      <name val="Verdana"/>
      <family val="2"/>
    </font>
    <font>
      <b/>
      <sz val="10"/>
      <color rgb="FFFF0000"/>
      <name val="Arial"/>
      <family val="2"/>
    </font>
    <font>
      <b/>
      <sz val="14"/>
      <color rgb="FFFF0000"/>
      <name val="Arial"/>
      <family val="2"/>
    </font>
    <font>
      <b/>
      <sz val="10"/>
      <color rgb="FFFF0000"/>
      <name val="Verdana"/>
      <family val="2"/>
    </font>
    <font>
      <sz val="10"/>
      <color rgb="FFFF0000"/>
      <name val="Times New Roman"/>
      <family val="1"/>
    </font>
  </fonts>
  <fills count="29">
    <fill>
      <patternFill patternType="none"/>
    </fill>
    <fill>
      <patternFill patternType="gray125"/>
    </fill>
    <fill>
      <patternFill patternType="solid">
        <fgColor indexed="46"/>
        <bgColor indexed="64"/>
      </patternFill>
    </fill>
    <fill>
      <patternFill patternType="solid">
        <fgColor indexed="22"/>
        <bgColor indexed="64"/>
      </patternFill>
    </fill>
    <fill>
      <patternFill patternType="solid">
        <fgColor indexed="47"/>
        <bgColor indexed="64"/>
      </patternFill>
    </fill>
    <fill>
      <patternFill patternType="solid">
        <fgColor indexed="44"/>
        <bgColor indexed="64"/>
      </patternFill>
    </fill>
    <fill>
      <patternFill patternType="solid">
        <fgColor indexed="9"/>
        <bgColor indexed="64"/>
      </patternFill>
    </fill>
    <fill>
      <patternFill patternType="solid">
        <fgColor indexed="51"/>
        <bgColor indexed="64"/>
      </patternFill>
    </fill>
    <fill>
      <patternFill patternType="solid">
        <fgColor indexed="60"/>
        <bgColor indexed="64"/>
      </patternFill>
    </fill>
    <fill>
      <patternFill patternType="solid">
        <fgColor indexed="53"/>
        <bgColor indexed="64"/>
      </patternFill>
    </fill>
    <fill>
      <patternFill patternType="solid">
        <fgColor indexed="52"/>
        <bgColor indexed="64"/>
      </patternFill>
    </fill>
    <fill>
      <patternFill patternType="solid">
        <fgColor indexed="62"/>
        <bgColor indexed="64"/>
      </patternFill>
    </fill>
    <fill>
      <patternFill patternType="solid">
        <fgColor indexed="54"/>
        <bgColor indexed="64"/>
      </patternFill>
    </fill>
    <fill>
      <patternFill patternType="solid">
        <fgColor indexed="20"/>
        <bgColor indexed="64"/>
      </patternFill>
    </fill>
    <fill>
      <patternFill patternType="solid">
        <fgColor indexed="61"/>
        <bgColor indexed="64"/>
      </patternFill>
    </fill>
    <fill>
      <patternFill patternType="solid">
        <fgColor indexed="43"/>
        <bgColor indexed="64"/>
      </patternFill>
    </fill>
    <fill>
      <patternFill patternType="solid">
        <fgColor indexed="42"/>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0" tint="-4.9989318521683403E-2"/>
        <bgColor indexed="64"/>
      </patternFill>
    </fill>
  </fills>
  <borders count="59">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55"/>
      </left>
      <right style="thin">
        <color indexed="55"/>
      </right>
      <top style="thin">
        <color indexed="55"/>
      </top>
      <bottom style="thin">
        <color indexed="55"/>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ck">
        <color indexed="64"/>
      </left>
      <right/>
      <top style="thick">
        <color indexed="64"/>
      </top>
      <bottom style="thick">
        <color indexed="64"/>
      </bottom>
      <diagonal/>
    </border>
    <border>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ck">
        <color indexed="64"/>
      </top>
      <bottom style="thick">
        <color indexed="64"/>
      </bottom>
      <diagonal/>
    </border>
    <border>
      <left style="medium">
        <color indexed="64"/>
      </left>
      <right/>
      <top style="thin">
        <color indexed="64"/>
      </top>
      <bottom/>
      <diagonal/>
    </border>
    <border>
      <left style="thin">
        <color indexed="64"/>
      </left>
      <right/>
      <top/>
      <bottom style="medium">
        <color indexed="64"/>
      </bottom>
      <diagonal/>
    </border>
    <border>
      <left style="medium">
        <color rgb="FFFF0000"/>
      </left>
      <right style="medium">
        <color rgb="FFFF0000"/>
      </right>
      <top style="medium">
        <color rgb="FFFF0000"/>
      </top>
      <bottom style="medium">
        <color rgb="FFFF0000"/>
      </bottom>
      <diagonal/>
    </border>
    <border>
      <left style="medium">
        <color rgb="FFFF0000"/>
      </left>
      <right style="medium">
        <color rgb="FFFF0000"/>
      </right>
      <top/>
      <bottom style="medium">
        <color rgb="FFFF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alignment vertical="top"/>
      <protection locked="0"/>
    </xf>
  </cellStyleXfs>
  <cellXfs count="529">
    <xf numFmtId="0" fontId="0" fillId="0" borderId="0" xfId="0"/>
    <xf numFmtId="0" fontId="0" fillId="0" borderId="0" xfId="0" applyBorder="1"/>
    <xf numFmtId="0" fontId="0" fillId="0" borderId="0" xfId="0" applyProtection="1">
      <protection hidden="1"/>
    </xf>
    <xf numFmtId="0" fontId="24" fillId="0" borderId="0" xfId="0" applyFont="1" applyProtection="1">
      <protection hidden="1"/>
    </xf>
    <xf numFmtId="167" fontId="25" fillId="0" borderId="2" xfId="0" applyNumberFormat="1" applyFont="1" applyBorder="1" applyAlignment="1" applyProtection="1">
      <alignment horizontal="left"/>
      <protection hidden="1"/>
    </xf>
    <xf numFmtId="168" fontId="25" fillId="0" borderId="2" xfId="0" applyNumberFormat="1" applyFont="1" applyBorder="1" applyAlignment="1" applyProtection="1">
      <alignment horizontal="left"/>
      <protection hidden="1"/>
    </xf>
    <xf numFmtId="0" fontId="24" fillId="0" borderId="0" xfId="0" applyFont="1" applyAlignment="1" applyProtection="1">
      <alignment horizontal="center"/>
      <protection hidden="1"/>
    </xf>
    <xf numFmtId="0" fontId="23" fillId="0" borderId="0" xfId="0" applyFont="1" applyFill="1" applyProtection="1">
      <protection hidden="1"/>
    </xf>
    <xf numFmtId="165" fontId="24" fillId="0" borderId="0" xfId="0" applyNumberFormat="1" applyFont="1" applyAlignment="1" applyProtection="1">
      <alignment horizontal="center"/>
      <protection hidden="1"/>
    </xf>
    <xf numFmtId="165" fontId="30" fillId="0" borderId="0" xfId="0" applyNumberFormat="1" applyFont="1" applyAlignment="1" applyProtection="1">
      <alignment horizontal="center"/>
      <protection hidden="1"/>
    </xf>
    <xf numFmtId="0" fontId="30" fillId="0" borderId="0" xfId="0" applyFont="1" applyAlignment="1" applyProtection="1">
      <alignment horizontal="center" vertical="top"/>
      <protection hidden="1"/>
    </xf>
    <xf numFmtId="0" fontId="0" fillId="0" borderId="0" xfId="0" applyAlignment="1" applyProtection="1">
      <alignment horizontal="center"/>
      <protection hidden="1"/>
    </xf>
    <xf numFmtId="0" fontId="29" fillId="0" borderId="0" xfId="0" applyFont="1" applyFill="1" applyAlignment="1" applyProtection="1">
      <alignment horizontal="left"/>
      <protection hidden="1"/>
    </xf>
    <xf numFmtId="0" fontId="0" fillId="6" borderId="0" xfId="0" applyFill="1" applyProtection="1">
      <protection hidden="1"/>
    </xf>
    <xf numFmtId="0" fontId="24" fillId="6" borderId="0" xfId="0" applyFont="1" applyFill="1" applyProtection="1">
      <protection hidden="1"/>
    </xf>
    <xf numFmtId="0" fontId="24" fillId="6" borderId="0" xfId="0" applyFont="1" applyFill="1" applyAlignment="1" applyProtection="1">
      <alignment horizontal="center"/>
      <protection hidden="1"/>
    </xf>
    <xf numFmtId="0" fontId="30" fillId="6" borderId="0" xfId="0" applyFont="1" applyFill="1" applyAlignment="1" applyProtection="1">
      <alignment horizontal="center" vertical="top"/>
      <protection hidden="1"/>
    </xf>
    <xf numFmtId="0" fontId="29" fillId="6" borderId="0" xfId="0" applyFont="1" applyFill="1" applyAlignment="1" applyProtection="1">
      <alignment horizontal="left"/>
      <protection hidden="1"/>
    </xf>
    <xf numFmtId="165" fontId="30" fillId="6" borderId="0" xfId="0" applyNumberFormat="1" applyFont="1" applyFill="1" applyAlignment="1" applyProtection="1">
      <alignment horizontal="center"/>
      <protection hidden="1"/>
    </xf>
    <xf numFmtId="0" fontId="23" fillId="6" borderId="0" xfId="0" applyFont="1" applyFill="1" applyProtection="1">
      <protection hidden="1"/>
    </xf>
    <xf numFmtId="165" fontId="24" fillId="6" borderId="0" xfId="0" applyNumberFormat="1" applyFont="1" applyFill="1" applyAlignment="1" applyProtection="1">
      <alignment horizontal="center"/>
      <protection hidden="1"/>
    </xf>
    <xf numFmtId="0" fontId="32" fillId="6" borderId="0" xfId="0" applyFont="1" applyFill="1" applyAlignment="1" applyProtection="1">
      <alignment horizontal="center"/>
      <protection hidden="1"/>
    </xf>
    <xf numFmtId="0" fontId="0" fillId="5" borderId="0" xfId="0" applyFill="1" applyProtection="1">
      <protection hidden="1"/>
    </xf>
    <xf numFmtId="0" fontId="19" fillId="5" borderId="0" xfId="0" applyFont="1" applyFill="1" applyAlignment="1" applyProtection="1">
      <alignment vertical="center"/>
      <protection hidden="1"/>
    </xf>
    <xf numFmtId="0" fontId="18" fillId="5" borderId="0" xfId="0" applyFont="1" applyFill="1" applyProtection="1">
      <protection hidden="1"/>
    </xf>
    <xf numFmtId="0" fontId="6" fillId="8" borderId="0" xfId="0" applyFont="1" applyFill="1" applyBorder="1" applyProtection="1">
      <protection hidden="1"/>
    </xf>
    <xf numFmtId="0" fontId="6" fillId="9" borderId="0" xfId="0" applyFont="1" applyFill="1" applyBorder="1" applyProtection="1">
      <protection hidden="1"/>
    </xf>
    <xf numFmtId="0" fontId="0" fillId="10" borderId="0" xfId="0" applyFill="1" applyBorder="1" applyProtection="1">
      <protection hidden="1"/>
    </xf>
    <xf numFmtId="0" fontId="0" fillId="7" borderId="0" xfId="0" applyFill="1" applyBorder="1" applyProtection="1">
      <protection hidden="1"/>
    </xf>
    <xf numFmtId="0" fontId="0" fillId="4" borderId="0" xfId="0" applyFill="1" applyBorder="1" applyProtection="1">
      <protection hidden="1"/>
    </xf>
    <xf numFmtId="0" fontId="0" fillId="8" borderId="0" xfId="0" applyFill="1" applyBorder="1" applyProtection="1">
      <protection hidden="1"/>
    </xf>
    <xf numFmtId="0" fontId="0" fillId="9" borderId="0" xfId="0" applyFill="1" applyBorder="1" applyProtection="1">
      <protection hidden="1"/>
    </xf>
    <xf numFmtId="0" fontId="0" fillId="4" borderId="0" xfId="0" applyFill="1" applyBorder="1" applyAlignment="1" applyProtection="1">
      <alignment horizontal="right"/>
      <protection hidden="1"/>
    </xf>
    <xf numFmtId="49" fontId="0" fillId="0" borderId="0" xfId="0" applyNumberFormat="1" applyFill="1" applyProtection="1">
      <protection hidden="1"/>
    </xf>
    <xf numFmtId="0" fontId="14" fillId="8" borderId="0" xfId="0" applyFont="1" applyFill="1" applyAlignment="1" applyProtection="1">
      <alignment horizontal="center"/>
      <protection hidden="1"/>
    </xf>
    <xf numFmtId="0" fontId="5" fillId="8" borderId="0" xfId="0" applyFont="1" applyFill="1" applyAlignment="1" applyProtection="1">
      <alignment horizontal="center"/>
      <protection hidden="1"/>
    </xf>
    <xf numFmtId="0" fontId="8" fillId="9" borderId="0" xfId="0" applyFont="1" applyFill="1" applyBorder="1" applyAlignment="1" applyProtection="1">
      <alignment horizontal="center"/>
      <protection hidden="1"/>
    </xf>
    <xf numFmtId="0" fontId="7" fillId="9" borderId="0" xfId="0" applyFont="1" applyFill="1" applyBorder="1" applyAlignment="1" applyProtection="1">
      <alignment horizontal="center"/>
      <protection hidden="1"/>
    </xf>
    <xf numFmtId="0" fontId="9" fillId="9" borderId="0" xfId="0" applyFont="1" applyFill="1" applyBorder="1" applyAlignment="1" applyProtection="1">
      <alignment horizontal="center"/>
      <protection hidden="1"/>
    </xf>
    <xf numFmtId="0" fontId="13" fillId="7" borderId="0" xfId="0" applyFont="1" applyFill="1" applyBorder="1" applyAlignment="1" applyProtection="1">
      <alignment horizontal="center"/>
      <protection hidden="1"/>
    </xf>
    <xf numFmtId="0" fontId="4" fillId="7" borderId="0" xfId="0" applyFont="1" applyFill="1" applyBorder="1" applyAlignment="1" applyProtection="1">
      <alignment horizontal="center"/>
      <protection hidden="1"/>
    </xf>
    <xf numFmtId="0" fontId="12" fillId="7" borderId="0" xfId="0" applyFont="1" applyFill="1" applyBorder="1" applyAlignment="1" applyProtection="1">
      <alignment horizontal="center"/>
      <protection hidden="1"/>
    </xf>
    <xf numFmtId="0" fontId="10" fillId="4" borderId="0" xfId="0" applyFont="1" applyFill="1" applyAlignment="1" applyProtection="1">
      <alignment horizontal="center"/>
      <protection hidden="1"/>
    </xf>
    <xf numFmtId="0" fontId="11" fillId="4" borderId="0" xfId="0" applyFont="1" applyFill="1" applyAlignment="1" applyProtection="1">
      <alignment horizontal="center"/>
      <protection hidden="1"/>
    </xf>
    <xf numFmtId="0" fontId="0" fillId="11" borderId="0" xfId="0" applyFill="1" applyProtection="1">
      <protection hidden="1"/>
    </xf>
    <xf numFmtId="0" fontId="6" fillId="11" borderId="0" xfId="0" applyFont="1" applyFill="1" applyProtection="1">
      <protection hidden="1"/>
    </xf>
    <xf numFmtId="0" fontId="6" fillId="12" borderId="0" xfId="0" applyFont="1" applyFill="1" applyProtection="1">
      <protection hidden="1"/>
    </xf>
    <xf numFmtId="0" fontId="0" fillId="13" borderId="0" xfId="0" applyFill="1" applyProtection="1">
      <protection hidden="1"/>
    </xf>
    <xf numFmtId="0" fontId="0" fillId="14" borderId="0" xfId="0" applyFill="1" applyProtection="1">
      <protection hidden="1"/>
    </xf>
    <xf numFmtId="0" fontId="0" fillId="2" borderId="0" xfId="0" applyFill="1" applyProtection="1">
      <protection hidden="1"/>
    </xf>
    <xf numFmtId="0" fontId="0" fillId="12" borderId="0" xfId="0" applyFill="1" applyProtection="1">
      <protection hidden="1"/>
    </xf>
    <xf numFmtId="0" fontId="0" fillId="2" borderId="0" xfId="0" applyFill="1" applyAlignment="1" applyProtection="1">
      <alignment horizontal="right"/>
      <protection hidden="1"/>
    </xf>
    <xf numFmtId="49" fontId="0" fillId="0" borderId="0" xfId="0" applyNumberFormat="1" applyProtection="1">
      <protection hidden="1"/>
    </xf>
    <xf numFmtId="0" fontId="3" fillId="3" borderId="0" xfId="0" applyFont="1" applyFill="1" applyProtection="1">
      <protection hidden="1"/>
    </xf>
    <xf numFmtId="0" fontId="0" fillId="3" borderId="0" xfId="0" applyFill="1" applyProtection="1">
      <protection hidden="1"/>
    </xf>
    <xf numFmtId="0" fontId="16" fillId="0" borderId="0" xfId="0" applyFont="1" applyAlignment="1" applyProtection="1">
      <alignment horizontal="right"/>
      <protection hidden="1"/>
    </xf>
    <xf numFmtId="0" fontId="0" fillId="15" borderId="0" xfId="0" applyFill="1" applyAlignment="1" applyProtection="1">
      <alignment horizontal="center"/>
      <protection hidden="1"/>
    </xf>
    <xf numFmtId="14" fontId="2" fillId="0" borderId="0" xfId="0" applyNumberFormat="1" applyFont="1" applyAlignment="1" applyProtection="1">
      <alignment horizontal="center"/>
      <protection hidden="1"/>
    </xf>
    <xf numFmtId="0" fontId="0" fillId="0" borderId="0" xfId="0" applyFill="1" applyProtection="1">
      <protection hidden="1"/>
    </xf>
    <xf numFmtId="0" fontId="2" fillId="0" borderId="0" xfId="0" applyFont="1" applyAlignment="1" applyProtection="1">
      <alignment horizontal="center"/>
      <protection hidden="1"/>
    </xf>
    <xf numFmtId="0" fontId="4" fillId="0" borderId="0" xfId="0" applyFont="1" applyAlignment="1" applyProtection="1">
      <alignment horizontal="right"/>
      <protection hidden="1"/>
    </xf>
    <xf numFmtId="0" fontId="2" fillId="0" borderId="0" xfId="0" applyFont="1" applyAlignment="1" applyProtection="1">
      <alignment horizontal="right"/>
      <protection hidden="1"/>
    </xf>
    <xf numFmtId="0" fontId="2" fillId="0" borderId="0" xfId="0" applyFont="1" applyAlignment="1" applyProtection="1">
      <alignment horizontal="left"/>
      <protection hidden="1"/>
    </xf>
    <xf numFmtId="14" fontId="15" fillId="0" borderId="0" xfId="0" applyNumberFormat="1" applyFont="1" applyProtection="1">
      <protection hidden="1"/>
    </xf>
    <xf numFmtId="14" fontId="0" fillId="0" borderId="0" xfId="0" applyNumberFormat="1" applyProtection="1">
      <protection hidden="1"/>
    </xf>
    <xf numFmtId="0" fontId="3" fillId="3" borderId="0" xfId="0" applyFont="1" applyFill="1" applyAlignment="1" applyProtection="1">
      <alignment horizontal="center"/>
      <protection hidden="1"/>
    </xf>
    <xf numFmtId="0" fontId="2" fillId="3" borderId="0" xfId="0" applyFont="1" applyFill="1" applyAlignment="1" applyProtection="1">
      <alignment horizontal="center"/>
      <protection hidden="1"/>
    </xf>
    <xf numFmtId="0" fontId="0" fillId="0" borderId="0" xfId="0" applyBorder="1" applyAlignment="1" applyProtection="1">
      <alignment horizontal="center"/>
      <protection hidden="1"/>
    </xf>
    <xf numFmtId="0" fontId="15" fillId="0" borderId="8" xfId="0" applyNumberFormat="1" applyFont="1" applyBorder="1" applyAlignment="1" applyProtection="1">
      <alignment horizontal="center"/>
      <protection hidden="1"/>
    </xf>
    <xf numFmtId="0" fontId="33" fillId="5" borderId="0" xfId="0" applyFont="1" applyFill="1" applyProtection="1">
      <protection hidden="1"/>
    </xf>
    <xf numFmtId="0" fontId="0" fillId="4" borderId="0" xfId="0" applyFill="1" applyProtection="1">
      <protection hidden="1"/>
    </xf>
    <xf numFmtId="0" fontId="35" fillId="5" borderId="0" xfId="0" applyFont="1" applyFill="1" applyProtection="1">
      <protection hidden="1"/>
    </xf>
    <xf numFmtId="0" fontId="36" fillId="0" borderId="0" xfId="0" applyFont="1" applyProtection="1">
      <protection hidden="1"/>
    </xf>
    <xf numFmtId="0" fontId="38" fillId="0" borderId="0" xfId="0" applyFont="1" applyAlignment="1" applyProtection="1">
      <alignment horizontal="left" indent="2"/>
      <protection hidden="1"/>
    </xf>
    <xf numFmtId="0" fontId="40" fillId="0" borderId="0" xfId="0" applyFont="1" applyAlignment="1" applyProtection="1">
      <alignment horizontal="left" indent="2"/>
      <protection hidden="1"/>
    </xf>
    <xf numFmtId="0" fontId="41" fillId="0" borderId="0" xfId="0" applyFont="1" applyAlignment="1" applyProtection="1">
      <alignment horizontal="left"/>
      <protection hidden="1"/>
    </xf>
    <xf numFmtId="0" fontId="42" fillId="6" borderId="0" xfId="0" applyFont="1" applyFill="1" applyProtection="1">
      <protection hidden="1"/>
    </xf>
    <xf numFmtId="0" fontId="41" fillId="0" borderId="0" xfId="0" applyFont="1" applyProtection="1">
      <protection hidden="1"/>
    </xf>
    <xf numFmtId="0" fontId="43" fillId="6" borderId="0" xfId="0" applyFont="1" applyFill="1" applyProtection="1">
      <protection hidden="1"/>
    </xf>
    <xf numFmtId="0" fontId="36" fillId="6" borderId="0" xfId="0" applyFont="1" applyFill="1" applyProtection="1">
      <protection hidden="1"/>
    </xf>
    <xf numFmtId="0" fontId="48" fillId="0" borderId="0" xfId="0" applyFont="1" applyProtection="1">
      <protection hidden="1"/>
    </xf>
    <xf numFmtId="0" fontId="50" fillId="6" borderId="0" xfId="0" applyFont="1" applyFill="1" applyProtection="1">
      <protection hidden="1"/>
    </xf>
    <xf numFmtId="0" fontId="0" fillId="15" borderId="0" xfId="0" applyFill="1" applyProtection="1">
      <protection hidden="1"/>
    </xf>
    <xf numFmtId="0" fontId="52" fillId="6" borderId="0" xfId="0" applyFont="1" applyFill="1" applyProtection="1">
      <protection hidden="1"/>
    </xf>
    <xf numFmtId="0" fontId="2" fillId="6" borderId="0" xfId="0" applyFont="1" applyFill="1" applyProtection="1">
      <protection hidden="1"/>
    </xf>
    <xf numFmtId="0" fontId="4" fillId="6" borderId="0" xfId="0" applyFont="1" applyFill="1" applyProtection="1">
      <protection hidden="1"/>
    </xf>
    <xf numFmtId="0" fontId="2" fillId="0" borderId="0" xfId="0" applyFont="1" applyProtection="1">
      <protection hidden="1"/>
    </xf>
    <xf numFmtId="0" fontId="2" fillId="6" borderId="0" xfId="0" applyFont="1" applyFill="1" applyAlignment="1" applyProtection="1">
      <alignment horizontal="centerContinuous"/>
      <protection hidden="1"/>
    </xf>
    <xf numFmtId="0" fontId="53" fillId="6" borderId="0" xfId="0" applyFont="1" applyFill="1" applyAlignment="1" applyProtection="1">
      <alignment horizontal="center" vertical="top"/>
      <protection hidden="1"/>
    </xf>
    <xf numFmtId="164" fontId="28" fillId="5" borderId="0" xfId="0" applyNumberFormat="1" applyFont="1" applyFill="1" applyAlignment="1">
      <alignment horizontal="center"/>
    </xf>
    <xf numFmtId="164" fontId="28" fillId="5" borderId="0" xfId="0" applyNumberFormat="1" applyFont="1" applyFill="1" applyBorder="1" applyAlignment="1">
      <alignment horizontal="center"/>
    </xf>
    <xf numFmtId="164" fontId="28" fillId="5" borderId="7" xfId="0" applyNumberFormat="1" applyFont="1" applyFill="1" applyBorder="1" applyAlignment="1">
      <alignment horizontal="center"/>
    </xf>
    <xf numFmtId="164" fontId="28" fillId="5" borderId="0" xfId="0" applyNumberFormat="1" applyFont="1" applyFill="1" applyAlignment="1" applyProtection="1">
      <alignment horizontal="center"/>
      <protection hidden="1"/>
    </xf>
    <xf numFmtId="164" fontId="28" fillId="5" borderId="7" xfId="0" applyNumberFormat="1" applyFont="1" applyFill="1" applyBorder="1" applyAlignment="1" applyProtection="1">
      <alignment horizontal="center"/>
      <protection hidden="1"/>
    </xf>
    <xf numFmtId="164" fontId="28" fillId="5" borderId="0" xfId="0" applyNumberFormat="1" applyFont="1" applyFill="1" applyBorder="1" applyAlignment="1" applyProtection="1">
      <alignment horizontal="center"/>
      <protection hidden="1"/>
    </xf>
    <xf numFmtId="164" fontId="27" fillId="6" borderId="0" xfId="0" applyNumberFormat="1" applyFont="1" applyFill="1" applyAlignment="1" applyProtection="1">
      <alignment horizontal="center"/>
      <protection hidden="1"/>
    </xf>
    <xf numFmtId="0" fontId="1" fillId="0" borderId="0" xfId="0" applyFont="1"/>
    <xf numFmtId="164" fontId="27" fillId="6" borderId="0" xfId="0" applyNumberFormat="1" applyFont="1" applyFill="1" applyAlignment="1" applyProtection="1">
      <alignment horizontal="left"/>
      <protection hidden="1"/>
    </xf>
    <xf numFmtId="164" fontId="28" fillId="5" borderId="0" xfId="0" applyNumberFormat="1" applyFont="1" applyFill="1" applyAlignment="1" applyProtection="1">
      <alignment horizontal="left"/>
      <protection hidden="1"/>
    </xf>
    <xf numFmtId="164" fontId="28" fillId="5" borderId="0" xfId="0" applyNumberFormat="1" applyFont="1" applyFill="1" applyAlignment="1">
      <alignment horizontal="left"/>
    </xf>
    <xf numFmtId="164" fontId="28" fillId="5" borderId="6" xfId="0" applyNumberFormat="1" applyFont="1" applyFill="1" applyBorder="1" applyAlignment="1" applyProtection="1">
      <alignment horizontal="left"/>
      <protection hidden="1"/>
    </xf>
    <xf numFmtId="164" fontId="28" fillId="5" borderId="6" xfId="0" applyNumberFormat="1" applyFont="1" applyFill="1" applyBorder="1" applyAlignment="1">
      <alignment horizontal="left"/>
    </xf>
    <xf numFmtId="164" fontId="27" fillId="6" borderId="0" xfId="0" applyNumberFormat="1" applyFont="1" applyFill="1" applyAlignment="1" applyProtection="1">
      <protection hidden="1"/>
    </xf>
    <xf numFmtId="164" fontId="28" fillId="0" borderId="0" xfId="0" applyNumberFormat="1" applyFont="1" applyFill="1" applyBorder="1" applyAlignment="1" applyProtection="1">
      <alignment horizontal="center"/>
      <protection hidden="1"/>
    </xf>
    <xf numFmtId="164" fontId="28" fillId="0" borderId="0" xfId="0" applyNumberFormat="1" applyFont="1" applyFill="1" applyAlignment="1" applyProtection="1">
      <alignment horizontal="center"/>
      <protection hidden="1"/>
    </xf>
    <xf numFmtId="0" fontId="0" fillId="0" borderId="9" xfId="0" applyBorder="1"/>
    <xf numFmtId="0" fontId="4" fillId="6" borderId="4" xfId="0" applyFont="1" applyFill="1" applyBorder="1" applyProtection="1">
      <protection hidden="1"/>
    </xf>
    <xf numFmtId="0" fontId="1" fillId="0" borderId="5" xfId="0" applyFont="1" applyBorder="1" applyProtection="1">
      <protection hidden="1"/>
    </xf>
    <xf numFmtId="0" fontId="4" fillId="0" borderId="3" xfId="0" applyFont="1" applyBorder="1" applyAlignment="1">
      <alignment horizontal="right"/>
    </xf>
    <xf numFmtId="0" fontId="27" fillId="0" borderId="0" xfId="0" applyFont="1" applyAlignment="1" applyProtection="1">
      <alignment horizontal="left"/>
      <protection hidden="1"/>
    </xf>
    <xf numFmtId="0" fontId="55" fillId="6" borderId="0" xfId="0" applyFont="1" applyFill="1" applyProtection="1">
      <protection hidden="1"/>
    </xf>
    <xf numFmtId="0" fontId="0" fillId="17" borderId="0" xfId="0" applyFill="1"/>
    <xf numFmtId="164" fontId="27" fillId="17" borderId="0" xfId="0" applyNumberFormat="1" applyFont="1" applyFill="1" applyAlignment="1" applyProtection="1">
      <alignment horizontal="center"/>
      <protection hidden="1"/>
    </xf>
    <xf numFmtId="164" fontId="28" fillId="17" borderId="0" xfId="0" applyNumberFormat="1" applyFont="1" applyFill="1" applyBorder="1" applyAlignment="1" applyProtection="1">
      <alignment horizontal="center"/>
      <protection hidden="1"/>
    </xf>
    <xf numFmtId="164" fontId="28" fillId="17" borderId="0" xfId="0" applyNumberFormat="1" applyFont="1" applyFill="1" applyBorder="1" applyAlignment="1">
      <alignment horizontal="center"/>
    </xf>
    <xf numFmtId="164" fontId="28" fillId="5" borderId="0" xfId="0" applyNumberFormat="1" applyFont="1" applyFill="1" applyAlignment="1" applyProtection="1">
      <alignment horizontal="center"/>
      <protection hidden="1"/>
    </xf>
    <xf numFmtId="0" fontId="54" fillId="0" borderId="3" xfId="0" applyFont="1" applyBorder="1" applyAlignment="1" applyProtection="1">
      <alignment horizontal="right"/>
      <protection hidden="1"/>
    </xf>
    <xf numFmtId="0" fontId="54" fillId="6" borderId="3" xfId="0" applyFont="1" applyFill="1" applyBorder="1" applyAlignment="1" applyProtection="1">
      <alignment horizontal="right"/>
      <protection hidden="1"/>
    </xf>
    <xf numFmtId="0" fontId="54" fillId="0" borderId="3" xfId="0" applyFont="1" applyBorder="1" applyAlignment="1">
      <alignment horizontal="right"/>
    </xf>
    <xf numFmtId="1" fontId="31" fillId="6" borderId="3" xfId="0" applyNumberFormat="1" applyFont="1" applyFill="1" applyBorder="1" applyAlignment="1" applyProtection="1">
      <alignment horizontal="left"/>
      <protection hidden="1"/>
    </xf>
    <xf numFmtId="10" fontId="31" fillId="6" borderId="3" xfId="0" applyNumberFormat="1" applyFont="1" applyFill="1" applyBorder="1" applyAlignment="1" applyProtection="1">
      <alignment horizontal="left"/>
      <protection hidden="1"/>
    </xf>
    <xf numFmtId="0" fontId="4" fillId="0" borderId="3" xfId="0" applyFont="1" applyBorder="1" applyAlignment="1" applyProtection="1">
      <alignment horizontal="right"/>
      <protection hidden="1"/>
    </xf>
    <xf numFmtId="0" fontId="49" fillId="0" borderId="3" xfId="0" applyFont="1" applyBorder="1" applyAlignment="1">
      <alignment horizontal="center"/>
    </xf>
    <xf numFmtId="0" fontId="49" fillId="0" borderId="3" xfId="0" applyFont="1" applyBorder="1" applyAlignment="1">
      <alignment horizontal="center" wrapText="1"/>
    </xf>
    <xf numFmtId="0" fontId="31" fillId="0" borderId="9" xfId="0" applyFont="1" applyBorder="1" applyAlignment="1" applyProtection="1">
      <alignment horizontal="left"/>
      <protection hidden="1"/>
    </xf>
    <xf numFmtId="0" fontId="49" fillId="0" borderId="1" xfId="0" applyFont="1" applyBorder="1" applyAlignment="1">
      <alignment horizontal="right"/>
    </xf>
    <xf numFmtId="0" fontId="27" fillId="0" borderId="9" xfId="0" applyFont="1" applyBorder="1" applyAlignment="1" applyProtection="1">
      <alignment horizontal="left"/>
      <protection hidden="1"/>
    </xf>
    <xf numFmtId="0" fontId="54" fillId="0" borderId="1" xfId="0" applyFont="1" applyBorder="1" applyAlignment="1">
      <alignment horizontal="right"/>
    </xf>
    <xf numFmtId="0" fontId="27" fillId="0" borderId="9" xfId="0" applyFont="1" applyBorder="1" applyProtection="1">
      <protection hidden="1"/>
    </xf>
    <xf numFmtId="0" fontId="27" fillId="0" borderId="0" xfId="0" applyFont="1" applyAlignment="1">
      <alignment horizontal="right"/>
    </xf>
    <xf numFmtId="0" fontId="26" fillId="6" borderId="0" xfId="0" applyFont="1" applyFill="1" applyAlignment="1" applyProtection="1">
      <alignment horizontal="right"/>
      <protection hidden="1"/>
    </xf>
    <xf numFmtId="0" fontId="56" fillId="0" borderId="0" xfId="0" applyFont="1"/>
    <xf numFmtId="0" fontId="26" fillId="0" borderId="0" xfId="0" applyFont="1" applyFill="1" applyAlignment="1" applyProtection="1">
      <alignment horizontal="right"/>
      <protection hidden="1"/>
    </xf>
    <xf numFmtId="0" fontId="57" fillId="0" borderId="0" xfId="0" applyFont="1" applyFill="1" applyAlignment="1" applyProtection="1">
      <alignment horizontal="right"/>
      <protection hidden="1"/>
    </xf>
    <xf numFmtId="0" fontId="51" fillId="0" borderId="0" xfId="0" applyFont="1"/>
    <xf numFmtId="0" fontId="31" fillId="0" borderId="0" xfId="0" applyFont="1" applyFill="1" applyAlignment="1" applyProtection="1">
      <protection hidden="1"/>
    </xf>
    <xf numFmtId="0" fontId="27" fillId="6" borderId="0" xfId="0" applyFont="1" applyFill="1" applyAlignment="1" applyProtection="1">
      <alignment horizontal="left"/>
      <protection hidden="1"/>
    </xf>
    <xf numFmtId="0" fontId="0" fillId="0" borderId="3" xfId="0" applyBorder="1" applyAlignment="1">
      <alignment horizontal="center"/>
    </xf>
    <xf numFmtId="10" fontId="0" fillId="0" borderId="3" xfId="0" applyNumberFormat="1" applyBorder="1" applyAlignment="1">
      <alignment horizontal="center"/>
    </xf>
    <xf numFmtId="3" fontId="0" fillId="0" borderId="0" xfId="0" applyNumberFormat="1"/>
    <xf numFmtId="0" fontId="2" fillId="0" borderId="0" xfId="0" applyFont="1" applyBorder="1" applyProtection="1">
      <protection hidden="1"/>
    </xf>
    <xf numFmtId="0" fontId="58" fillId="6" borderId="0" xfId="0" applyFont="1" applyFill="1" applyProtection="1">
      <protection hidden="1"/>
    </xf>
    <xf numFmtId="0" fontId="58" fillId="0" borderId="0" xfId="0" applyFont="1" applyProtection="1">
      <protection hidden="1"/>
    </xf>
    <xf numFmtId="0" fontId="58" fillId="0" borderId="0" xfId="0" applyFont="1"/>
    <xf numFmtId="0" fontId="58" fillId="6" borderId="0" xfId="0" applyFont="1" applyFill="1" applyAlignment="1" applyProtection="1">
      <alignment horizontal="center"/>
      <protection hidden="1"/>
    </xf>
    <xf numFmtId="0" fontId="58" fillId="0" borderId="0" xfId="0" applyFont="1" applyBorder="1" applyProtection="1">
      <protection hidden="1"/>
    </xf>
    <xf numFmtId="0" fontId="59" fillId="19" borderId="0" xfId="0" applyFont="1" applyFill="1" applyProtection="1">
      <protection hidden="1"/>
    </xf>
    <xf numFmtId="0" fontId="60" fillId="19" borderId="0" xfId="1" applyFont="1" applyFill="1" applyAlignment="1" applyProtection="1">
      <alignment horizontal="right"/>
      <protection hidden="1"/>
    </xf>
    <xf numFmtId="167" fontId="61" fillId="19" borderId="0" xfId="0" applyNumberFormat="1" applyFont="1" applyFill="1" applyBorder="1" applyAlignment="1" applyProtection="1">
      <alignment horizontal="left"/>
      <protection hidden="1"/>
    </xf>
    <xf numFmtId="0" fontId="62" fillId="19" borderId="0" xfId="0" applyNumberFormat="1" applyFont="1" applyFill="1" applyBorder="1" applyAlignment="1" applyProtection="1">
      <alignment horizontal="center" vertical="top"/>
    </xf>
    <xf numFmtId="0" fontId="62" fillId="19" borderId="0" xfId="0" applyNumberFormat="1" applyFont="1" applyFill="1" applyBorder="1" applyAlignment="1" applyProtection="1">
      <alignment horizontal="center" vertical="top"/>
      <protection locked="0"/>
    </xf>
    <xf numFmtId="1" fontId="0" fillId="6" borderId="0" xfId="0" applyNumberFormat="1" applyFill="1" applyProtection="1">
      <protection hidden="1"/>
    </xf>
    <xf numFmtId="0" fontId="1" fillId="6" borderId="0" xfId="0" applyFont="1" applyFill="1" applyProtection="1">
      <protection hidden="1"/>
    </xf>
    <xf numFmtId="0" fontId="59" fillId="6" borderId="0" xfId="0" applyFont="1" applyFill="1" applyProtection="1">
      <protection hidden="1"/>
    </xf>
    <xf numFmtId="0" fontId="59" fillId="0" borderId="0" xfId="0" applyFont="1"/>
    <xf numFmtId="0" fontId="59" fillId="0" borderId="0" xfId="0" applyFont="1" applyAlignment="1">
      <alignment horizontal="center"/>
    </xf>
    <xf numFmtId="1" fontId="64" fillId="6" borderId="0" xfId="0" applyNumberFormat="1" applyFont="1" applyFill="1" applyAlignment="1" applyProtection="1">
      <alignment horizontal="left"/>
      <protection hidden="1"/>
    </xf>
    <xf numFmtId="170" fontId="64" fillId="6" borderId="0" xfId="0" applyNumberFormat="1" applyFont="1" applyFill="1" applyAlignment="1" applyProtection="1">
      <alignment horizontal="left"/>
      <protection hidden="1"/>
    </xf>
    <xf numFmtId="0" fontId="70" fillId="6" borderId="17" xfId="0" applyFont="1" applyFill="1" applyBorder="1" applyProtection="1">
      <protection hidden="1"/>
    </xf>
    <xf numFmtId="0" fontId="70" fillId="0" borderId="21" xfId="0" applyFont="1" applyBorder="1" applyAlignment="1" applyProtection="1">
      <alignment horizontal="right"/>
      <protection hidden="1"/>
    </xf>
    <xf numFmtId="0" fontId="70" fillId="0" borderId="0" xfId="0" applyFont="1" applyBorder="1" applyAlignment="1" applyProtection="1">
      <alignment horizontal="center"/>
      <protection hidden="1"/>
    </xf>
    <xf numFmtId="0" fontId="70" fillId="0" borderId="0" xfId="0" applyFont="1" applyBorder="1" applyProtection="1">
      <protection hidden="1"/>
    </xf>
    <xf numFmtId="0" fontId="70" fillId="0" borderId="22" xfId="0" applyFont="1" applyBorder="1" applyProtection="1">
      <protection hidden="1"/>
    </xf>
    <xf numFmtId="0" fontId="70" fillId="0" borderId="18" xfId="0" applyFont="1" applyBorder="1" applyProtection="1">
      <protection hidden="1"/>
    </xf>
    <xf numFmtId="0" fontId="70" fillId="0" borderId="19" xfId="0" applyFont="1" applyBorder="1" applyProtection="1">
      <protection hidden="1"/>
    </xf>
    <xf numFmtId="0" fontId="70" fillId="0" borderId="20" xfId="0" applyFont="1" applyBorder="1" applyProtection="1">
      <protection hidden="1"/>
    </xf>
    <xf numFmtId="0" fontId="28" fillId="6" borderId="3" xfId="1" applyFont="1" applyFill="1" applyBorder="1" applyAlignment="1" applyProtection="1">
      <alignment horizontal="center" wrapText="1"/>
      <protection hidden="1"/>
    </xf>
    <xf numFmtId="1" fontId="1" fillId="0" borderId="3" xfId="0" applyNumberFormat="1" applyFont="1" applyBorder="1" applyAlignment="1" applyProtection="1">
      <alignment horizontal="left"/>
      <protection hidden="1"/>
    </xf>
    <xf numFmtId="0" fontId="70" fillId="6" borderId="15" xfId="0" applyFont="1" applyFill="1" applyBorder="1" applyAlignment="1" applyProtection="1">
      <alignment horizontal="right" vertical="center"/>
      <protection hidden="1"/>
    </xf>
    <xf numFmtId="0" fontId="70" fillId="6" borderId="16" xfId="0" applyFont="1" applyFill="1" applyBorder="1" applyAlignment="1" applyProtection="1">
      <alignment horizontal="left" vertical="center"/>
      <protection hidden="1"/>
    </xf>
    <xf numFmtId="0" fontId="70" fillId="0" borderId="0" xfId="0" applyFont="1" applyBorder="1" applyAlignment="1" applyProtection="1">
      <alignment horizontal="left"/>
      <protection hidden="1"/>
    </xf>
    <xf numFmtId="0" fontId="22" fillId="0" borderId="23" xfId="0" applyFont="1" applyBorder="1" applyAlignment="1" applyProtection="1">
      <alignment horizontal="center"/>
      <protection hidden="1"/>
    </xf>
    <xf numFmtId="0" fontId="22" fillId="0" borderId="24" xfId="0" applyFont="1" applyBorder="1" applyAlignment="1" applyProtection="1">
      <alignment horizontal="center"/>
      <protection hidden="1"/>
    </xf>
    <xf numFmtId="0" fontId="22" fillId="0" borderId="25" xfId="0" applyFont="1" applyBorder="1" applyAlignment="1" applyProtection="1">
      <alignment horizontal="center"/>
      <protection hidden="1"/>
    </xf>
    <xf numFmtId="167" fontId="25" fillId="4" borderId="26" xfId="0" applyNumberFormat="1" applyFont="1" applyFill="1" applyBorder="1" applyAlignment="1" applyProtection="1">
      <alignment horizontal="left"/>
      <protection hidden="1"/>
    </xf>
    <xf numFmtId="167" fontId="25" fillId="4" borderId="27" xfId="0" applyNumberFormat="1" applyFont="1" applyFill="1" applyBorder="1" applyAlignment="1" applyProtection="1">
      <alignment horizontal="left"/>
      <protection hidden="1"/>
    </xf>
    <xf numFmtId="168" fontId="25" fillId="4" borderId="26" xfId="0" applyNumberFormat="1" applyFont="1" applyFill="1" applyBorder="1" applyAlignment="1" applyProtection="1">
      <alignment horizontal="left"/>
      <protection hidden="1"/>
    </xf>
    <xf numFmtId="168" fontId="25" fillId="4" borderId="27" xfId="0" applyNumberFormat="1" applyFont="1" applyFill="1" applyBorder="1" applyAlignment="1" applyProtection="1">
      <alignment horizontal="left"/>
      <protection hidden="1"/>
    </xf>
    <xf numFmtId="0" fontId="26" fillId="6" borderId="0" xfId="0" applyFont="1" applyFill="1" applyAlignment="1" applyProtection="1">
      <alignment horizontal="left"/>
      <protection hidden="1"/>
    </xf>
    <xf numFmtId="0" fontId="59" fillId="0" borderId="0" xfId="0" applyFont="1" applyProtection="1">
      <protection hidden="1"/>
    </xf>
    <xf numFmtId="0" fontId="65" fillId="0" borderId="0" xfId="0" applyFont="1"/>
    <xf numFmtId="0" fontId="0" fillId="16" borderId="35" xfId="0" applyFill="1" applyBorder="1" applyAlignment="1">
      <alignment horizontal="right"/>
    </xf>
    <xf numFmtId="0" fontId="0" fillId="0" borderId="0" xfId="0" applyAlignment="1">
      <alignment horizontal="center"/>
    </xf>
    <xf numFmtId="0" fontId="0" fillId="16" borderId="37" xfId="0" applyFill="1" applyBorder="1" applyAlignment="1">
      <alignment horizontal="center"/>
    </xf>
    <xf numFmtId="0" fontId="0" fillId="19" borderId="35" xfId="0" applyFill="1" applyBorder="1" applyAlignment="1">
      <alignment horizontal="right"/>
    </xf>
    <xf numFmtId="0" fontId="0" fillId="19" borderId="36" xfId="0" applyFill="1" applyBorder="1"/>
    <xf numFmtId="169" fontId="4" fillId="0" borderId="0" xfId="0" applyNumberFormat="1" applyFont="1" applyAlignment="1">
      <alignment horizontal="center"/>
    </xf>
    <xf numFmtId="169" fontId="31" fillId="6" borderId="3" xfId="0" applyNumberFormat="1" applyFont="1" applyFill="1" applyBorder="1" applyAlignment="1" applyProtection="1">
      <alignment horizontal="left"/>
      <protection hidden="1"/>
    </xf>
    <xf numFmtId="0" fontId="1" fillId="0" borderId="0" xfId="0" applyFont="1" applyAlignment="1">
      <alignment horizontal="right"/>
    </xf>
    <xf numFmtId="168" fontId="25" fillId="20" borderId="28" xfId="0" applyNumberFormat="1" applyFont="1" applyFill="1" applyBorder="1" applyAlignment="1" applyProtection="1">
      <alignment horizontal="center"/>
      <protection locked="0"/>
    </xf>
    <xf numFmtId="0" fontId="30" fillId="17" borderId="1" xfId="0" applyNumberFormat="1" applyFont="1" applyFill="1" applyBorder="1" applyAlignment="1" applyProtection="1">
      <alignment horizontal="center" vertical="top"/>
    </xf>
    <xf numFmtId="167" fontId="25" fillId="17" borderId="12" xfId="0" applyNumberFormat="1" applyFont="1" applyFill="1" applyBorder="1" applyAlignment="1" applyProtection="1">
      <alignment horizontal="left"/>
    </xf>
    <xf numFmtId="168" fontId="25" fillId="20" borderId="12" xfId="0" applyNumberFormat="1" applyFont="1" applyFill="1" applyBorder="1" applyAlignment="1" applyProtection="1">
      <alignment horizontal="center"/>
      <protection locked="0"/>
    </xf>
    <xf numFmtId="168" fontId="25" fillId="20" borderId="29" xfId="0" applyNumberFormat="1" applyFont="1" applyFill="1" applyBorder="1" applyAlignment="1" applyProtection="1">
      <alignment horizontal="center"/>
      <protection locked="0"/>
    </xf>
    <xf numFmtId="167" fontId="25" fillId="17" borderId="12" xfId="0" applyNumberFormat="1" applyFont="1" applyFill="1" applyBorder="1" applyAlignment="1" applyProtection="1">
      <alignment horizontal="left"/>
      <protection hidden="1"/>
    </xf>
    <xf numFmtId="0" fontId="30" fillId="22" borderId="1" xfId="0" applyFont="1" applyFill="1" applyBorder="1" applyAlignment="1" applyProtection="1">
      <alignment horizontal="center" vertical="top"/>
      <protection locked="0"/>
    </xf>
    <xf numFmtId="0" fontId="58" fillId="17" borderId="0" xfId="0" applyFont="1" applyFill="1" applyProtection="1">
      <protection hidden="1"/>
    </xf>
    <xf numFmtId="0" fontId="58" fillId="17" borderId="0" xfId="0" applyFont="1" applyFill="1"/>
    <xf numFmtId="1" fontId="31" fillId="0" borderId="1" xfId="0" applyNumberFormat="1" applyFont="1" applyBorder="1" applyAlignment="1">
      <alignment horizontal="center"/>
    </xf>
    <xf numFmtId="0" fontId="59" fillId="17" borderId="0" xfId="0" applyFont="1" applyFill="1"/>
    <xf numFmtId="0" fontId="59" fillId="18" borderId="0" xfId="0" applyFont="1" applyFill="1"/>
    <xf numFmtId="0" fontId="73" fillId="18" borderId="0" xfId="0" applyFont="1" applyFill="1" applyAlignment="1">
      <alignment horizontal="center"/>
    </xf>
    <xf numFmtId="0" fontId="77" fillId="0" borderId="0" xfId="0" applyFont="1"/>
    <xf numFmtId="0" fontId="77" fillId="0" borderId="0" xfId="0" applyFont="1" applyBorder="1"/>
    <xf numFmtId="0" fontId="78" fillId="0" borderId="0" xfId="0" applyFont="1"/>
    <xf numFmtId="0" fontId="79" fillId="0" borderId="0" xfId="0" applyFont="1"/>
    <xf numFmtId="0" fontId="78" fillId="0" borderId="14" xfId="0" applyFont="1" applyBorder="1" applyProtection="1">
      <protection locked="0"/>
    </xf>
    <xf numFmtId="0" fontId="79" fillId="0" borderId="0" xfId="0" applyFont="1" applyAlignment="1">
      <alignment horizontal="left"/>
    </xf>
    <xf numFmtId="0" fontId="79" fillId="0" borderId="0" xfId="0" applyFont="1" applyBorder="1"/>
    <xf numFmtId="0" fontId="78" fillId="0" borderId="0" xfId="0" applyFont="1" applyAlignment="1"/>
    <xf numFmtId="0" fontId="79" fillId="0" borderId="0" xfId="0" applyFont="1" applyAlignment="1"/>
    <xf numFmtId="0" fontId="79" fillId="0" borderId="7" xfId="0" applyFont="1" applyBorder="1" applyAlignment="1"/>
    <xf numFmtId="0" fontId="80" fillId="0" borderId="3" xfId="0" applyFont="1" applyBorder="1" applyAlignment="1" applyProtection="1">
      <alignment horizontal="center" vertical="center" wrapText="1"/>
      <protection locked="0"/>
    </xf>
    <xf numFmtId="0" fontId="0" fillId="19" borderId="36" xfId="0" applyFill="1" applyBorder="1" applyAlignment="1">
      <alignment horizontal="center"/>
    </xf>
    <xf numFmtId="0" fontId="70" fillId="6" borderId="16" xfId="0" applyFont="1" applyFill="1" applyBorder="1" applyAlignment="1" applyProtection="1">
      <alignment horizontal="right" vertical="center"/>
      <protection hidden="1"/>
    </xf>
    <xf numFmtId="171" fontId="70" fillId="6" borderId="16" xfId="0" applyNumberFormat="1" applyFont="1" applyFill="1" applyBorder="1" applyAlignment="1" applyProtection="1">
      <alignment horizontal="left" vertical="center" wrapText="1"/>
      <protection hidden="1"/>
    </xf>
    <xf numFmtId="0" fontId="82" fillId="22" borderId="30" xfId="0" applyNumberFormat="1" applyFont="1" applyFill="1" applyBorder="1" applyAlignment="1" applyProtection="1">
      <alignment horizontal="center" vertical="top"/>
      <protection locked="0"/>
    </xf>
    <xf numFmtId="0" fontId="82" fillId="22" borderId="1" xfId="0" applyNumberFormat="1" applyFont="1" applyFill="1" applyBorder="1" applyAlignment="1" applyProtection="1">
      <alignment horizontal="center" vertical="top"/>
      <protection locked="0"/>
    </xf>
    <xf numFmtId="0" fontId="82" fillId="22" borderId="31" xfId="0" applyNumberFormat="1" applyFont="1" applyFill="1" applyBorder="1" applyAlignment="1" applyProtection="1">
      <alignment horizontal="center" vertical="top"/>
      <protection locked="0"/>
    </xf>
    <xf numFmtId="0" fontId="82" fillId="22" borderId="30" xfId="0" applyFont="1" applyFill="1" applyBorder="1" applyAlignment="1" applyProtection="1">
      <alignment horizontal="center" vertical="top"/>
      <protection locked="0"/>
    </xf>
    <xf numFmtId="0" fontId="82" fillId="22" borderId="1" xfId="0" applyFont="1" applyFill="1" applyBorder="1" applyAlignment="1" applyProtection="1">
      <alignment horizontal="center" vertical="top"/>
      <protection locked="0"/>
    </xf>
    <xf numFmtId="0" fontId="82" fillId="22" borderId="31" xfId="0" applyFont="1" applyFill="1" applyBorder="1" applyAlignment="1" applyProtection="1">
      <alignment horizontal="center" vertical="top"/>
      <protection locked="0"/>
    </xf>
    <xf numFmtId="1" fontId="63" fillId="19" borderId="2" xfId="0" applyNumberFormat="1" applyFont="1" applyFill="1" applyBorder="1" applyAlignment="1" applyProtection="1">
      <alignment horizontal="center"/>
      <protection hidden="1"/>
    </xf>
    <xf numFmtId="0" fontId="22" fillId="0" borderId="1" xfId="0" applyFont="1" applyBorder="1" applyAlignment="1" applyProtection="1">
      <alignment horizontal="center"/>
      <protection hidden="1"/>
    </xf>
    <xf numFmtId="0" fontId="82" fillId="22" borderId="32" xfId="0" applyNumberFormat="1" applyFont="1" applyFill="1" applyBorder="1" applyAlignment="1" applyProtection="1">
      <alignment horizontal="center" vertical="top"/>
      <protection locked="0"/>
    </xf>
    <xf numFmtId="0" fontId="82" fillId="22" borderId="33" xfId="0" applyNumberFormat="1" applyFont="1" applyFill="1" applyBorder="1" applyAlignment="1" applyProtection="1">
      <alignment horizontal="center" vertical="top"/>
      <protection locked="0"/>
    </xf>
    <xf numFmtId="0" fontId="79" fillId="0" borderId="0" xfId="0" applyFont="1" applyAlignment="1">
      <alignment horizontal="center"/>
    </xf>
    <xf numFmtId="0" fontId="2" fillId="0" borderId="0" xfId="0" applyFont="1" applyBorder="1" applyAlignment="1" applyProtection="1">
      <alignment horizontal="center"/>
      <protection hidden="1"/>
    </xf>
    <xf numFmtId="0" fontId="58" fillId="0" borderId="0" xfId="0" applyFont="1" applyBorder="1" applyAlignment="1" applyProtection="1">
      <alignment horizontal="center"/>
      <protection hidden="1"/>
    </xf>
    <xf numFmtId="0" fontId="79" fillId="24" borderId="43" xfId="0" applyFont="1" applyFill="1" applyBorder="1" applyAlignment="1">
      <alignment horizontal="center"/>
    </xf>
    <xf numFmtId="0" fontId="79" fillId="24" borderId="42" xfId="0" applyFont="1" applyFill="1" applyBorder="1"/>
    <xf numFmtId="0" fontId="79" fillId="24" borderId="46" xfId="0" applyFont="1" applyFill="1" applyBorder="1" applyAlignment="1">
      <alignment horizontal="center"/>
    </xf>
    <xf numFmtId="0" fontId="79" fillId="23" borderId="42" xfId="0" applyFont="1" applyFill="1" applyBorder="1"/>
    <xf numFmtId="0" fontId="79" fillId="23" borderId="43" xfId="0" applyFont="1" applyFill="1" applyBorder="1"/>
    <xf numFmtId="0" fontId="79" fillId="23" borderId="44" xfId="0" applyFont="1" applyFill="1" applyBorder="1"/>
    <xf numFmtId="0" fontId="0" fillId="19" borderId="0" xfId="0" applyFill="1"/>
    <xf numFmtId="1" fontId="2" fillId="0" borderId="0" xfId="0" applyNumberFormat="1" applyFont="1" applyProtection="1">
      <protection hidden="1"/>
    </xf>
    <xf numFmtId="1" fontId="0" fillId="0" borderId="0" xfId="0" applyNumberFormat="1"/>
    <xf numFmtId="1" fontId="79" fillId="0" borderId="3" xfId="0" applyNumberFormat="1" applyFont="1" applyBorder="1"/>
    <xf numFmtId="1" fontId="79" fillId="25" borderId="3" xfId="0" applyNumberFormat="1" applyFont="1" applyFill="1" applyBorder="1"/>
    <xf numFmtId="166" fontId="58" fillId="6" borderId="0" xfId="0" applyNumberFormat="1" applyFont="1" applyFill="1" applyProtection="1">
      <protection hidden="1"/>
    </xf>
    <xf numFmtId="0" fontId="79" fillId="0" borderId="0" xfId="0" applyNumberFormat="1" applyFont="1"/>
    <xf numFmtId="0" fontId="58" fillId="0" borderId="0" xfId="0" applyFont="1" applyAlignment="1" applyProtection="1">
      <alignment horizontal="center"/>
      <protection hidden="1"/>
    </xf>
    <xf numFmtId="169" fontId="64" fillId="0" borderId="0" xfId="0" applyNumberFormat="1" applyFont="1" applyAlignment="1" applyProtection="1">
      <alignment horizontal="left"/>
      <protection hidden="1"/>
    </xf>
    <xf numFmtId="9" fontId="64" fillId="0" borderId="0" xfId="0" applyNumberFormat="1" applyFont="1" applyAlignment="1" applyProtection="1">
      <alignment horizontal="left"/>
      <protection hidden="1"/>
    </xf>
    <xf numFmtId="0" fontId="89" fillId="6" borderId="0" xfId="0" applyFont="1" applyFill="1" applyBorder="1" applyProtection="1">
      <protection hidden="1"/>
    </xf>
    <xf numFmtId="0" fontId="89" fillId="19" borderId="0" xfId="0" applyFont="1" applyFill="1" applyBorder="1" applyProtection="1">
      <protection hidden="1"/>
    </xf>
    <xf numFmtId="1" fontId="90" fillId="6" borderId="0" xfId="0" applyNumberFormat="1" applyFont="1" applyFill="1" applyBorder="1" applyAlignment="1" applyProtection="1">
      <alignment horizontal="center" vertical="center"/>
      <protection hidden="1"/>
    </xf>
    <xf numFmtId="1" fontId="90" fillId="6" borderId="0" xfId="0" applyNumberFormat="1" applyFont="1" applyFill="1" applyBorder="1" applyAlignment="1" applyProtection="1">
      <alignment horizontal="left" vertical="center"/>
      <protection hidden="1"/>
    </xf>
    <xf numFmtId="0" fontId="59" fillId="0" borderId="0" xfId="0" applyFont="1" applyBorder="1"/>
    <xf numFmtId="0" fontId="59" fillId="23" borderId="44" xfId="0" applyFont="1" applyFill="1" applyBorder="1"/>
    <xf numFmtId="0" fontId="92" fillId="24" borderId="23" xfId="0" applyFont="1" applyFill="1" applyBorder="1" applyAlignment="1">
      <alignment horizontal="center"/>
    </xf>
    <xf numFmtId="0" fontId="92" fillId="24" borderId="24" xfId="0" applyFont="1" applyFill="1" applyBorder="1" applyAlignment="1">
      <alignment horizontal="center"/>
    </xf>
    <xf numFmtId="0" fontId="92" fillId="24" borderId="45" xfId="0" applyFont="1" applyFill="1" applyBorder="1" applyAlignment="1">
      <alignment horizontal="center"/>
    </xf>
    <xf numFmtId="0" fontId="92" fillId="23" borderId="23" xfId="0" applyFont="1" applyFill="1" applyBorder="1" applyAlignment="1">
      <alignment horizontal="center"/>
    </xf>
    <xf numFmtId="0" fontId="92" fillId="23" borderId="24" xfId="0" applyFont="1" applyFill="1" applyBorder="1" applyAlignment="1">
      <alignment horizontal="center"/>
    </xf>
    <xf numFmtId="0" fontId="92" fillId="23" borderId="25" xfId="0" applyFont="1" applyFill="1" applyBorder="1" applyAlignment="1">
      <alignment horizontal="center"/>
    </xf>
    <xf numFmtId="0" fontId="92" fillId="24" borderId="40" xfId="0" applyFont="1" applyFill="1" applyBorder="1" applyAlignment="1">
      <alignment horizontal="center"/>
    </xf>
    <xf numFmtId="0" fontId="92" fillId="24" borderId="3" xfId="0" applyFont="1" applyFill="1" applyBorder="1" applyAlignment="1">
      <alignment horizontal="center"/>
    </xf>
    <xf numFmtId="0" fontId="92" fillId="24" borderId="10" xfId="0" applyFont="1" applyFill="1" applyBorder="1" applyAlignment="1">
      <alignment horizontal="center"/>
    </xf>
    <xf numFmtId="0" fontId="92" fillId="23" borderId="40" xfId="0" applyFont="1" applyFill="1" applyBorder="1" applyAlignment="1">
      <alignment horizontal="center"/>
    </xf>
    <xf numFmtId="0" fontId="92" fillId="23" borderId="3" xfId="0" applyFont="1" applyFill="1" applyBorder="1" applyAlignment="1">
      <alignment horizontal="center"/>
    </xf>
    <xf numFmtId="0" fontId="92" fillId="23" borderId="41" xfId="0" applyFont="1" applyFill="1" applyBorder="1" applyAlignment="1">
      <alignment horizontal="center"/>
    </xf>
    <xf numFmtId="0" fontId="95" fillId="24" borderId="40" xfId="0" applyFont="1" applyFill="1" applyBorder="1" applyAlignment="1">
      <alignment horizontal="center"/>
    </xf>
    <xf numFmtId="0" fontId="79" fillId="24" borderId="0" xfId="0" applyFont="1" applyFill="1" applyBorder="1"/>
    <xf numFmtId="0" fontId="79" fillId="19" borderId="0" xfId="0" applyFont="1" applyFill="1"/>
    <xf numFmtId="0" fontId="79" fillId="23" borderId="0" xfId="0" applyFont="1" applyFill="1" applyBorder="1"/>
    <xf numFmtId="0" fontId="22" fillId="0" borderId="48" xfId="0" applyFont="1" applyBorder="1" applyAlignment="1" applyProtection="1">
      <alignment horizontal="center"/>
      <protection hidden="1"/>
    </xf>
    <xf numFmtId="168" fontId="25" fillId="20" borderId="6" xfId="0" applyNumberFormat="1" applyFont="1" applyFill="1" applyBorder="1" applyAlignment="1" applyProtection="1">
      <alignment horizontal="center"/>
      <protection locked="0"/>
    </xf>
    <xf numFmtId="0" fontId="82" fillId="22" borderId="48" xfId="0" applyNumberFormat="1" applyFont="1" applyFill="1" applyBorder="1" applyAlignment="1" applyProtection="1">
      <alignment horizontal="center" vertical="top"/>
      <protection locked="0"/>
    </xf>
    <xf numFmtId="167" fontId="25" fillId="4" borderId="4" xfId="0" applyNumberFormat="1" applyFont="1" applyFill="1" applyBorder="1" applyAlignment="1" applyProtection="1">
      <alignment horizontal="left"/>
      <protection hidden="1"/>
    </xf>
    <xf numFmtId="168" fontId="25" fillId="4" borderId="4" xfId="0" applyNumberFormat="1" applyFont="1" applyFill="1" applyBorder="1" applyAlignment="1" applyProtection="1">
      <alignment horizontal="left"/>
      <protection hidden="1"/>
    </xf>
    <xf numFmtId="0" fontId="82" fillId="22" borderId="48" xfId="0" applyFont="1" applyFill="1" applyBorder="1" applyAlignment="1" applyProtection="1">
      <alignment horizontal="center" vertical="top"/>
      <protection locked="0"/>
    </xf>
    <xf numFmtId="168" fontId="25" fillId="0" borderId="4" xfId="0" applyNumberFormat="1" applyFont="1" applyBorder="1" applyAlignment="1" applyProtection="1">
      <alignment horizontal="left"/>
      <protection hidden="1"/>
    </xf>
    <xf numFmtId="167" fontId="25" fillId="17" borderId="6" xfId="0" applyNumberFormat="1" applyFont="1" applyFill="1" applyBorder="1" applyAlignment="1" applyProtection="1">
      <alignment horizontal="left"/>
    </xf>
    <xf numFmtId="0" fontId="30" fillId="17" borderId="48" xfId="0" applyNumberFormat="1" applyFont="1" applyFill="1" applyBorder="1" applyAlignment="1" applyProtection="1">
      <alignment horizontal="center" vertical="top"/>
    </xf>
    <xf numFmtId="0" fontId="22" fillId="0" borderId="45" xfId="0" applyFont="1" applyBorder="1" applyAlignment="1" applyProtection="1">
      <alignment horizontal="center"/>
      <protection hidden="1"/>
    </xf>
    <xf numFmtId="167" fontId="25" fillId="4" borderId="51" xfId="0" applyNumberFormat="1" applyFont="1" applyFill="1" applyBorder="1" applyAlignment="1" applyProtection="1">
      <alignment horizontal="left"/>
      <protection hidden="1"/>
    </xf>
    <xf numFmtId="168" fontId="25" fillId="4" borderId="51" xfId="0" applyNumberFormat="1" applyFont="1" applyFill="1" applyBorder="1" applyAlignment="1" applyProtection="1">
      <alignment horizontal="left"/>
      <protection hidden="1"/>
    </xf>
    <xf numFmtId="167" fontId="25" fillId="17" borderId="6" xfId="0" applyNumberFormat="1" applyFont="1" applyFill="1" applyBorder="1" applyAlignment="1" applyProtection="1">
      <alignment horizontal="left"/>
      <protection hidden="1"/>
    </xf>
    <xf numFmtId="0" fontId="58" fillId="6" borderId="15" xfId="0" applyFont="1" applyFill="1" applyBorder="1" applyProtection="1">
      <protection hidden="1"/>
    </xf>
    <xf numFmtId="0" fontId="58" fillId="6" borderId="16" xfId="0" applyFont="1" applyFill="1" applyBorder="1" applyProtection="1">
      <protection hidden="1"/>
    </xf>
    <xf numFmtId="166" fontId="88" fillId="6" borderId="21" xfId="0" applyNumberFormat="1" applyFont="1" applyFill="1" applyBorder="1" applyAlignment="1" applyProtection="1">
      <alignment horizontal="center"/>
      <protection hidden="1"/>
    </xf>
    <xf numFmtId="0" fontId="59" fillId="6" borderId="0" xfId="0" applyFont="1" applyFill="1" applyBorder="1" applyProtection="1">
      <protection hidden="1"/>
    </xf>
    <xf numFmtId="0" fontId="59" fillId="19" borderId="0" xfId="0" applyFont="1" applyFill="1" applyBorder="1" applyProtection="1">
      <protection hidden="1"/>
    </xf>
    <xf numFmtId="0" fontId="89" fillId="6" borderId="21" xfId="0" applyFont="1" applyFill="1" applyBorder="1" applyAlignment="1" applyProtection="1">
      <alignment horizontal="center"/>
      <protection hidden="1"/>
    </xf>
    <xf numFmtId="1" fontId="90" fillId="6" borderId="21" xfId="0" applyNumberFormat="1" applyFont="1" applyFill="1" applyBorder="1" applyAlignment="1" applyProtection="1">
      <alignment horizontal="center" vertical="center"/>
      <protection hidden="1"/>
    </xf>
    <xf numFmtId="1" fontId="90" fillId="19" borderId="0" xfId="0" applyNumberFormat="1" applyFont="1" applyFill="1" applyBorder="1" applyAlignment="1" applyProtection="1">
      <alignment horizontal="center" vertical="center"/>
      <protection hidden="1"/>
    </xf>
    <xf numFmtId="1" fontId="91" fillId="6" borderId="0" xfId="0" applyNumberFormat="1" applyFont="1" applyFill="1" applyBorder="1" applyAlignment="1" applyProtection="1">
      <alignment horizontal="center" vertical="center"/>
      <protection hidden="1"/>
    </xf>
    <xf numFmtId="0" fontId="89" fillId="6" borderId="21" xfId="0" applyFont="1" applyFill="1" applyBorder="1" applyProtection="1">
      <protection hidden="1"/>
    </xf>
    <xf numFmtId="1" fontId="90" fillId="6" borderId="21" xfId="0" applyNumberFormat="1" applyFont="1" applyFill="1" applyBorder="1" applyAlignment="1" applyProtection="1">
      <alignment horizontal="left" vertical="center"/>
      <protection hidden="1"/>
    </xf>
    <xf numFmtId="0" fontId="58" fillId="6" borderId="22" xfId="0" applyFont="1" applyFill="1" applyBorder="1" applyProtection="1">
      <protection hidden="1"/>
    </xf>
    <xf numFmtId="167" fontId="59" fillId="6" borderId="21" xfId="0" applyNumberFormat="1" applyFont="1" applyFill="1" applyBorder="1" applyAlignment="1" applyProtection="1">
      <alignment horizontal="center"/>
      <protection hidden="1"/>
    </xf>
    <xf numFmtId="0" fontId="58" fillId="0" borderId="22" xfId="0" applyFont="1" applyBorder="1" applyProtection="1">
      <protection hidden="1"/>
    </xf>
    <xf numFmtId="0" fontId="59" fillId="6" borderId="21" xfId="0" applyFont="1" applyFill="1" applyBorder="1" applyProtection="1">
      <protection hidden="1"/>
    </xf>
    <xf numFmtId="0" fontId="59" fillId="6" borderId="21" xfId="0" applyFont="1" applyFill="1" applyBorder="1" applyAlignment="1" applyProtection="1">
      <alignment horizontal="center"/>
      <protection hidden="1"/>
    </xf>
    <xf numFmtId="1" fontId="90" fillId="6" borderId="18" xfId="0" applyNumberFormat="1" applyFont="1" applyFill="1" applyBorder="1" applyAlignment="1" applyProtection="1">
      <alignment horizontal="left" vertical="center"/>
      <protection hidden="1"/>
    </xf>
    <xf numFmtId="1" fontId="90" fillId="6" borderId="19" xfId="0" applyNumberFormat="1" applyFont="1" applyFill="1" applyBorder="1" applyAlignment="1" applyProtection="1">
      <alignment horizontal="left" vertical="center"/>
      <protection hidden="1"/>
    </xf>
    <xf numFmtId="0" fontId="98" fillId="21" borderId="3" xfId="0" applyFont="1" applyFill="1" applyBorder="1" applyAlignment="1" applyProtection="1">
      <alignment horizontal="center"/>
      <protection locked="0"/>
    </xf>
    <xf numFmtId="0" fontId="99" fillId="0" borderId="0" xfId="0" applyFont="1" applyAlignment="1">
      <alignment vertical="center"/>
    </xf>
    <xf numFmtId="0" fontId="58" fillId="24" borderId="40" xfId="0" applyFont="1" applyFill="1" applyBorder="1" applyAlignment="1">
      <alignment horizontal="center"/>
    </xf>
    <xf numFmtId="0" fontId="58" fillId="24" borderId="3" xfId="0" applyFont="1" applyFill="1" applyBorder="1" applyAlignment="1">
      <alignment horizontal="center"/>
    </xf>
    <xf numFmtId="0" fontId="58" fillId="24" borderId="10" xfId="0" applyFont="1" applyFill="1" applyBorder="1" applyAlignment="1">
      <alignment horizontal="center"/>
    </xf>
    <xf numFmtId="0" fontId="58" fillId="23" borderId="40" xfId="0" applyFont="1" applyFill="1" applyBorder="1" applyAlignment="1">
      <alignment horizontal="center"/>
    </xf>
    <xf numFmtId="0" fontId="58" fillId="23" borderId="3" xfId="0" applyFont="1" applyFill="1" applyBorder="1" applyAlignment="1">
      <alignment horizontal="center"/>
    </xf>
    <xf numFmtId="0" fontId="58" fillId="23" borderId="41" xfId="0" applyFont="1" applyFill="1" applyBorder="1" applyAlignment="1">
      <alignment horizontal="center"/>
    </xf>
    <xf numFmtId="0" fontId="100" fillId="24" borderId="40" xfId="0" applyFont="1" applyFill="1" applyBorder="1" applyAlignment="1">
      <alignment horizontal="center"/>
    </xf>
    <xf numFmtId="0" fontId="58" fillId="6" borderId="0" xfId="0" applyFont="1" applyFill="1" applyBorder="1" applyProtection="1">
      <protection hidden="1"/>
    </xf>
    <xf numFmtId="0" fontId="1" fillId="6" borderId="0" xfId="0" applyFont="1" applyFill="1" applyBorder="1" applyProtection="1">
      <protection hidden="1"/>
    </xf>
    <xf numFmtId="0" fontId="102" fillId="6" borderId="15" xfId="0" applyFont="1" applyFill="1" applyBorder="1" applyAlignment="1" applyProtection="1">
      <alignment horizontal="right"/>
      <protection hidden="1"/>
    </xf>
    <xf numFmtId="0" fontId="102" fillId="6" borderId="16" xfId="0" applyFont="1" applyFill="1" applyBorder="1" applyAlignment="1" applyProtection="1">
      <alignment horizontal="right"/>
      <protection hidden="1"/>
    </xf>
    <xf numFmtId="0" fontId="102" fillId="6" borderId="18" xfId="0" applyFont="1" applyFill="1" applyBorder="1" applyAlignment="1" applyProtection="1">
      <alignment horizontal="right"/>
      <protection hidden="1"/>
    </xf>
    <xf numFmtId="0" fontId="102" fillId="6" borderId="19" xfId="0" applyFont="1" applyFill="1" applyBorder="1" applyAlignment="1" applyProtection="1">
      <alignment horizontal="right"/>
      <protection hidden="1"/>
    </xf>
    <xf numFmtId="0" fontId="79" fillId="0" borderId="3" xfId="0" applyFont="1" applyFill="1" applyBorder="1" applyAlignment="1" applyProtection="1">
      <alignment horizontal="center"/>
      <protection hidden="1"/>
    </xf>
    <xf numFmtId="0" fontId="78" fillId="0" borderId="16" xfId="0" applyFont="1" applyFill="1" applyBorder="1" applyAlignment="1" applyProtection="1">
      <alignment horizontal="center"/>
      <protection hidden="1"/>
    </xf>
    <xf numFmtId="0" fontId="79" fillId="6" borderId="4" xfId="0" applyFont="1" applyFill="1" applyBorder="1" applyAlignment="1" applyProtection="1">
      <alignment horizontal="center"/>
      <protection hidden="1"/>
    </xf>
    <xf numFmtId="0" fontId="79" fillId="0" borderId="39" xfId="0" applyFont="1" applyBorder="1" applyAlignment="1" applyProtection="1">
      <alignment horizontal="center"/>
      <protection hidden="1"/>
    </xf>
    <xf numFmtId="0" fontId="79" fillId="0" borderId="39" xfId="0" applyFont="1" applyBorder="1" applyProtection="1">
      <protection hidden="1"/>
    </xf>
    <xf numFmtId="0" fontId="79" fillId="6" borderId="5" xfId="0" applyFont="1" applyFill="1" applyBorder="1" applyAlignment="1" applyProtection="1">
      <alignment horizontal="center"/>
      <protection hidden="1"/>
    </xf>
    <xf numFmtId="0" fontId="78" fillId="0" borderId="0" xfId="0" applyFont="1" applyFill="1" applyBorder="1" applyAlignment="1" applyProtection="1">
      <alignment horizontal="center"/>
      <protection hidden="1"/>
    </xf>
    <xf numFmtId="0" fontId="79" fillId="6" borderId="6" xfId="0" applyFont="1" applyFill="1" applyBorder="1" applyAlignment="1" applyProtection="1">
      <alignment horizontal="center"/>
      <protection hidden="1"/>
    </xf>
    <xf numFmtId="0" fontId="79" fillId="0" borderId="0" xfId="0" applyFont="1" applyBorder="1" applyAlignment="1" applyProtection="1">
      <alignment horizontal="center"/>
      <protection hidden="1"/>
    </xf>
    <xf numFmtId="0" fontId="79" fillId="0" borderId="0" xfId="0" applyFont="1" applyBorder="1" applyProtection="1">
      <protection hidden="1"/>
    </xf>
    <xf numFmtId="0" fontId="79" fillId="6" borderId="7" xfId="0" applyFont="1" applyFill="1" applyBorder="1" applyAlignment="1" applyProtection="1">
      <alignment horizontal="center"/>
      <protection hidden="1"/>
    </xf>
    <xf numFmtId="0" fontId="103" fillId="6" borderId="6" xfId="0" applyFont="1" applyFill="1" applyBorder="1" applyAlignment="1" applyProtection="1">
      <alignment horizontal="center"/>
      <protection hidden="1"/>
    </xf>
    <xf numFmtId="0" fontId="104" fillId="6" borderId="6" xfId="0" applyFont="1" applyFill="1" applyBorder="1" applyAlignment="1" applyProtection="1">
      <alignment horizontal="center" vertical="top"/>
      <protection hidden="1"/>
    </xf>
    <xf numFmtId="0" fontId="105" fillId="6" borderId="6" xfId="0" applyFont="1" applyFill="1" applyBorder="1" applyAlignment="1" applyProtection="1">
      <alignment horizontal="center" vertical="top"/>
      <protection hidden="1"/>
    </xf>
    <xf numFmtId="0" fontId="79" fillId="0" borderId="19" xfId="0" applyFont="1" applyFill="1" applyBorder="1" applyAlignment="1" applyProtection="1">
      <alignment horizontal="center"/>
      <protection hidden="1"/>
    </xf>
    <xf numFmtId="0" fontId="79" fillId="6" borderId="48" xfId="0" applyFont="1" applyFill="1" applyBorder="1" applyAlignment="1" applyProtection="1">
      <alignment horizontal="center"/>
      <protection hidden="1"/>
    </xf>
    <xf numFmtId="0" fontId="79" fillId="0" borderId="9" xfId="0" applyFont="1" applyBorder="1" applyAlignment="1" applyProtection="1">
      <alignment horizontal="center"/>
      <protection hidden="1"/>
    </xf>
    <xf numFmtId="0" fontId="79" fillId="0" borderId="9" xfId="0" applyFont="1" applyBorder="1" applyProtection="1">
      <protection hidden="1"/>
    </xf>
    <xf numFmtId="0" fontId="79" fillId="0" borderId="49" xfId="0" applyFont="1" applyBorder="1" applyProtection="1">
      <protection hidden="1"/>
    </xf>
    <xf numFmtId="171" fontId="1" fillId="19" borderId="2" xfId="0" applyNumberFormat="1" applyFont="1" applyFill="1" applyBorder="1" applyAlignment="1" applyProtection="1">
      <alignment horizontal="center"/>
      <protection hidden="1"/>
    </xf>
    <xf numFmtId="0" fontId="82" fillId="22" borderId="52" xfId="0" applyNumberFormat="1" applyFont="1" applyFill="1" applyBorder="1" applyAlignment="1" applyProtection="1">
      <alignment horizontal="center" vertical="top"/>
      <protection locked="0"/>
    </xf>
    <xf numFmtId="0" fontId="70" fillId="6" borderId="0" xfId="0" applyFont="1" applyFill="1" applyBorder="1" applyProtection="1">
      <protection hidden="1"/>
    </xf>
    <xf numFmtId="1" fontId="108" fillId="6" borderId="53" xfId="0" applyNumberFormat="1" applyFont="1" applyFill="1" applyBorder="1" applyAlignment="1" applyProtection="1">
      <protection hidden="1"/>
    </xf>
    <xf numFmtId="1" fontId="108" fillId="6" borderId="54" xfId="0" applyNumberFormat="1" applyFont="1" applyFill="1" applyBorder="1" applyAlignment="1" applyProtection="1">
      <protection hidden="1"/>
    </xf>
    <xf numFmtId="169" fontId="108" fillId="0" borderId="53" xfId="0" applyNumberFormat="1" applyFont="1" applyBorder="1" applyAlignment="1" applyProtection="1">
      <protection hidden="1"/>
    </xf>
    <xf numFmtId="170" fontId="108" fillId="6" borderId="56" xfId="0" applyNumberFormat="1" applyFont="1" applyFill="1" applyBorder="1" applyAlignment="1" applyProtection="1">
      <protection hidden="1"/>
    </xf>
    <xf numFmtId="1" fontId="108" fillId="6" borderId="55" xfId="0" applyNumberFormat="1" applyFont="1" applyFill="1" applyBorder="1" applyAlignment="1" applyProtection="1">
      <protection hidden="1"/>
    </xf>
    <xf numFmtId="169" fontId="102" fillId="6" borderId="27" xfId="0" applyNumberFormat="1" applyFont="1" applyFill="1" applyBorder="1" applyAlignment="1" applyProtection="1">
      <alignment horizontal="left"/>
      <protection hidden="1"/>
    </xf>
    <xf numFmtId="0" fontId="106" fillId="0" borderId="53" xfId="0" applyFont="1" applyBorder="1" applyProtection="1">
      <protection hidden="1"/>
    </xf>
    <xf numFmtId="0" fontId="4" fillId="6" borderId="10" xfId="0" applyFont="1" applyFill="1" applyBorder="1" applyAlignment="1" applyProtection="1">
      <alignment horizontal="center"/>
      <protection hidden="1"/>
    </xf>
    <xf numFmtId="0" fontId="28" fillId="6" borderId="11" xfId="1" applyFont="1" applyFill="1" applyBorder="1" applyAlignment="1" applyProtection="1">
      <alignment horizontal="center" wrapText="1"/>
      <protection hidden="1"/>
    </xf>
    <xf numFmtId="171" fontId="1" fillId="16" borderId="1" xfId="0" applyNumberFormat="1" applyFont="1" applyFill="1" applyBorder="1" applyAlignment="1" applyProtection="1">
      <alignment horizontal="center"/>
      <protection locked="0"/>
    </xf>
    <xf numFmtId="0" fontId="28" fillId="6" borderId="53" xfId="1" applyFont="1" applyFill="1" applyBorder="1" applyAlignment="1" applyProtection="1">
      <alignment horizontal="center" wrapText="1"/>
      <protection hidden="1"/>
    </xf>
    <xf numFmtId="0" fontId="26" fillId="6" borderId="0" xfId="0" applyFont="1" applyFill="1" applyAlignment="1" applyProtection="1">
      <alignment horizontal="left"/>
      <protection hidden="1"/>
    </xf>
    <xf numFmtId="0" fontId="26" fillId="0" borderId="0" xfId="0" applyFont="1" applyFill="1" applyAlignment="1" applyProtection="1">
      <alignment horizontal="left"/>
      <protection hidden="1"/>
    </xf>
    <xf numFmtId="0" fontId="66" fillId="0" borderId="0" xfId="0" applyFont="1" applyAlignment="1" applyProtection="1">
      <alignment horizontal="right"/>
      <protection hidden="1"/>
    </xf>
    <xf numFmtId="14" fontId="0" fillId="0" borderId="0" xfId="0" applyNumberFormat="1"/>
    <xf numFmtId="1" fontId="64" fillId="0" borderId="0" xfId="0" applyNumberFormat="1" applyFont="1" applyAlignment="1" applyProtection="1">
      <alignment horizontal="left"/>
      <protection hidden="1"/>
    </xf>
    <xf numFmtId="0" fontId="1" fillId="0" borderId="0" xfId="0" applyFont="1" applyProtection="1">
      <protection hidden="1"/>
    </xf>
    <xf numFmtId="0" fontId="89" fillId="0" borderId="21" xfId="0" applyFont="1" applyBorder="1" applyProtection="1">
      <protection hidden="1"/>
    </xf>
    <xf numFmtId="0" fontId="59" fillId="0" borderId="0" xfId="0" applyFont="1" applyBorder="1" applyProtection="1">
      <protection hidden="1"/>
    </xf>
    <xf numFmtId="0" fontId="59" fillId="0" borderId="21" xfId="0" applyFont="1" applyBorder="1" applyProtection="1">
      <protection hidden="1"/>
    </xf>
    <xf numFmtId="0" fontId="58" fillId="0" borderId="20" xfId="0" applyFont="1" applyBorder="1" applyProtection="1">
      <protection hidden="1"/>
    </xf>
    <xf numFmtId="0" fontId="81" fillId="0" borderId="0" xfId="0" applyFont="1" applyProtection="1">
      <protection hidden="1"/>
    </xf>
    <xf numFmtId="0" fontId="81" fillId="0" borderId="0" xfId="0" applyFont="1" applyAlignment="1" applyProtection="1">
      <alignment horizontal="center"/>
      <protection hidden="1"/>
    </xf>
    <xf numFmtId="0" fontId="59" fillId="0" borderId="0" xfId="0" applyFont="1" applyAlignment="1" applyProtection="1">
      <alignment horizontal="center"/>
      <protection hidden="1"/>
    </xf>
    <xf numFmtId="0" fontId="102" fillId="27" borderId="24" xfId="0" applyNumberFormat="1" applyFont="1" applyFill="1" applyBorder="1" applyAlignment="1" applyProtection="1">
      <alignment horizontal="center"/>
      <protection locked="0"/>
    </xf>
    <xf numFmtId="0" fontId="102" fillId="27" borderId="43" xfId="0" applyNumberFormat="1" applyFont="1" applyFill="1" applyBorder="1" applyAlignment="1" applyProtection="1">
      <alignment horizontal="center"/>
      <protection locked="0"/>
    </xf>
    <xf numFmtId="0" fontId="102" fillId="26" borderId="25" xfId="0" applyFont="1" applyFill="1" applyBorder="1" applyAlignment="1" applyProtection="1">
      <alignment horizontal="center"/>
      <protection locked="0"/>
    </xf>
    <xf numFmtId="164" fontId="86" fillId="0" borderId="0" xfId="0" applyNumberFormat="1" applyFont="1" applyFill="1" applyBorder="1" applyAlignment="1" applyProtection="1">
      <alignment horizontal="center" vertical="center"/>
      <protection hidden="1"/>
    </xf>
    <xf numFmtId="0" fontId="87" fillId="0" borderId="0" xfId="0" applyFont="1" applyBorder="1" applyAlignment="1" applyProtection="1">
      <alignment horizontal="center" vertical="center"/>
      <protection hidden="1"/>
    </xf>
    <xf numFmtId="0" fontId="87" fillId="0" borderId="19" xfId="0" applyFont="1" applyBorder="1" applyAlignment="1" applyProtection="1">
      <alignment horizontal="center" vertical="center"/>
      <protection hidden="1"/>
    </xf>
    <xf numFmtId="0" fontId="1" fillId="0" borderId="0" xfId="0" applyFont="1" applyAlignment="1" applyProtection="1">
      <alignment horizontal="center"/>
      <protection hidden="1"/>
    </xf>
    <xf numFmtId="1" fontId="79" fillId="0" borderId="23" xfId="0" applyNumberFormat="1" applyFont="1" applyFill="1" applyBorder="1" applyAlignment="1" applyProtection="1">
      <alignment horizontal="center" vertical="center"/>
      <protection hidden="1"/>
    </xf>
    <xf numFmtId="1" fontId="92" fillId="0" borderId="45" xfId="0" applyNumberFormat="1" applyFont="1" applyBorder="1" applyAlignment="1" applyProtection="1">
      <alignment horizontal="center" vertical="center"/>
      <protection hidden="1"/>
    </xf>
    <xf numFmtId="1" fontId="79" fillId="0" borderId="40" xfId="0" applyNumberFormat="1" applyFont="1" applyFill="1" applyBorder="1" applyAlignment="1" applyProtection="1">
      <alignment horizontal="center" vertical="center"/>
      <protection hidden="1"/>
    </xf>
    <xf numFmtId="1" fontId="79" fillId="0" borderId="10" xfId="0" applyNumberFormat="1" applyFont="1" applyBorder="1" applyAlignment="1" applyProtection="1">
      <alignment horizontal="center" vertical="center"/>
      <protection hidden="1"/>
    </xf>
    <xf numFmtId="0" fontId="97" fillId="0" borderId="0" xfId="0" applyFont="1" applyAlignment="1" applyProtection="1">
      <alignment horizontal="right"/>
      <protection hidden="1"/>
    </xf>
    <xf numFmtId="2" fontId="93" fillId="0" borderId="0" xfId="0" applyNumberFormat="1" applyFont="1" applyAlignment="1" applyProtection="1">
      <alignment horizontal="left"/>
      <protection hidden="1"/>
    </xf>
    <xf numFmtId="2" fontId="108" fillId="0" borderId="55" xfId="0" applyNumberFormat="1" applyFont="1" applyBorder="1" applyAlignment="1" applyProtection="1">
      <protection hidden="1"/>
    </xf>
    <xf numFmtId="0" fontId="64" fillId="0" borderId="0" xfId="0" applyFont="1" applyAlignment="1" applyProtection="1">
      <alignment horizontal="left"/>
      <protection hidden="1"/>
    </xf>
    <xf numFmtId="0" fontId="108" fillId="0" borderId="53" xfId="0" applyFont="1" applyBorder="1" applyAlignment="1" applyProtection="1">
      <protection hidden="1"/>
    </xf>
    <xf numFmtId="0" fontId="83" fillId="0" borderId="0" xfId="0" applyFont="1" applyAlignment="1" applyProtection="1">
      <alignment horizontal="left"/>
      <protection hidden="1"/>
    </xf>
    <xf numFmtId="0" fontId="83" fillId="0" borderId="0" xfId="0" applyFont="1" applyAlignment="1" applyProtection="1">
      <alignment horizontal="left" vertical="center"/>
      <protection hidden="1"/>
    </xf>
    <xf numFmtId="0" fontId="108" fillId="0" borderId="53" xfId="0" applyFont="1" applyBorder="1" applyAlignment="1" applyProtection="1">
      <alignment vertical="center"/>
      <protection hidden="1"/>
    </xf>
    <xf numFmtId="1" fontId="79" fillId="0" borderId="41" xfId="0" applyNumberFormat="1" applyFont="1" applyBorder="1" applyAlignment="1" applyProtection="1">
      <alignment horizontal="center" vertical="center"/>
      <protection hidden="1"/>
    </xf>
    <xf numFmtId="168" fontId="0" fillId="0" borderId="0" xfId="0" applyNumberFormat="1" applyProtection="1">
      <protection hidden="1"/>
    </xf>
    <xf numFmtId="0" fontId="63" fillId="0" borderId="3" xfId="0" applyFont="1" applyBorder="1" applyAlignment="1" applyProtection="1">
      <alignment horizontal="right"/>
      <protection hidden="1"/>
    </xf>
    <xf numFmtId="168" fontId="63" fillId="0" borderId="3" xfId="0" applyNumberFormat="1" applyFont="1" applyBorder="1" applyAlignment="1" applyProtection="1">
      <alignment horizontal="left" vertical="center"/>
      <protection hidden="1"/>
    </xf>
    <xf numFmtId="0" fontId="63" fillId="0" borderId="3" xfId="0" applyFont="1" applyBorder="1" applyAlignment="1" applyProtection="1">
      <alignment horizontal="left" vertical="center"/>
      <protection hidden="1"/>
    </xf>
    <xf numFmtId="168" fontId="1" fillId="0" borderId="0" xfId="0" applyNumberFormat="1" applyFont="1" applyAlignment="1" applyProtection="1">
      <alignment horizontal="center" vertical="center"/>
      <protection hidden="1"/>
    </xf>
    <xf numFmtId="0" fontId="65" fillId="0" borderId="4" xfId="0" applyFont="1" applyBorder="1" applyAlignment="1" applyProtection="1">
      <alignment horizontal="left"/>
      <protection hidden="1"/>
    </xf>
    <xf numFmtId="0" fontId="71" fillId="0" borderId="9" xfId="0" applyFont="1" applyBorder="1" applyProtection="1">
      <protection hidden="1"/>
    </xf>
    <xf numFmtId="0" fontId="65" fillId="0" borderId="3" xfId="0" applyFont="1" applyBorder="1" applyAlignment="1" applyProtection="1">
      <alignment horizontal="center" vertical="center"/>
      <protection hidden="1"/>
    </xf>
    <xf numFmtId="0" fontId="54" fillId="0" borderId="3" xfId="0" applyFont="1" applyBorder="1" applyAlignment="1" applyProtection="1">
      <alignment horizontal="center" vertical="center" wrapText="1"/>
      <protection hidden="1"/>
    </xf>
    <xf numFmtId="166" fontId="0" fillId="0" borderId="3" xfId="0" applyNumberFormat="1" applyBorder="1" applyAlignment="1" applyProtection="1">
      <alignment horizontal="right"/>
      <protection hidden="1"/>
    </xf>
    <xf numFmtId="0" fontId="63" fillId="0" borderId="3" xfId="0" applyFont="1" applyFill="1" applyBorder="1" applyAlignment="1" applyProtection="1">
      <alignment horizontal="center"/>
      <protection hidden="1"/>
    </xf>
    <xf numFmtId="9" fontId="63" fillId="0" borderId="3" xfId="0" applyNumberFormat="1" applyFont="1" applyFill="1" applyBorder="1" applyAlignment="1" applyProtection="1">
      <alignment horizontal="center"/>
      <protection hidden="1"/>
    </xf>
    <xf numFmtId="166" fontId="58" fillId="0" borderId="0" xfId="0" applyNumberFormat="1" applyFont="1" applyProtection="1">
      <protection hidden="1"/>
    </xf>
    <xf numFmtId="0" fontId="1" fillId="0" borderId="3" xfId="0" applyFont="1" applyBorder="1" applyAlignment="1" applyProtection="1">
      <alignment horizontal="right"/>
      <protection hidden="1"/>
    </xf>
    <xf numFmtId="1" fontId="0" fillId="0" borderId="3" xfId="0" applyNumberFormat="1" applyBorder="1" applyAlignment="1" applyProtection="1">
      <alignment horizontal="left"/>
      <protection hidden="1"/>
    </xf>
    <xf numFmtId="0" fontId="58" fillId="0" borderId="0" xfId="0" applyFont="1" applyFill="1" applyProtection="1">
      <protection hidden="1"/>
    </xf>
    <xf numFmtId="0" fontId="4" fillId="0" borderId="0" xfId="0" applyFont="1" applyAlignment="1" applyProtection="1">
      <alignment horizontal="center"/>
      <protection hidden="1"/>
    </xf>
    <xf numFmtId="0" fontId="77" fillId="0" borderId="0" xfId="0" applyFont="1" applyProtection="1">
      <protection hidden="1"/>
    </xf>
    <xf numFmtId="0" fontId="77" fillId="0" borderId="0" xfId="0" applyFont="1" applyAlignment="1" applyProtection="1">
      <alignment horizontal="center"/>
      <protection hidden="1"/>
    </xf>
    <xf numFmtId="0" fontId="94" fillId="0" borderId="0" xfId="0" applyFont="1" applyProtection="1">
      <protection hidden="1"/>
    </xf>
    <xf numFmtId="0" fontId="79" fillId="0" borderId="0" xfId="0" applyFont="1" applyProtection="1">
      <protection hidden="1"/>
    </xf>
    <xf numFmtId="0" fontId="59" fillId="0" borderId="23" xfId="0" applyFont="1" applyBorder="1" applyProtection="1">
      <protection hidden="1"/>
    </xf>
    <xf numFmtId="0" fontId="59" fillId="0" borderId="24" xfId="0" applyFont="1" applyBorder="1" applyProtection="1">
      <protection hidden="1"/>
    </xf>
    <xf numFmtId="0" fontId="59" fillId="0" borderId="24" xfId="0" applyFont="1" applyBorder="1" applyAlignment="1" applyProtection="1">
      <alignment wrapText="1"/>
      <protection hidden="1"/>
    </xf>
    <xf numFmtId="0" fontId="59" fillId="0" borderId="25" xfId="0" applyFont="1" applyBorder="1" applyAlignment="1" applyProtection="1">
      <alignment wrapText="1"/>
      <protection hidden="1"/>
    </xf>
    <xf numFmtId="0" fontId="58" fillId="0" borderId="0" xfId="0" applyFont="1" applyAlignment="1" applyProtection="1">
      <alignment wrapText="1"/>
      <protection hidden="1"/>
    </xf>
    <xf numFmtId="0" fontId="77" fillId="0" borderId="0" xfId="0" applyFont="1" applyBorder="1" applyProtection="1">
      <protection hidden="1"/>
    </xf>
    <xf numFmtId="0" fontId="59" fillId="0" borderId="3" xfId="0" applyFont="1" applyBorder="1" applyProtection="1">
      <protection hidden="1"/>
    </xf>
    <xf numFmtId="0" fontId="59" fillId="0" borderId="3" xfId="0" applyFont="1" applyBorder="1" applyAlignment="1" applyProtection="1">
      <alignment horizontal="center" wrapText="1"/>
      <protection hidden="1"/>
    </xf>
    <xf numFmtId="0" fontId="59" fillId="0" borderId="41" xfId="0" applyFont="1" applyBorder="1" applyAlignment="1" applyProtection="1">
      <alignment horizontal="center" wrapText="1"/>
      <protection hidden="1"/>
    </xf>
    <xf numFmtId="0" fontId="58" fillId="0" borderId="0" xfId="0" applyFont="1" applyAlignment="1" applyProtection="1">
      <alignment horizontal="center" wrapText="1"/>
      <protection hidden="1"/>
    </xf>
    <xf numFmtId="0" fontId="79" fillId="0" borderId="0" xfId="0" applyFont="1" applyAlignment="1" applyProtection="1">
      <alignment horizontal="center"/>
      <protection hidden="1"/>
    </xf>
    <xf numFmtId="0" fontId="59" fillId="0" borderId="3" xfId="0" applyFont="1" applyBorder="1" applyAlignment="1" applyProtection="1">
      <alignment horizontal="center"/>
      <protection hidden="1"/>
    </xf>
    <xf numFmtId="0" fontId="59" fillId="0" borderId="41" xfId="0" applyFont="1" applyBorder="1" applyProtection="1">
      <protection hidden="1"/>
    </xf>
    <xf numFmtId="0" fontId="79" fillId="24" borderId="0" xfId="0" applyFont="1" applyFill="1" applyBorder="1" applyProtection="1">
      <protection hidden="1"/>
    </xf>
    <xf numFmtId="0" fontId="79" fillId="23" borderId="0" xfId="0" applyFont="1" applyFill="1" applyBorder="1" applyAlignment="1" applyProtection="1">
      <alignment horizontal="center"/>
      <protection hidden="1"/>
    </xf>
    <xf numFmtId="0" fontId="59" fillId="0" borderId="40" xfId="0" applyFont="1" applyBorder="1" applyAlignment="1" applyProtection="1">
      <alignment horizontal="center"/>
      <protection hidden="1"/>
    </xf>
    <xf numFmtId="10" fontId="59" fillId="0" borderId="3" xfId="0" applyNumberFormat="1" applyFont="1" applyFill="1" applyBorder="1" applyAlignment="1" applyProtection="1">
      <alignment horizontal="center"/>
      <protection hidden="1"/>
    </xf>
    <xf numFmtId="0" fontId="59" fillId="0" borderId="41" xfId="0" applyFont="1" applyBorder="1" applyAlignment="1" applyProtection="1">
      <alignment horizontal="center"/>
      <protection hidden="1"/>
    </xf>
    <xf numFmtId="0" fontId="92" fillId="24" borderId="23" xfId="0" applyFont="1" applyFill="1" applyBorder="1" applyAlignment="1" applyProtection="1">
      <alignment horizontal="center"/>
      <protection hidden="1"/>
    </xf>
    <xf numFmtId="0" fontId="92" fillId="24" borderId="24" xfId="0" applyFont="1" applyFill="1" applyBorder="1" applyAlignment="1" applyProtection="1">
      <alignment horizontal="center"/>
      <protection hidden="1"/>
    </xf>
    <xf numFmtId="0" fontId="92" fillId="24" borderId="45" xfId="0" applyFont="1" applyFill="1" applyBorder="1" applyAlignment="1" applyProtection="1">
      <alignment horizontal="center"/>
      <protection hidden="1"/>
    </xf>
    <xf numFmtId="0" fontId="92" fillId="23" borderId="23" xfId="0" applyFont="1" applyFill="1" applyBorder="1" applyAlignment="1" applyProtection="1">
      <alignment horizontal="center"/>
      <protection hidden="1"/>
    </xf>
    <xf numFmtId="0" fontId="92" fillId="23" borderId="24" xfId="0" applyFont="1" applyFill="1" applyBorder="1" applyAlignment="1" applyProtection="1">
      <alignment horizontal="center"/>
      <protection hidden="1"/>
    </xf>
    <xf numFmtId="0" fontId="59" fillId="0" borderId="40" xfId="0" applyFont="1" applyBorder="1" applyAlignment="1" applyProtection="1">
      <alignment horizontal="center" wrapText="1"/>
      <protection hidden="1"/>
    </xf>
    <xf numFmtId="0" fontId="59" fillId="0" borderId="3" xfId="0" applyFont="1" applyFill="1" applyBorder="1" applyAlignment="1" applyProtection="1">
      <alignment horizontal="center" wrapText="1"/>
      <protection hidden="1"/>
    </xf>
    <xf numFmtId="0" fontId="92" fillId="24" borderId="40" xfId="0" applyFont="1" applyFill="1" applyBorder="1" applyAlignment="1" applyProtection="1">
      <alignment horizontal="center"/>
      <protection hidden="1"/>
    </xf>
    <xf numFmtId="0" fontId="92" fillId="24" borderId="3" xfId="0" applyFont="1" applyFill="1" applyBorder="1" applyAlignment="1" applyProtection="1">
      <alignment horizontal="center"/>
      <protection hidden="1"/>
    </xf>
    <xf numFmtId="0" fontId="92" fillId="24" borderId="10" xfId="0" applyFont="1" applyFill="1" applyBorder="1" applyAlignment="1" applyProtection="1">
      <alignment horizontal="center"/>
      <protection hidden="1"/>
    </xf>
    <xf numFmtId="0" fontId="92" fillId="23" borderId="40" xfId="0" applyFont="1" applyFill="1" applyBorder="1" applyAlignment="1" applyProtection="1">
      <alignment horizontal="center"/>
      <protection hidden="1"/>
    </xf>
    <xf numFmtId="0" fontId="92" fillId="23" borderId="3" xfId="0" applyFont="1" applyFill="1" applyBorder="1" applyAlignment="1" applyProtection="1">
      <alignment horizontal="center"/>
      <protection hidden="1"/>
    </xf>
    <xf numFmtId="0" fontId="58" fillId="0" borderId="40" xfId="0" applyFont="1" applyBorder="1" applyAlignment="1" applyProtection="1">
      <alignment horizontal="center"/>
      <protection hidden="1"/>
    </xf>
    <xf numFmtId="10" fontId="58" fillId="0" borderId="3" xfId="0" applyNumberFormat="1" applyFont="1" applyFill="1" applyBorder="1" applyAlignment="1" applyProtection="1">
      <alignment horizontal="center"/>
      <protection hidden="1"/>
    </xf>
    <xf numFmtId="0" fontId="58" fillId="0" borderId="3" xfId="0" applyFont="1" applyBorder="1" applyAlignment="1" applyProtection="1">
      <alignment horizontal="center"/>
      <protection hidden="1"/>
    </xf>
    <xf numFmtId="0" fontId="58" fillId="0" borderId="41" xfId="0" applyFont="1" applyBorder="1" applyAlignment="1" applyProtection="1">
      <alignment horizontal="center"/>
      <protection hidden="1"/>
    </xf>
    <xf numFmtId="0" fontId="58" fillId="24" borderId="40" xfId="0" applyFont="1" applyFill="1" applyBorder="1" applyAlignment="1" applyProtection="1">
      <alignment horizontal="center"/>
      <protection hidden="1"/>
    </xf>
    <xf numFmtId="0" fontId="58" fillId="24" borderId="3" xfId="0" applyFont="1" applyFill="1" applyBorder="1" applyAlignment="1" applyProtection="1">
      <alignment horizontal="center"/>
      <protection hidden="1"/>
    </xf>
    <xf numFmtId="0" fontId="58" fillId="24" borderId="10" xfId="0" applyFont="1" applyFill="1" applyBorder="1" applyAlignment="1" applyProtection="1">
      <alignment horizontal="center"/>
      <protection hidden="1"/>
    </xf>
    <xf numFmtId="0" fontId="58" fillId="23" borderId="40" xfId="0" applyFont="1" applyFill="1" applyBorder="1" applyAlignment="1" applyProtection="1">
      <alignment horizontal="center"/>
      <protection hidden="1"/>
    </xf>
    <xf numFmtId="0" fontId="58" fillId="23" borderId="3" xfId="0" applyFont="1" applyFill="1" applyBorder="1" applyAlignment="1" applyProtection="1">
      <alignment horizontal="center"/>
      <protection hidden="1"/>
    </xf>
    <xf numFmtId="0" fontId="58" fillId="0" borderId="40" xfId="0" applyFont="1" applyBorder="1" applyAlignment="1" applyProtection="1">
      <alignment horizontal="center" wrapText="1"/>
      <protection hidden="1"/>
    </xf>
    <xf numFmtId="0" fontId="58" fillId="0" borderId="3" xfId="0" applyFont="1" applyFill="1" applyBorder="1" applyAlignment="1" applyProtection="1">
      <alignment horizontal="center" wrapText="1"/>
      <protection hidden="1"/>
    </xf>
    <xf numFmtId="166" fontId="58" fillId="0" borderId="0" xfId="0" applyNumberFormat="1" applyFont="1" applyAlignment="1" applyProtection="1">
      <alignment horizontal="center"/>
      <protection hidden="1"/>
    </xf>
    <xf numFmtId="0" fontId="100" fillId="24" borderId="40" xfId="0" applyFont="1" applyFill="1" applyBorder="1" applyAlignment="1" applyProtection="1">
      <alignment horizontal="center"/>
      <protection hidden="1"/>
    </xf>
    <xf numFmtId="0" fontId="101" fillId="0" borderId="0" xfId="0" applyFont="1" applyAlignment="1" applyProtection="1">
      <alignment horizontal="center"/>
      <protection hidden="1"/>
    </xf>
    <xf numFmtId="0" fontId="79" fillId="0" borderId="18" xfId="0" applyFont="1" applyFill="1" applyBorder="1" applyAlignment="1" applyProtection="1">
      <alignment horizontal="center"/>
      <protection hidden="1"/>
    </xf>
    <xf numFmtId="0" fontId="79" fillId="0" borderId="20" xfId="0" applyFont="1" applyBorder="1" applyAlignment="1" applyProtection="1">
      <alignment horizontal="center" vertical="center"/>
      <protection hidden="1"/>
    </xf>
    <xf numFmtId="0" fontId="58" fillId="0" borderId="0" xfId="0" applyFont="1" applyAlignment="1" applyProtection="1">
      <alignment horizontal="center" vertical="center"/>
      <protection hidden="1"/>
    </xf>
    <xf numFmtId="0" fontId="77" fillId="0" borderId="0" xfId="0" applyFont="1" applyAlignment="1" applyProtection="1">
      <alignment horizontal="center" vertical="center"/>
      <protection hidden="1"/>
    </xf>
    <xf numFmtId="0" fontId="95" fillId="24" borderId="40" xfId="0" applyFont="1" applyFill="1" applyBorder="1" applyAlignment="1" applyProtection="1">
      <alignment horizontal="center"/>
      <protection hidden="1"/>
    </xf>
    <xf numFmtId="0" fontId="59" fillId="0" borderId="42" xfId="0" applyFont="1" applyBorder="1" applyProtection="1">
      <protection hidden="1"/>
    </xf>
    <xf numFmtId="0" fontId="59" fillId="0" borderId="43" xfId="0" applyFont="1" applyFill="1" applyBorder="1" applyAlignment="1" applyProtection="1">
      <alignment horizontal="right"/>
      <protection hidden="1"/>
    </xf>
    <xf numFmtId="0" fontId="59" fillId="0" borderId="43" xfId="0" applyFont="1" applyBorder="1" applyAlignment="1" applyProtection="1">
      <alignment horizontal="center"/>
      <protection hidden="1"/>
    </xf>
    <xf numFmtId="0" fontId="59" fillId="0" borderId="44" xfId="0" applyFont="1" applyBorder="1" applyAlignment="1" applyProtection="1">
      <alignment horizontal="center"/>
      <protection hidden="1"/>
    </xf>
    <xf numFmtId="0" fontId="0" fillId="0" borderId="0" xfId="0" applyAlignment="1" applyProtection="1">
      <alignment horizontal="center" vertical="center"/>
      <protection hidden="1"/>
    </xf>
    <xf numFmtId="0" fontId="79" fillId="24" borderId="42" xfId="0" applyFont="1" applyFill="1" applyBorder="1" applyProtection="1">
      <protection hidden="1"/>
    </xf>
    <xf numFmtId="0" fontId="79" fillId="24" borderId="43" xfId="0" applyFont="1" applyFill="1" applyBorder="1" applyAlignment="1" applyProtection="1">
      <alignment horizontal="center"/>
      <protection hidden="1"/>
    </xf>
    <xf numFmtId="0" fontId="79" fillId="24" borderId="46" xfId="0" applyFont="1" applyFill="1" applyBorder="1" applyAlignment="1" applyProtection="1">
      <alignment horizontal="center"/>
      <protection hidden="1"/>
    </xf>
    <xf numFmtId="0" fontId="79" fillId="23" borderId="42" xfId="0" applyFont="1" applyFill="1" applyBorder="1" applyProtection="1">
      <protection hidden="1"/>
    </xf>
    <xf numFmtId="0" fontId="79" fillId="23" borderId="43" xfId="0" applyFont="1" applyFill="1" applyBorder="1" applyProtection="1">
      <protection hidden="1"/>
    </xf>
    <xf numFmtId="0" fontId="1" fillId="0" borderId="0" xfId="0" applyFont="1" applyAlignment="1" applyProtection="1">
      <alignment horizontal="center" vertical="center"/>
      <protection hidden="1"/>
    </xf>
    <xf numFmtId="1" fontId="79" fillId="25" borderId="3" xfId="0" applyNumberFormat="1" applyFont="1" applyFill="1" applyBorder="1" applyProtection="1">
      <protection hidden="1"/>
    </xf>
    <xf numFmtId="1" fontId="58" fillId="25" borderId="3" xfId="0" applyNumberFormat="1" applyFont="1" applyFill="1" applyBorder="1" applyProtection="1">
      <protection hidden="1"/>
    </xf>
    <xf numFmtId="1" fontId="79" fillId="0" borderId="3" xfId="0" applyNumberFormat="1" applyFont="1" applyBorder="1" applyAlignment="1" applyProtection="1">
      <alignment horizontal="center" vertical="center"/>
      <protection hidden="1"/>
    </xf>
    <xf numFmtId="1" fontId="79" fillId="0" borderId="3" xfId="0" applyNumberFormat="1" applyFont="1" applyBorder="1" applyAlignment="1" applyProtection="1">
      <alignment horizontal="center"/>
      <protection hidden="1"/>
    </xf>
    <xf numFmtId="1" fontId="79" fillId="0" borderId="3" xfId="0" applyNumberFormat="1" applyFont="1" applyBorder="1" applyProtection="1">
      <protection hidden="1"/>
    </xf>
    <xf numFmtId="0" fontId="4" fillId="6" borderId="2" xfId="0" applyFont="1" applyFill="1" applyBorder="1" applyAlignment="1" applyProtection="1">
      <alignment horizontal="center" vertical="center"/>
      <protection hidden="1"/>
    </xf>
    <xf numFmtId="0" fontId="63" fillId="0" borderId="0" xfId="0" applyFont="1" applyAlignment="1" applyProtection="1">
      <alignment horizontal="left" wrapText="1"/>
      <protection hidden="1"/>
    </xf>
    <xf numFmtId="0" fontId="63" fillId="22" borderId="0" xfId="0" applyFont="1" applyFill="1" applyAlignment="1" applyProtection="1">
      <alignment horizontal="left" wrapText="1"/>
      <protection hidden="1"/>
    </xf>
    <xf numFmtId="0" fontId="0" fillId="28" borderId="57" xfId="0" applyFill="1" applyBorder="1" applyProtection="1">
      <protection locked="0"/>
    </xf>
    <xf numFmtId="0" fontId="0" fillId="0" borderId="0" xfId="0" applyProtection="1">
      <protection locked="0"/>
    </xf>
    <xf numFmtId="0" fontId="0" fillId="28" borderId="0" xfId="0" applyFill="1" applyBorder="1" applyProtection="1">
      <protection locked="0"/>
    </xf>
    <xf numFmtId="0" fontId="4" fillId="0" borderId="0" xfId="0" applyFont="1"/>
    <xf numFmtId="0" fontId="4" fillId="0" borderId="0" xfId="0" applyFont="1" applyAlignment="1">
      <alignment horizontal="center"/>
    </xf>
    <xf numFmtId="0" fontId="81" fillId="0" borderId="0" xfId="0" applyFont="1"/>
    <xf numFmtId="0" fontId="109" fillId="0" borderId="0" xfId="0" applyFont="1"/>
    <xf numFmtId="0" fontId="58" fillId="19" borderId="0" xfId="0" applyFont="1" applyFill="1" applyBorder="1" applyProtection="1">
      <protection hidden="1"/>
    </xf>
    <xf numFmtId="0" fontId="109" fillId="19" borderId="0" xfId="0" applyFont="1" applyFill="1" applyBorder="1" applyProtection="1">
      <protection hidden="1"/>
    </xf>
    <xf numFmtId="1" fontId="110" fillId="19" borderId="0" xfId="0" applyNumberFormat="1" applyFont="1" applyFill="1" applyBorder="1" applyAlignment="1" applyProtection="1">
      <alignment horizontal="center" vertical="center"/>
      <protection hidden="1"/>
    </xf>
    <xf numFmtId="1" fontId="110" fillId="6" borderId="0" xfId="0" applyNumberFormat="1" applyFont="1" applyFill="1" applyBorder="1" applyAlignment="1" applyProtection="1">
      <alignment horizontal="left" vertical="center"/>
      <protection hidden="1"/>
    </xf>
    <xf numFmtId="0" fontId="58" fillId="0" borderId="0" xfId="0" applyFont="1" applyBorder="1"/>
    <xf numFmtId="1" fontId="110" fillId="6" borderId="0" xfId="0" applyNumberFormat="1" applyFont="1" applyFill="1" applyBorder="1" applyAlignment="1" applyProtection="1">
      <alignment horizontal="center" vertical="center"/>
      <protection hidden="1"/>
    </xf>
    <xf numFmtId="0" fontId="109" fillId="6" borderId="0" xfId="0" applyFont="1" applyFill="1" applyBorder="1" applyProtection="1">
      <protection hidden="1"/>
    </xf>
    <xf numFmtId="1" fontId="110" fillId="6" borderId="19" xfId="0" applyNumberFormat="1" applyFont="1" applyFill="1" applyBorder="1" applyAlignment="1" applyProtection="1">
      <alignment horizontal="left" vertical="center"/>
      <protection hidden="1"/>
    </xf>
    <xf numFmtId="2" fontId="64" fillId="0" borderId="0" xfId="0" applyNumberFormat="1" applyFont="1" applyAlignment="1" applyProtection="1">
      <alignment horizontal="left"/>
      <protection hidden="1"/>
    </xf>
    <xf numFmtId="0" fontId="66" fillId="0" borderId="0" xfId="0" applyFont="1" applyAlignment="1" applyProtection="1">
      <alignment horizontal="right"/>
      <protection hidden="1"/>
    </xf>
    <xf numFmtId="0" fontId="96" fillId="16" borderId="6" xfId="0" applyNumberFormat="1" applyFont="1" applyFill="1" applyBorder="1" applyAlignment="1" applyProtection="1">
      <alignment horizontal="center" vertical="center"/>
      <protection locked="0" hidden="1"/>
    </xf>
    <xf numFmtId="0" fontId="96" fillId="16" borderId="7" xfId="0" applyNumberFormat="1" applyFont="1" applyFill="1" applyBorder="1" applyAlignment="1" applyProtection="1">
      <alignment horizontal="center" vertical="center"/>
      <protection locked="0" hidden="1"/>
    </xf>
    <xf numFmtId="166" fontId="20" fillId="6" borderId="0" xfId="0" applyNumberFormat="1" applyFont="1" applyFill="1" applyAlignment="1" applyProtection="1">
      <alignment horizontal="left"/>
      <protection hidden="1"/>
    </xf>
    <xf numFmtId="0" fontId="21" fillId="6" borderId="0" xfId="0" applyFont="1" applyFill="1" applyAlignment="1" applyProtection="1">
      <alignment horizontal="left"/>
      <protection hidden="1"/>
    </xf>
    <xf numFmtId="0" fontId="0" fillId="6" borderId="0" xfId="0" applyFill="1" applyAlignment="1" applyProtection="1">
      <protection hidden="1"/>
    </xf>
    <xf numFmtId="0" fontId="68" fillId="0" borderId="29" xfId="0" applyFont="1" applyFill="1" applyBorder="1" applyAlignment="1" applyProtection="1">
      <alignment horizontal="center" vertical="center" wrapText="1"/>
      <protection hidden="1"/>
    </xf>
    <xf numFmtId="0" fontId="0" fillId="0" borderId="29" xfId="0" applyFill="1" applyBorder="1" applyAlignment="1" applyProtection="1">
      <alignment horizontal="center" vertical="center" wrapText="1"/>
      <protection hidden="1"/>
    </xf>
    <xf numFmtId="1" fontId="71" fillId="6" borderId="38" xfId="0" applyNumberFormat="1" applyFont="1" applyFill="1" applyBorder="1" applyAlignment="1" applyProtection="1">
      <alignment horizontal="justify" vertical="center" wrapText="1"/>
      <protection hidden="1"/>
    </xf>
    <xf numFmtId="0" fontId="63" fillId="0" borderId="50" xfId="0" applyFont="1" applyBorder="1" applyAlignment="1">
      <alignment horizontal="justify" vertical="center" wrapText="1"/>
    </xf>
    <xf numFmtId="0" fontId="63" fillId="0" borderId="10" xfId="0" applyFont="1" applyBorder="1" applyAlignment="1" applyProtection="1">
      <alignment horizontal="right"/>
      <protection hidden="1"/>
    </xf>
    <xf numFmtId="0" fontId="0" fillId="0" borderId="11" xfId="0" applyBorder="1" applyAlignment="1" applyProtection="1">
      <alignment horizontal="right"/>
      <protection hidden="1"/>
    </xf>
    <xf numFmtId="164" fontId="69" fillId="0" borderId="0" xfId="0" applyNumberFormat="1" applyFont="1" applyFill="1" applyAlignment="1" applyProtection="1">
      <alignment horizontal="center" vertical="center"/>
      <protection hidden="1"/>
    </xf>
    <xf numFmtId="164" fontId="69" fillId="0" borderId="19" xfId="0" applyNumberFormat="1" applyFont="1" applyFill="1" applyBorder="1" applyAlignment="1" applyProtection="1">
      <alignment horizontal="center" vertical="center"/>
      <protection hidden="1"/>
    </xf>
    <xf numFmtId="0" fontId="26" fillId="6" borderId="0" xfId="0" applyFont="1" applyFill="1" applyAlignment="1" applyProtection="1">
      <alignment horizontal="left"/>
      <protection hidden="1"/>
    </xf>
    <xf numFmtId="0" fontId="26" fillId="0" borderId="0" xfId="0" applyFont="1" applyFill="1" applyAlignment="1" applyProtection="1">
      <alignment horizontal="left"/>
      <protection hidden="1"/>
    </xf>
    <xf numFmtId="0" fontId="66" fillId="0" borderId="0" xfId="0" applyFont="1" applyAlignment="1" applyProtection="1">
      <alignment horizontal="right"/>
      <protection hidden="1"/>
    </xf>
    <xf numFmtId="166" fontId="20" fillId="19" borderId="10" xfId="0" applyNumberFormat="1" applyFont="1" applyFill="1" applyBorder="1" applyAlignment="1" applyProtection="1">
      <alignment horizontal="left"/>
      <protection hidden="1"/>
    </xf>
    <xf numFmtId="166" fontId="20" fillId="19" borderId="58" xfId="0" applyNumberFormat="1" applyFont="1" applyFill="1" applyBorder="1" applyAlignment="1" applyProtection="1">
      <alignment horizontal="left"/>
      <protection hidden="1"/>
    </xf>
    <xf numFmtId="166" fontId="20" fillId="19" borderId="11" xfId="0" applyNumberFormat="1" applyFont="1" applyFill="1" applyBorder="1" applyAlignment="1" applyProtection="1">
      <alignment horizontal="left"/>
      <protection hidden="1"/>
    </xf>
    <xf numFmtId="0" fontId="66" fillId="6" borderId="0" xfId="0" applyFont="1" applyFill="1" applyAlignment="1" applyProtection="1">
      <alignment horizontal="right"/>
      <protection hidden="1"/>
    </xf>
    <xf numFmtId="0" fontId="67" fillId="6" borderId="0" xfId="0" applyFont="1" applyFill="1" applyAlignment="1" applyProtection="1">
      <alignment horizontal="right"/>
      <protection hidden="1"/>
    </xf>
    <xf numFmtId="164" fontId="84" fillId="0" borderId="0" xfId="0" applyNumberFormat="1" applyFont="1" applyFill="1" applyBorder="1" applyAlignment="1" applyProtection="1">
      <alignment horizontal="center" vertical="center" wrapText="1"/>
      <protection hidden="1"/>
    </xf>
    <xf numFmtId="0" fontId="85" fillId="0" borderId="0" xfId="0" applyFont="1" applyBorder="1" applyAlignment="1" applyProtection="1">
      <alignment horizontal="center" vertical="center" wrapText="1"/>
      <protection hidden="1"/>
    </xf>
    <xf numFmtId="0" fontId="85" fillId="0" borderId="19" xfId="0" applyFont="1" applyBorder="1" applyAlignment="1" applyProtection="1">
      <alignment horizontal="center" vertical="center" wrapText="1"/>
      <protection hidden="1"/>
    </xf>
    <xf numFmtId="0" fontId="72" fillId="6" borderId="34" xfId="0" applyFont="1" applyFill="1" applyBorder="1" applyAlignment="1" applyProtection="1">
      <alignment horizontal="center" vertical="center" wrapText="1"/>
      <protection hidden="1"/>
    </xf>
    <xf numFmtId="0" fontId="72" fillId="6" borderId="47" xfId="0" applyFont="1" applyFill="1" applyBorder="1" applyAlignment="1" applyProtection="1">
      <alignment horizontal="center" vertical="center" wrapText="1"/>
      <protection hidden="1"/>
    </xf>
    <xf numFmtId="164" fontId="28" fillId="0" borderId="0" xfId="0" applyNumberFormat="1" applyFont="1" applyFill="1" applyBorder="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59" fillId="0" borderId="40" xfId="0" applyFont="1" applyBorder="1" applyAlignment="1" applyProtection="1">
      <alignment horizontal="center" vertical="center" wrapText="1"/>
      <protection hidden="1"/>
    </xf>
    <xf numFmtId="0" fontId="4" fillId="0" borderId="10" xfId="0" applyFont="1" applyBorder="1" applyAlignment="1" applyProtection="1">
      <alignment horizontal="center"/>
      <protection hidden="1"/>
    </xf>
    <xf numFmtId="0" fontId="0" fillId="0" borderId="11" xfId="0" applyBorder="1" applyAlignment="1" applyProtection="1">
      <alignment horizontal="center"/>
      <protection hidden="1"/>
    </xf>
    <xf numFmtId="0" fontId="68" fillId="0" borderId="0" xfId="0" applyFont="1" applyAlignment="1" applyProtection="1">
      <alignment horizontal="right"/>
      <protection hidden="1"/>
    </xf>
    <xf numFmtId="0" fontId="1" fillId="0" borderId="34" xfId="0" applyFont="1" applyBorder="1" applyAlignment="1" applyProtection="1">
      <alignment horizontal="center" vertical="center" wrapText="1"/>
      <protection hidden="1"/>
    </xf>
    <xf numFmtId="0" fontId="0" fillId="0" borderId="47" xfId="0" applyBorder="1" applyAlignment="1" applyProtection="1">
      <alignment horizontal="center" vertical="center" wrapText="1"/>
      <protection hidden="1"/>
    </xf>
    <xf numFmtId="0" fontId="0" fillId="0" borderId="13" xfId="0" applyBorder="1" applyAlignment="1" applyProtection="1">
      <alignment horizontal="center" vertical="center" wrapText="1"/>
      <protection hidden="1"/>
    </xf>
    <xf numFmtId="0" fontId="1" fillId="0" borderId="15" xfId="0" applyFont="1"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21" xfId="0" applyBorder="1" applyAlignment="1">
      <alignment horizontal="center" vertical="center" wrapText="1"/>
    </xf>
    <xf numFmtId="0" fontId="0" fillId="0" borderId="0" xfId="0" applyAlignment="1">
      <alignment horizontal="center" vertical="center" wrapText="1"/>
    </xf>
    <xf numFmtId="0" fontId="0" fillId="0" borderId="22"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cellXfs>
  <cellStyles count="2">
    <cellStyle name="Hyperlink" xfId="1" builtinId="8"/>
    <cellStyle name="Normal" xfId="0" builtinId="0"/>
  </cellStyles>
  <dxfs count="34">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rgb="FFFF0000"/>
      </font>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s>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EE5D8B"/>
      <rgbColor rgb="0053D4C9"/>
      <rgbColor rgb="00631F34"/>
      <rgbColor rgb="00008000"/>
      <rgbColor rgb="00002850"/>
      <rgbColor rgb="00819C00"/>
      <rgbColor rgb="00B26E4D"/>
      <rgbColor rgb="00007F74"/>
      <rgbColor rgb="00EEEEEE"/>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CCFFCC"/>
      <rgbColor rgb="00FFFF99"/>
      <rgbColor rgb="00BBCCDD"/>
      <rgbColor rgb="00F9C7D7"/>
      <rgbColor rgb="00F7F1ED"/>
      <rgbColor rgb="00EDF4F7"/>
      <rgbColor rgb="003E70A1"/>
      <rgbColor rgb="0036ACA2"/>
      <rgbColor rgb="00AEC53D"/>
      <rgbColor rgb="009DC2D5"/>
      <rgbColor rgb="004D90B2"/>
      <rgbColor rgb="002A4F62"/>
      <rgbColor rgb="00623D2A"/>
      <rgbColor rgb="00B2B2B2"/>
      <rgbColor rgb="00003366"/>
      <rgbColor rgb="0036AD36"/>
      <rgbColor rgb="001B571B"/>
      <rgbColor rgb="0058631F"/>
      <rgbColor rgb="00080E12"/>
      <rgbColor rgb="00D5B09D"/>
      <rgbColor rgb="00120B08"/>
      <rgbColor rgb="00333333"/>
    </indexedColors>
    <mruColors>
      <color rgb="FF99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Arial"/>
                <a:ea typeface="Arial"/>
                <a:cs typeface="Arial"/>
              </a:defRPr>
            </a:pPr>
            <a:r>
              <a:rPr lang="en-US" sz="1800"/>
              <a:t>Drinks consumed by day of week (last 90 days)</a:t>
            </a:r>
          </a:p>
        </c:rich>
      </c:tx>
      <c:layout>
        <c:manualLayout>
          <c:xMode val="edge"/>
          <c:yMode val="edge"/>
          <c:x val="0.26169088455481232"/>
          <c:y val="6.4740101634150837E-2"/>
        </c:manualLayout>
      </c:layout>
      <c:overlay val="0"/>
      <c:spPr>
        <a:noFill/>
        <a:ln w="25400">
          <a:noFill/>
        </a:ln>
      </c:spPr>
    </c:title>
    <c:autoTitleDeleted val="0"/>
    <c:view3D>
      <c:rotX val="15"/>
      <c:hPercent val="228"/>
      <c:rotY val="20"/>
      <c:depthPercent val="100"/>
      <c:rAngAx val="1"/>
    </c:view3D>
    <c:floor>
      <c:thickness val="0"/>
      <c:spPr>
        <a:solidFill>
          <a:srgbClr val="EEEEEE"/>
        </a:solidFill>
        <a:ln w="3175">
          <a:solidFill>
            <a:srgbClr val="000000"/>
          </a:solidFill>
          <a:prstDash val="solid"/>
        </a:ln>
      </c:spPr>
    </c:floor>
    <c:sideWall>
      <c:thickness val="0"/>
      <c:spPr>
        <a:solidFill>
          <a:srgbClr val="EEEEEE"/>
        </a:solidFill>
        <a:ln w="12700">
          <a:solidFill>
            <a:srgbClr val="666666"/>
          </a:solidFill>
          <a:prstDash val="solid"/>
        </a:ln>
      </c:spPr>
    </c:sideWall>
    <c:backWall>
      <c:thickness val="0"/>
      <c:spPr>
        <a:solidFill>
          <a:srgbClr val="EEEEEE"/>
        </a:solidFill>
        <a:ln w="12700">
          <a:solidFill>
            <a:srgbClr val="666666"/>
          </a:solidFill>
          <a:prstDash val="solid"/>
        </a:ln>
      </c:spPr>
    </c:backWall>
    <c:plotArea>
      <c:layout>
        <c:manualLayout>
          <c:layoutTarget val="inner"/>
          <c:xMode val="edge"/>
          <c:yMode val="edge"/>
          <c:x val="0.13348961400579801"/>
          <c:y val="0.13344674266463041"/>
          <c:w val="0.852459991194918"/>
          <c:h val="0.67979278905926199"/>
        </c:manualLayout>
      </c:layout>
      <c:bar3DChart>
        <c:barDir val="bar"/>
        <c:grouping val="clustered"/>
        <c:varyColors val="0"/>
        <c:ser>
          <c:idx val="0"/>
          <c:order val="0"/>
          <c:spPr>
            <a:solidFill>
              <a:srgbClr val="799FC4"/>
            </a:solidFill>
            <a:ln w="12700">
              <a:solidFill>
                <a:srgbClr val="000000"/>
              </a:solidFill>
              <a:prstDash val="solid"/>
            </a:ln>
          </c:spPr>
          <c:invertIfNegative val="0"/>
          <c:cat>
            <c:strRef>
              <c:f>'TLFB data'!$V$26:$V$32</c:f>
              <c:strCache>
                <c:ptCount val="7"/>
                <c:pt idx="0">
                  <c:v>Mondays</c:v>
                </c:pt>
                <c:pt idx="1">
                  <c:v>Tuesdays</c:v>
                </c:pt>
                <c:pt idx="2">
                  <c:v>Wednesdays</c:v>
                </c:pt>
                <c:pt idx="3">
                  <c:v>Thursdays</c:v>
                </c:pt>
                <c:pt idx="4">
                  <c:v>Fridays</c:v>
                </c:pt>
                <c:pt idx="5">
                  <c:v>Saturdays</c:v>
                </c:pt>
                <c:pt idx="6">
                  <c:v>Sundays</c:v>
                </c:pt>
              </c:strCache>
            </c:strRef>
          </c:cat>
          <c:val>
            <c:numRef>
              <c:f>'TLFB data'!$W$26:$W$32</c:f>
              <c:numCache>
                <c:formatCode>General</c:formatCode>
                <c:ptCount val="7"/>
                <c:pt idx="0" formatCode="d">
                  <c:v>0</c:v>
                </c:pt>
                <c:pt idx="1">
                  <c:v>0</c:v>
                </c:pt>
                <c:pt idx="2">
                  <c:v>0</c:v>
                </c:pt>
                <c:pt idx="3">
                  <c:v>0</c:v>
                </c:pt>
                <c:pt idx="4">
                  <c:v>0</c:v>
                </c:pt>
                <c:pt idx="5">
                  <c:v>0</c:v>
                </c:pt>
                <c:pt idx="6">
                  <c:v>0</c:v>
                </c:pt>
              </c:numCache>
            </c:numRef>
          </c:val>
          <c:extLst>
            <c:ext xmlns:c16="http://schemas.microsoft.com/office/drawing/2014/chart" uri="{C3380CC4-5D6E-409C-BE32-E72D297353CC}">
              <c16:uniqueId val="{00000000-94A3-4244-B37A-99F96C79F47A}"/>
            </c:ext>
          </c:extLst>
        </c:ser>
        <c:dLbls>
          <c:showLegendKey val="0"/>
          <c:showVal val="0"/>
          <c:showCatName val="0"/>
          <c:showSerName val="0"/>
          <c:showPercent val="0"/>
          <c:showBubbleSize val="0"/>
        </c:dLbls>
        <c:gapWidth val="150"/>
        <c:shape val="box"/>
        <c:axId val="142754304"/>
        <c:axId val="191789104"/>
        <c:axId val="0"/>
      </c:bar3DChart>
      <c:catAx>
        <c:axId val="142754304"/>
        <c:scaling>
          <c:orientation val="minMax"/>
        </c:scaling>
        <c:delete val="0"/>
        <c:axPos val="l"/>
        <c:numFmt formatCode="General" sourceLinked="1"/>
        <c:majorTickMark val="out"/>
        <c:minorTickMark val="none"/>
        <c:tickLblPos val="low"/>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91789104"/>
        <c:crosses val="autoZero"/>
        <c:auto val="1"/>
        <c:lblAlgn val="ctr"/>
        <c:lblOffset val="100"/>
        <c:tickLblSkip val="1"/>
        <c:tickMarkSkip val="1"/>
        <c:noMultiLvlLbl val="0"/>
      </c:catAx>
      <c:valAx>
        <c:axId val="191789104"/>
        <c:scaling>
          <c:orientation val="minMax"/>
        </c:scaling>
        <c:delete val="0"/>
        <c:axPos val="b"/>
        <c:majorGridlines>
          <c:spPr>
            <a:ln w="3175">
              <a:solidFill>
                <a:srgbClr val="000000"/>
              </a:solidFill>
              <a:prstDash val="solid"/>
            </a:ln>
          </c:spPr>
        </c:majorGridlines>
        <c:title>
          <c:tx>
            <c:rich>
              <a:bodyPr/>
              <a:lstStyle/>
              <a:p>
                <a:pPr>
                  <a:defRPr sz="1800" b="1" i="0" u="none" strike="noStrike" baseline="0">
                    <a:solidFill>
                      <a:srgbClr val="000000"/>
                    </a:solidFill>
                    <a:latin typeface="Arial"/>
                    <a:ea typeface="Arial"/>
                    <a:cs typeface="Arial"/>
                  </a:defRPr>
                </a:pPr>
                <a:r>
                  <a:rPr lang="en-US" sz="1800" baseline="0"/>
                  <a:t># Drinks consumed on weekday</a:t>
                </a:r>
              </a:p>
            </c:rich>
          </c:tx>
          <c:layout>
            <c:manualLayout>
              <c:xMode val="edge"/>
              <c:yMode val="edge"/>
              <c:x val="0.34924682242765731"/>
              <c:y val="0.91363844904858926"/>
            </c:manualLayout>
          </c:layout>
          <c:overlay val="0"/>
          <c:spPr>
            <a:noFill/>
            <a:ln w="25400">
              <a:noFill/>
            </a:ln>
          </c:spPr>
        </c:title>
        <c:numFmt formatCode="d"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142754304"/>
        <c:crosses val="autoZero"/>
        <c:crossBetween val="between"/>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325" b="0" i="0" u="none" strike="noStrike" baseline="0">
          <a:solidFill>
            <a:srgbClr val="000000"/>
          </a:solidFill>
          <a:latin typeface="Arial"/>
          <a:ea typeface="Arial"/>
          <a:cs typeface="Arial"/>
        </a:defRPr>
      </a:pPr>
      <a:endParaRPr lang="en-US"/>
    </a:p>
  </c:txPr>
  <c:printSettings>
    <c:headerFooter alignWithMargins="0"/>
    <c:pageMargins b="1" l="0.75000000000000588" r="0.75000000000000588"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baseline="0">
                <a:latin typeface="Arial" pitchFamily="34" charset="0"/>
              </a:defRPr>
            </a:pPr>
            <a:r>
              <a:rPr lang="en-US" baseline="0">
                <a:latin typeface="Arial" pitchFamily="34" charset="0"/>
              </a:rPr>
              <a:t>Percent  of days in last 90 days as f(number of drinks consumed in 24 hours)</a:t>
            </a:r>
          </a:p>
        </c:rich>
      </c:tx>
      <c:layout>
        <c:manualLayout>
          <c:xMode val="edge"/>
          <c:yMode val="edge"/>
          <c:x val="0.28588453595474245"/>
          <c:y val="3.1188870391460472E-2"/>
        </c:manualLayout>
      </c:layout>
      <c:overlay val="0"/>
    </c:title>
    <c:autoTitleDeleted val="0"/>
    <c:plotArea>
      <c:layout/>
      <c:barChart>
        <c:barDir val="col"/>
        <c:grouping val="clustered"/>
        <c:varyColors val="0"/>
        <c:ser>
          <c:idx val="6"/>
          <c:order val="0"/>
          <c:tx>
            <c:strRef>
              <c:f>'TLFB data'!$Z$103</c:f>
              <c:strCache>
                <c:ptCount val="1"/>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data'!$AH$104</c:f>
              <c:numCache>
                <c:formatCode>0.00%</c:formatCode>
                <c:ptCount val="1"/>
                <c:pt idx="0">
                  <c:v>0</c:v>
                </c:pt>
              </c:numCache>
            </c:numRef>
          </c:val>
          <c:extLst>
            <c:ext xmlns:c16="http://schemas.microsoft.com/office/drawing/2014/chart" uri="{C3380CC4-5D6E-409C-BE32-E72D297353CC}">
              <c16:uniqueId val="{00000000-A47A-4ECB-A290-D1EB31DA5EF2}"/>
            </c:ext>
          </c:extLst>
        </c:ser>
        <c:ser>
          <c:idx val="0"/>
          <c:order val="1"/>
          <c:tx>
            <c:strRef>
              <c:f>'TLFB data'!$AH$105</c:f>
              <c:strCache>
                <c:ptCount val="1"/>
                <c:pt idx="0">
                  <c:v>1</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cat>
            <c:strLit>
              <c:ptCount val="1"/>
              <c:pt idx="0">
                <c:v>Number of Drinks</c:v>
              </c:pt>
            </c:strLit>
          </c:cat>
          <c:val>
            <c:numRef>
              <c:f>'TLFB data'!$AH$106</c:f>
              <c:numCache>
                <c:formatCode>0.00%</c:formatCode>
                <c:ptCount val="1"/>
                <c:pt idx="0">
                  <c:v>0</c:v>
                </c:pt>
              </c:numCache>
            </c:numRef>
          </c:val>
          <c:extLst>
            <c:ext xmlns:c16="http://schemas.microsoft.com/office/drawing/2014/chart" uri="{C3380CC4-5D6E-409C-BE32-E72D297353CC}">
              <c16:uniqueId val="{00000001-A47A-4ECB-A290-D1EB31DA5EF2}"/>
            </c:ext>
          </c:extLst>
        </c:ser>
        <c:ser>
          <c:idx val="1"/>
          <c:order val="2"/>
          <c:tx>
            <c:strRef>
              <c:f>'TLFB data'!$AH$107</c:f>
              <c:strCache>
                <c:ptCount val="1"/>
                <c:pt idx="0">
                  <c:v>2</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cat>
            <c:strLit>
              <c:ptCount val="1"/>
              <c:pt idx="0">
                <c:v>Number of Drinks</c:v>
              </c:pt>
            </c:strLit>
          </c:cat>
          <c:val>
            <c:numRef>
              <c:f>'TLFB data'!$AH$108</c:f>
              <c:numCache>
                <c:formatCode>0.00%</c:formatCode>
                <c:ptCount val="1"/>
                <c:pt idx="0">
                  <c:v>0</c:v>
                </c:pt>
              </c:numCache>
            </c:numRef>
          </c:val>
          <c:extLst>
            <c:ext xmlns:c16="http://schemas.microsoft.com/office/drawing/2014/chart" uri="{C3380CC4-5D6E-409C-BE32-E72D297353CC}">
              <c16:uniqueId val="{00000002-A47A-4ECB-A290-D1EB31DA5EF2}"/>
            </c:ext>
          </c:extLst>
        </c:ser>
        <c:ser>
          <c:idx val="2"/>
          <c:order val="3"/>
          <c:tx>
            <c:strRef>
              <c:f>'TLFB data'!$AH$109</c:f>
              <c:strCache>
                <c:ptCount val="1"/>
                <c:pt idx="0">
                  <c:v>3</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cat>
            <c:strLit>
              <c:ptCount val="1"/>
              <c:pt idx="0">
                <c:v>Number of Drinks</c:v>
              </c:pt>
            </c:strLit>
          </c:cat>
          <c:val>
            <c:numRef>
              <c:f>'TLFB data'!$AH$110</c:f>
              <c:numCache>
                <c:formatCode>0.00%</c:formatCode>
                <c:ptCount val="1"/>
                <c:pt idx="0">
                  <c:v>0</c:v>
                </c:pt>
              </c:numCache>
            </c:numRef>
          </c:val>
          <c:extLst>
            <c:ext xmlns:c16="http://schemas.microsoft.com/office/drawing/2014/chart" uri="{C3380CC4-5D6E-409C-BE32-E72D297353CC}">
              <c16:uniqueId val="{00000003-A47A-4ECB-A290-D1EB31DA5EF2}"/>
            </c:ext>
          </c:extLst>
        </c:ser>
        <c:ser>
          <c:idx val="3"/>
          <c:order val="4"/>
          <c:tx>
            <c:strRef>
              <c:f>'TLFB data'!$AH$111</c:f>
              <c:strCache>
                <c:ptCount val="1"/>
                <c:pt idx="0">
                  <c:v>4</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data'!$AH$112</c:f>
              <c:numCache>
                <c:formatCode>0.00%</c:formatCode>
                <c:ptCount val="1"/>
                <c:pt idx="0">
                  <c:v>0</c:v>
                </c:pt>
              </c:numCache>
            </c:numRef>
          </c:val>
          <c:extLst>
            <c:ext xmlns:c16="http://schemas.microsoft.com/office/drawing/2014/chart" uri="{C3380CC4-5D6E-409C-BE32-E72D297353CC}">
              <c16:uniqueId val="{00000004-A47A-4ECB-A290-D1EB31DA5EF2}"/>
            </c:ext>
          </c:extLst>
        </c:ser>
        <c:ser>
          <c:idx val="4"/>
          <c:order val="5"/>
          <c:tx>
            <c:strRef>
              <c:f>'TLFB data'!$AH$113</c:f>
              <c:strCache>
                <c:ptCount val="1"/>
                <c:pt idx="0">
                  <c:v>5</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data'!$AH$114</c:f>
              <c:numCache>
                <c:formatCode>0.00%</c:formatCode>
                <c:ptCount val="1"/>
                <c:pt idx="0">
                  <c:v>0</c:v>
                </c:pt>
              </c:numCache>
            </c:numRef>
          </c:val>
          <c:extLst>
            <c:ext xmlns:c16="http://schemas.microsoft.com/office/drawing/2014/chart" uri="{C3380CC4-5D6E-409C-BE32-E72D297353CC}">
              <c16:uniqueId val="{00000005-A47A-4ECB-A290-D1EB31DA5EF2}"/>
            </c:ext>
          </c:extLst>
        </c:ser>
        <c:ser>
          <c:idx val="5"/>
          <c:order val="6"/>
          <c:tx>
            <c:strRef>
              <c:f>'TLFB data'!$AH$115</c:f>
              <c:strCache>
                <c:ptCount val="1"/>
                <c:pt idx="0">
                  <c:v>6</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data'!$AH$116</c:f>
              <c:numCache>
                <c:formatCode>0.00%</c:formatCode>
                <c:ptCount val="1"/>
                <c:pt idx="0">
                  <c:v>0</c:v>
                </c:pt>
              </c:numCache>
            </c:numRef>
          </c:val>
          <c:extLst>
            <c:ext xmlns:c16="http://schemas.microsoft.com/office/drawing/2014/chart" uri="{C3380CC4-5D6E-409C-BE32-E72D297353CC}">
              <c16:uniqueId val="{00000006-A47A-4ECB-A290-D1EB31DA5EF2}"/>
            </c:ext>
          </c:extLst>
        </c:ser>
        <c:ser>
          <c:idx val="7"/>
          <c:order val="7"/>
          <c:tx>
            <c:strRef>
              <c:f>'TLFB data'!$AH$117</c:f>
              <c:strCache>
                <c:ptCount val="1"/>
                <c:pt idx="0">
                  <c:v>7</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data'!$AH$118</c:f>
              <c:numCache>
                <c:formatCode>0.00%</c:formatCode>
                <c:ptCount val="1"/>
                <c:pt idx="0">
                  <c:v>0</c:v>
                </c:pt>
              </c:numCache>
            </c:numRef>
          </c:val>
          <c:extLst>
            <c:ext xmlns:c16="http://schemas.microsoft.com/office/drawing/2014/chart" uri="{C3380CC4-5D6E-409C-BE32-E72D297353CC}">
              <c16:uniqueId val="{00000007-A47A-4ECB-A290-D1EB31DA5EF2}"/>
            </c:ext>
          </c:extLst>
        </c:ser>
        <c:ser>
          <c:idx val="8"/>
          <c:order val="8"/>
          <c:tx>
            <c:strRef>
              <c:f>'TLFB data'!$AH$119</c:f>
              <c:strCache>
                <c:ptCount val="1"/>
                <c:pt idx="0">
                  <c:v>8</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data'!$AH$120</c:f>
              <c:numCache>
                <c:formatCode>0.00%</c:formatCode>
                <c:ptCount val="1"/>
                <c:pt idx="0">
                  <c:v>0</c:v>
                </c:pt>
              </c:numCache>
            </c:numRef>
          </c:val>
          <c:extLst>
            <c:ext xmlns:c16="http://schemas.microsoft.com/office/drawing/2014/chart" uri="{C3380CC4-5D6E-409C-BE32-E72D297353CC}">
              <c16:uniqueId val="{00000008-A47A-4ECB-A290-D1EB31DA5EF2}"/>
            </c:ext>
          </c:extLst>
        </c:ser>
        <c:ser>
          <c:idx val="9"/>
          <c:order val="9"/>
          <c:tx>
            <c:strRef>
              <c:f>'TLFB data'!$AH$121</c:f>
              <c:strCache>
                <c:ptCount val="1"/>
                <c:pt idx="0">
                  <c:v>9</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data'!$AH$122</c:f>
              <c:numCache>
                <c:formatCode>0.00%</c:formatCode>
                <c:ptCount val="1"/>
                <c:pt idx="0">
                  <c:v>0</c:v>
                </c:pt>
              </c:numCache>
            </c:numRef>
          </c:val>
          <c:extLst>
            <c:ext xmlns:c16="http://schemas.microsoft.com/office/drawing/2014/chart" uri="{C3380CC4-5D6E-409C-BE32-E72D297353CC}">
              <c16:uniqueId val="{00000009-A47A-4ECB-A290-D1EB31DA5EF2}"/>
            </c:ext>
          </c:extLst>
        </c:ser>
        <c:ser>
          <c:idx val="10"/>
          <c:order val="10"/>
          <c:tx>
            <c:strRef>
              <c:f>'TLFB data'!$AH$123</c:f>
              <c:strCache>
                <c:ptCount val="1"/>
                <c:pt idx="0">
                  <c:v>10</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data'!$AH$124</c:f>
              <c:numCache>
                <c:formatCode>0.00%</c:formatCode>
                <c:ptCount val="1"/>
                <c:pt idx="0">
                  <c:v>0</c:v>
                </c:pt>
              </c:numCache>
            </c:numRef>
          </c:val>
          <c:extLst>
            <c:ext xmlns:c16="http://schemas.microsoft.com/office/drawing/2014/chart" uri="{C3380CC4-5D6E-409C-BE32-E72D297353CC}">
              <c16:uniqueId val="{0000000A-A47A-4ECB-A290-D1EB31DA5EF2}"/>
            </c:ext>
          </c:extLst>
        </c:ser>
        <c:ser>
          <c:idx val="11"/>
          <c:order val="11"/>
          <c:tx>
            <c:strRef>
              <c:f>'TLFB data'!$AH$125</c:f>
              <c:strCache>
                <c:ptCount val="1"/>
                <c:pt idx="0">
                  <c:v>11</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data'!$AH$126</c:f>
              <c:numCache>
                <c:formatCode>0.00%</c:formatCode>
                <c:ptCount val="1"/>
                <c:pt idx="0">
                  <c:v>0</c:v>
                </c:pt>
              </c:numCache>
            </c:numRef>
          </c:val>
          <c:extLst>
            <c:ext xmlns:c16="http://schemas.microsoft.com/office/drawing/2014/chart" uri="{C3380CC4-5D6E-409C-BE32-E72D297353CC}">
              <c16:uniqueId val="{0000000B-A47A-4ECB-A290-D1EB31DA5EF2}"/>
            </c:ext>
          </c:extLst>
        </c:ser>
        <c:ser>
          <c:idx val="12"/>
          <c:order val="12"/>
          <c:tx>
            <c:strRef>
              <c:f>'TLFB data'!$AH$127</c:f>
              <c:strCache>
                <c:ptCount val="1"/>
                <c:pt idx="0">
                  <c:v>12</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data'!$AH$128</c:f>
              <c:numCache>
                <c:formatCode>0.00%</c:formatCode>
                <c:ptCount val="1"/>
                <c:pt idx="0">
                  <c:v>0</c:v>
                </c:pt>
              </c:numCache>
            </c:numRef>
          </c:val>
          <c:extLst>
            <c:ext xmlns:c16="http://schemas.microsoft.com/office/drawing/2014/chart" uri="{C3380CC4-5D6E-409C-BE32-E72D297353CC}">
              <c16:uniqueId val="{0000000C-A47A-4ECB-A290-D1EB31DA5EF2}"/>
            </c:ext>
          </c:extLst>
        </c:ser>
        <c:ser>
          <c:idx val="13"/>
          <c:order val="13"/>
          <c:tx>
            <c:strRef>
              <c:f>'TLFB data'!$AH$129</c:f>
              <c:strCache>
                <c:ptCount val="1"/>
                <c:pt idx="0">
                  <c:v>13</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data'!$AH$130</c:f>
              <c:numCache>
                <c:formatCode>0.00%</c:formatCode>
                <c:ptCount val="1"/>
                <c:pt idx="0">
                  <c:v>0</c:v>
                </c:pt>
              </c:numCache>
            </c:numRef>
          </c:val>
          <c:extLst>
            <c:ext xmlns:c16="http://schemas.microsoft.com/office/drawing/2014/chart" uri="{C3380CC4-5D6E-409C-BE32-E72D297353CC}">
              <c16:uniqueId val="{0000000D-A47A-4ECB-A290-D1EB31DA5EF2}"/>
            </c:ext>
          </c:extLst>
        </c:ser>
        <c:ser>
          <c:idx val="14"/>
          <c:order val="14"/>
          <c:tx>
            <c:strRef>
              <c:f>'TLFB data'!$AH$131</c:f>
              <c:strCache>
                <c:ptCount val="1"/>
                <c:pt idx="0">
                  <c:v>14</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data'!$AH$132</c:f>
              <c:numCache>
                <c:formatCode>0.00%</c:formatCode>
                <c:ptCount val="1"/>
                <c:pt idx="0">
                  <c:v>0</c:v>
                </c:pt>
              </c:numCache>
            </c:numRef>
          </c:val>
          <c:extLst>
            <c:ext xmlns:c16="http://schemas.microsoft.com/office/drawing/2014/chart" uri="{C3380CC4-5D6E-409C-BE32-E72D297353CC}">
              <c16:uniqueId val="{0000000E-A47A-4ECB-A290-D1EB31DA5EF2}"/>
            </c:ext>
          </c:extLst>
        </c:ser>
        <c:ser>
          <c:idx val="15"/>
          <c:order val="15"/>
          <c:tx>
            <c:strRef>
              <c:f>'TLFB data'!$AH$133</c:f>
              <c:strCache>
                <c:ptCount val="1"/>
                <c:pt idx="0">
                  <c:v>15</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data'!$AH$134</c:f>
              <c:numCache>
                <c:formatCode>0.00%</c:formatCode>
                <c:ptCount val="1"/>
                <c:pt idx="0">
                  <c:v>0</c:v>
                </c:pt>
              </c:numCache>
            </c:numRef>
          </c:val>
          <c:extLst>
            <c:ext xmlns:c16="http://schemas.microsoft.com/office/drawing/2014/chart" uri="{C3380CC4-5D6E-409C-BE32-E72D297353CC}">
              <c16:uniqueId val="{0000000F-A47A-4ECB-A290-D1EB31DA5EF2}"/>
            </c:ext>
          </c:extLst>
        </c:ser>
        <c:ser>
          <c:idx val="16"/>
          <c:order val="16"/>
          <c:tx>
            <c:strRef>
              <c:f>'TLFB data'!$AH$135</c:f>
              <c:strCache>
                <c:ptCount val="1"/>
                <c:pt idx="0">
                  <c:v>16</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data'!$AH$136</c:f>
              <c:numCache>
                <c:formatCode>0.00%</c:formatCode>
                <c:ptCount val="1"/>
                <c:pt idx="0">
                  <c:v>0</c:v>
                </c:pt>
              </c:numCache>
            </c:numRef>
          </c:val>
          <c:extLst>
            <c:ext xmlns:c16="http://schemas.microsoft.com/office/drawing/2014/chart" uri="{C3380CC4-5D6E-409C-BE32-E72D297353CC}">
              <c16:uniqueId val="{00000010-A47A-4ECB-A290-D1EB31DA5EF2}"/>
            </c:ext>
          </c:extLst>
        </c:ser>
        <c:ser>
          <c:idx val="17"/>
          <c:order val="17"/>
          <c:tx>
            <c:strRef>
              <c:f>'TLFB data'!$AH$137</c:f>
              <c:strCache>
                <c:ptCount val="1"/>
                <c:pt idx="0">
                  <c:v>17</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data'!$AH$138</c:f>
              <c:numCache>
                <c:formatCode>0.00%</c:formatCode>
                <c:ptCount val="1"/>
                <c:pt idx="0">
                  <c:v>0</c:v>
                </c:pt>
              </c:numCache>
            </c:numRef>
          </c:val>
          <c:extLst>
            <c:ext xmlns:c16="http://schemas.microsoft.com/office/drawing/2014/chart" uri="{C3380CC4-5D6E-409C-BE32-E72D297353CC}">
              <c16:uniqueId val="{00000011-A47A-4ECB-A290-D1EB31DA5EF2}"/>
            </c:ext>
          </c:extLst>
        </c:ser>
        <c:ser>
          <c:idx val="18"/>
          <c:order val="18"/>
          <c:tx>
            <c:strRef>
              <c:f>'TLFB data'!$AH$139</c:f>
              <c:strCache>
                <c:ptCount val="1"/>
                <c:pt idx="0">
                  <c:v>18</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data'!$AH$140</c:f>
              <c:numCache>
                <c:formatCode>0.00%</c:formatCode>
                <c:ptCount val="1"/>
                <c:pt idx="0">
                  <c:v>0</c:v>
                </c:pt>
              </c:numCache>
            </c:numRef>
          </c:val>
          <c:extLst>
            <c:ext xmlns:c16="http://schemas.microsoft.com/office/drawing/2014/chart" uri="{C3380CC4-5D6E-409C-BE32-E72D297353CC}">
              <c16:uniqueId val="{00000012-A47A-4ECB-A290-D1EB31DA5EF2}"/>
            </c:ext>
          </c:extLst>
        </c:ser>
        <c:ser>
          <c:idx val="19"/>
          <c:order val="19"/>
          <c:tx>
            <c:strRef>
              <c:f>'TLFB data'!$AH$141</c:f>
              <c:strCache>
                <c:ptCount val="1"/>
                <c:pt idx="0">
                  <c:v>19</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data'!$AH$142</c:f>
              <c:numCache>
                <c:formatCode>0.00%</c:formatCode>
                <c:ptCount val="1"/>
                <c:pt idx="0">
                  <c:v>0</c:v>
                </c:pt>
              </c:numCache>
            </c:numRef>
          </c:val>
          <c:extLst>
            <c:ext xmlns:c16="http://schemas.microsoft.com/office/drawing/2014/chart" uri="{C3380CC4-5D6E-409C-BE32-E72D297353CC}">
              <c16:uniqueId val="{00000013-A47A-4ECB-A290-D1EB31DA5EF2}"/>
            </c:ext>
          </c:extLst>
        </c:ser>
        <c:ser>
          <c:idx val="20"/>
          <c:order val="20"/>
          <c:tx>
            <c:strRef>
              <c:f>'TLFB data'!$AH$143</c:f>
              <c:strCache>
                <c:ptCount val="1"/>
                <c:pt idx="0">
                  <c:v>20</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data'!$AH$144</c:f>
              <c:numCache>
                <c:formatCode>0.00%</c:formatCode>
                <c:ptCount val="1"/>
                <c:pt idx="0">
                  <c:v>0</c:v>
                </c:pt>
              </c:numCache>
            </c:numRef>
          </c:val>
          <c:extLst>
            <c:ext xmlns:c16="http://schemas.microsoft.com/office/drawing/2014/chart" uri="{C3380CC4-5D6E-409C-BE32-E72D297353CC}">
              <c16:uniqueId val="{00000014-A47A-4ECB-A290-D1EB31DA5EF2}"/>
            </c:ext>
          </c:extLst>
        </c:ser>
        <c:ser>
          <c:idx val="21"/>
          <c:order val="21"/>
          <c:tx>
            <c:strRef>
              <c:f>'TLFB data'!$AH$145</c:f>
              <c:strCache>
                <c:ptCount val="1"/>
                <c:pt idx="0">
                  <c:v>21</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data'!$AH$146</c:f>
              <c:numCache>
                <c:formatCode>0.00%</c:formatCode>
                <c:ptCount val="1"/>
                <c:pt idx="0">
                  <c:v>0</c:v>
                </c:pt>
              </c:numCache>
            </c:numRef>
          </c:val>
          <c:extLst>
            <c:ext xmlns:c16="http://schemas.microsoft.com/office/drawing/2014/chart" uri="{C3380CC4-5D6E-409C-BE32-E72D297353CC}">
              <c16:uniqueId val="{00000015-A47A-4ECB-A290-D1EB31DA5EF2}"/>
            </c:ext>
          </c:extLst>
        </c:ser>
        <c:ser>
          <c:idx val="22"/>
          <c:order val="22"/>
          <c:tx>
            <c:strRef>
              <c:f>'TLFB data'!$AH$147</c:f>
              <c:strCache>
                <c:ptCount val="1"/>
                <c:pt idx="0">
                  <c:v>22</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data'!$AH$148</c:f>
              <c:numCache>
                <c:formatCode>0.00%</c:formatCode>
                <c:ptCount val="1"/>
                <c:pt idx="0">
                  <c:v>0</c:v>
                </c:pt>
              </c:numCache>
            </c:numRef>
          </c:val>
          <c:extLst>
            <c:ext xmlns:c16="http://schemas.microsoft.com/office/drawing/2014/chart" uri="{C3380CC4-5D6E-409C-BE32-E72D297353CC}">
              <c16:uniqueId val="{00000016-A47A-4ECB-A290-D1EB31DA5EF2}"/>
            </c:ext>
          </c:extLst>
        </c:ser>
        <c:ser>
          <c:idx val="23"/>
          <c:order val="23"/>
          <c:tx>
            <c:strRef>
              <c:f>'TLFB data'!$AH$149</c:f>
              <c:strCache>
                <c:ptCount val="1"/>
                <c:pt idx="0">
                  <c:v>23</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data'!$AH$150</c:f>
              <c:numCache>
                <c:formatCode>0.00%</c:formatCode>
                <c:ptCount val="1"/>
                <c:pt idx="0">
                  <c:v>0</c:v>
                </c:pt>
              </c:numCache>
            </c:numRef>
          </c:val>
          <c:extLst>
            <c:ext xmlns:c16="http://schemas.microsoft.com/office/drawing/2014/chart" uri="{C3380CC4-5D6E-409C-BE32-E72D297353CC}">
              <c16:uniqueId val="{00000017-A47A-4ECB-A290-D1EB31DA5EF2}"/>
            </c:ext>
          </c:extLst>
        </c:ser>
        <c:ser>
          <c:idx val="24"/>
          <c:order val="24"/>
          <c:tx>
            <c:strRef>
              <c:f>'TLFB data'!$AH$151</c:f>
              <c:strCache>
                <c:ptCount val="1"/>
                <c:pt idx="0">
                  <c:v>24</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data'!$AH$152</c:f>
              <c:numCache>
                <c:formatCode>0.00%</c:formatCode>
                <c:ptCount val="1"/>
                <c:pt idx="0">
                  <c:v>0</c:v>
                </c:pt>
              </c:numCache>
            </c:numRef>
          </c:val>
          <c:extLst>
            <c:ext xmlns:c16="http://schemas.microsoft.com/office/drawing/2014/chart" uri="{C3380CC4-5D6E-409C-BE32-E72D297353CC}">
              <c16:uniqueId val="{00000018-A47A-4ECB-A290-D1EB31DA5EF2}"/>
            </c:ext>
          </c:extLst>
        </c:ser>
        <c:ser>
          <c:idx val="25"/>
          <c:order val="25"/>
          <c:tx>
            <c:strRef>
              <c:f>'TLFB data'!$AH$153</c:f>
              <c:strCache>
                <c:ptCount val="1"/>
                <c:pt idx="0">
                  <c:v>25</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data'!$AH$154</c:f>
              <c:numCache>
                <c:formatCode>0.00%</c:formatCode>
                <c:ptCount val="1"/>
                <c:pt idx="0">
                  <c:v>0</c:v>
                </c:pt>
              </c:numCache>
            </c:numRef>
          </c:val>
          <c:extLst>
            <c:ext xmlns:c16="http://schemas.microsoft.com/office/drawing/2014/chart" uri="{C3380CC4-5D6E-409C-BE32-E72D297353CC}">
              <c16:uniqueId val="{00000019-A47A-4ECB-A290-D1EB31DA5EF2}"/>
            </c:ext>
          </c:extLst>
        </c:ser>
        <c:ser>
          <c:idx val="26"/>
          <c:order val="26"/>
          <c:tx>
            <c:strRef>
              <c:f>'TLFB data'!$AH$155</c:f>
              <c:strCache>
                <c:ptCount val="1"/>
                <c:pt idx="0">
                  <c:v>26</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data'!$AH$156</c:f>
              <c:numCache>
                <c:formatCode>0.00%</c:formatCode>
                <c:ptCount val="1"/>
                <c:pt idx="0">
                  <c:v>0</c:v>
                </c:pt>
              </c:numCache>
            </c:numRef>
          </c:val>
          <c:extLst>
            <c:ext xmlns:c16="http://schemas.microsoft.com/office/drawing/2014/chart" uri="{C3380CC4-5D6E-409C-BE32-E72D297353CC}">
              <c16:uniqueId val="{0000001A-A47A-4ECB-A290-D1EB31DA5EF2}"/>
            </c:ext>
          </c:extLst>
        </c:ser>
        <c:ser>
          <c:idx val="27"/>
          <c:order val="27"/>
          <c:tx>
            <c:strRef>
              <c:f>'TLFB data'!$AH$157</c:f>
              <c:strCache>
                <c:ptCount val="1"/>
                <c:pt idx="0">
                  <c:v>27</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data'!$AH$158</c:f>
              <c:numCache>
                <c:formatCode>0.00%</c:formatCode>
                <c:ptCount val="1"/>
                <c:pt idx="0">
                  <c:v>0</c:v>
                </c:pt>
              </c:numCache>
            </c:numRef>
          </c:val>
          <c:extLst>
            <c:ext xmlns:c16="http://schemas.microsoft.com/office/drawing/2014/chart" uri="{C3380CC4-5D6E-409C-BE32-E72D297353CC}">
              <c16:uniqueId val="{0000001B-A47A-4ECB-A290-D1EB31DA5EF2}"/>
            </c:ext>
          </c:extLst>
        </c:ser>
        <c:ser>
          <c:idx val="28"/>
          <c:order val="28"/>
          <c:tx>
            <c:strRef>
              <c:f>'TLFB data'!$AH$159</c:f>
              <c:strCache>
                <c:ptCount val="1"/>
                <c:pt idx="0">
                  <c:v>28</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data'!$AH$160</c:f>
              <c:numCache>
                <c:formatCode>0.00%</c:formatCode>
                <c:ptCount val="1"/>
                <c:pt idx="0">
                  <c:v>0</c:v>
                </c:pt>
              </c:numCache>
            </c:numRef>
          </c:val>
          <c:extLst>
            <c:ext xmlns:c16="http://schemas.microsoft.com/office/drawing/2014/chart" uri="{C3380CC4-5D6E-409C-BE32-E72D297353CC}">
              <c16:uniqueId val="{0000001C-A47A-4ECB-A290-D1EB31DA5EF2}"/>
            </c:ext>
          </c:extLst>
        </c:ser>
        <c:ser>
          <c:idx val="29"/>
          <c:order val="29"/>
          <c:tx>
            <c:strRef>
              <c:f>'TLFB data'!$AH$161</c:f>
              <c:strCache>
                <c:ptCount val="1"/>
                <c:pt idx="0">
                  <c:v>29</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data'!$AH$162</c:f>
              <c:numCache>
                <c:formatCode>0.00%</c:formatCode>
                <c:ptCount val="1"/>
                <c:pt idx="0">
                  <c:v>0</c:v>
                </c:pt>
              </c:numCache>
            </c:numRef>
          </c:val>
          <c:extLst>
            <c:ext xmlns:c16="http://schemas.microsoft.com/office/drawing/2014/chart" uri="{C3380CC4-5D6E-409C-BE32-E72D297353CC}">
              <c16:uniqueId val="{0000001D-A47A-4ECB-A290-D1EB31DA5EF2}"/>
            </c:ext>
          </c:extLst>
        </c:ser>
        <c:ser>
          <c:idx val="30"/>
          <c:order val="30"/>
          <c:tx>
            <c:strRef>
              <c:f>'TLFB data'!$AH$163</c:f>
              <c:strCache>
                <c:ptCount val="1"/>
                <c:pt idx="0">
                  <c:v>30</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data'!$AH$164</c:f>
              <c:numCache>
                <c:formatCode>0.00%</c:formatCode>
                <c:ptCount val="1"/>
                <c:pt idx="0">
                  <c:v>0</c:v>
                </c:pt>
              </c:numCache>
            </c:numRef>
          </c:val>
          <c:extLst>
            <c:ext xmlns:c16="http://schemas.microsoft.com/office/drawing/2014/chart" uri="{C3380CC4-5D6E-409C-BE32-E72D297353CC}">
              <c16:uniqueId val="{0000001E-A47A-4ECB-A290-D1EB31DA5EF2}"/>
            </c:ext>
          </c:extLst>
        </c:ser>
        <c:ser>
          <c:idx val="31"/>
          <c:order val="31"/>
          <c:tx>
            <c:strRef>
              <c:f>'TLFB data'!$AH$165</c:f>
              <c:strCache>
                <c:ptCount val="1"/>
                <c:pt idx="0">
                  <c:v>31</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data'!$AH$166</c:f>
              <c:numCache>
                <c:formatCode>0.00%</c:formatCode>
                <c:ptCount val="1"/>
                <c:pt idx="0">
                  <c:v>0</c:v>
                </c:pt>
              </c:numCache>
            </c:numRef>
          </c:val>
          <c:extLst>
            <c:ext xmlns:c16="http://schemas.microsoft.com/office/drawing/2014/chart" uri="{C3380CC4-5D6E-409C-BE32-E72D297353CC}">
              <c16:uniqueId val="{0000001F-A47A-4ECB-A290-D1EB31DA5EF2}"/>
            </c:ext>
          </c:extLst>
        </c:ser>
        <c:ser>
          <c:idx val="32"/>
          <c:order val="32"/>
          <c:tx>
            <c:strRef>
              <c:f>'TLFB data'!$AH$167</c:f>
              <c:strCache>
                <c:ptCount val="1"/>
                <c:pt idx="0">
                  <c:v>32</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data'!$AH$168</c:f>
              <c:numCache>
                <c:formatCode>0.00%</c:formatCode>
                <c:ptCount val="1"/>
                <c:pt idx="0">
                  <c:v>0</c:v>
                </c:pt>
              </c:numCache>
            </c:numRef>
          </c:val>
          <c:extLst>
            <c:ext xmlns:c16="http://schemas.microsoft.com/office/drawing/2014/chart" uri="{C3380CC4-5D6E-409C-BE32-E72D297353CC}">
              <c16:uniqueId val="{00000020-A47A-4ECB-A290-D1EB31DA5EF2}"/>
            </c:ext>
          </c:extLst>
        </c:ser>
        <c:ser>
          <c:idx val="45"/>
          <c:order val="33"/>
          <c:tx>
            <c:strRef>
              <c:f>'TLFB data'!$AH$169</c:f>
              <c:strCache>
                <c:ptCount val="1"/>
                <c:pt idx="0">
                  <c:v>33</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data'!$AH$170</c:f>
              <c:numCache>
                <c:formatCode>0.00%</c:formatCode>
                <c:ptCount val="1"/>
                <c:pt idx="0">
                  <c:v>0</c:v>
                </c:pt>
              </c:numCache>
            </c:numRef>
          </c:val>
          <c:extLst>
            <c:ext xmlns:c16="http://schemas.microsoft.com/office/drawing/2014/chart" uri="{C3380CC4-5D6E-409C-BE32-E72D297353CC}">
              <c16:uniqueId val="{00000021-A47A-4ECB-A290-D1EB31DA5EF2}"/>
            </c:ext>
          </c:extLst>
        </c:ser>
        <c:ser>
          <c:idx val="33"/>
          <c:order val="34"/>
          <c:tx>
            <c:strRef>
              <c:f>'TLFB data'!$AH$171</c:f>
              <c:strCache>
                <c:ptCount val="1"/>
                <c:pt idx="0">
                  <c:v>34</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data'!$AH$172</c:f>
              <c:numCache>
                <c:formatCode>0.00%</c:formatCode>
                <c:ptCount val="1"/>
                <c:pt idx="0">
                  <c:v>0</c:v>
                </c:pt>
              </c:numCache>
            </c:numRef>
          </c:val>
          <c:extLst>
            <c:ext xmlns:c16="http://schemas.microsoft.com/office/drawing/2014/chart" uri="{C3380CC4-5D6E-409C-BE32-E72D297353CC}">
              <c16:uniqueId val="{00000022-A47A-4ECB-A290-D1EB31DA5EF2}"/>
            </c:ext>
          </c:extLst>
        </c:ser>
        <c:ser>
          <c:idx val="34"/>
          <c:order val="35"/>
          <c:tx>
            <c:strRef>
              <c:f>'TLFB data'!$AH$173</c:f>
              <c:strCache>
                <c:ptCount val="1"/>
                <c:pt idx="0">
                  <c:v>35</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data'!$AH$174</c:f>
              <c:numCache>
                <c:formatCode>0.00%</c:formatCode>
                <c:ptCount val="1"/>
                <c:pt idx="0">
                  <c:v>0</c:v>
                </c:pt>
              </c:numCache>
            </c:numRef>
          </c:val>
          <c:extLst>
            <c:ext xmlns:c16="http://schemas.microsoft.com/office/drawing/2014/chart" uri="{C3380CC4-5D6E-409C-BE32-E72D297353CC}">
              <c16:uniqueId val="{00000023-A47A-4ECB-A290-D1EB31DA5EF2}"/>
            </c:ext>
          </c:extLst>
        </c:ser>
        <c:ser>
          <c:idx val="35"/>
          <c:order val="36"/>
          <c:tx>
            <c:strRef>
              <c:f>'TLFB data'!$AH$175</c:f>
              <c:strCache>
                <c:ptCount val="1"/>
                <c:pt idx="0">
                  <c:v>36</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data'!$AH$176</c:f>
              <c:numCache>
                <c:formatCode>0.00%</c:formatCode>
                <c:ptCount val="1"/>
                <c:pt idx="0">
                  <c:v>0</c:v>
                </c:pt>
              </c:numCache>
            </c:numRef>
          </c:val>
          <c:extLst>
            <c:ext xmlns:c16="http://schemas.microsoft.com/office/drawing/2014/chart" uri="{C3380CC4-5D6E-409C-BE32-E72D297353CC}">
              <c16:uniqueId val="{00000024-A47A-4ECB-A290-D1EB31DA5EF2}"/>
            </c:ext>
          </c:extLst>
        </c:ser>
        <c:ser>
          <c:idx val="36"/>
          <c:order val="37"/>
          <c:tx>
            <c:strRef>
              <c:f>'TLFB data'!$AH$177</c:f>
              <c:strCache>
                <c:ptCount val="1"/>
                <c:pt idx="0">
                  <c:v>37</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data'!$AH$178</c:f>
              <c:numCache>
                <c:formatCode>0.00%</c:formatCode>
                <c:ptCount val="1"/>
                <c:pt idx="0">
                  <c:v>0</c:v>
                </c:pt>
              </c:numCache>
            </c:numRef>
          </c:val>
          <c:extLst>
            <c:ext xmlns:c16="http://schemas.microsoft.com/office/drawing/2014/chart" uri="{C3380CC4-5D6E-409C-BE32-E72D297353CC}">
              <c16:uniqueId val="{00000025-A47A-4ECB-A290-D1EB31DA5EF2}"/>
            </c:ext>
          </c:extLst>
        </c:ser>
        <c:ser>
          <c:idx val="37"/>
          <c:order val="38"/>
          <c:tx>
            <c:strRef>
              <c:f>'TLFB data'!$AH$179</c:f>
              <c:strCache>
                <c:ptCount val="1"/>
                <c:pt idx="0">
                  <c:v>38</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data'!$AH$180</c:f>
              <c:numCache>
                <c:formatCode>0.00%</c:formatCode>
                <c:ptCount val="1"/>
                <c:pt idx="0">
                  <c:v>0</c:v>
                </c:pt>
              </c:numCache>
            </c:numRef>
          </c:val>
          <c:extLst>
            <c:ext xmlns:c16="http://schemas.microsoft.com/office/drawing/2014/chart" uri="{C3380CC4-5D6E-409C-BE32-E72D297353CC}">
              <c16:uniqueId val="{00000026-A47A-4ECB-A290-D1EB31DA5EF2}"/>
            </c:ext>
          </c:extLst>
        </c:ser>
        <c:ser>
          <c:idx val="38"/>
          <c:order val="39"/>
          <c:tx>
            <c:strRef>
              <c:f>'TLFB data'!$AH$181</c:f>
              <c:strCache>
                <c:ptCount val="1"/>
                <c:pt idx="0">
                  <c:v>39</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data'!$AH$182</c:f>
              <c:numCache>
                <c:formatCode>0.00%</c:formatCode>
                <c:ptCount val="1"/>
                <c:pt idx="0">
                  <c:v>0</c:v>
                </c:pt>
              </c:numCache>
            </c:numRef>
          </c:val>
          <c:extLst>
            <c:ext xmlns:c16="http://schemas.microsoft.com/office/drawing/2014/chart" uri="{C3380CC4-5D6E-409C-BE32-E72D297353CC}">
              <c16:uniqueId val="{00000027-A47A-4ECB-A290-D1EB31DA5EF2}"/>
            </c:ext>
          </c:extLst>
        </c:ser>
        <c:ser>
          <c:idx val="39"/>
          <c:order val="40"/>
          <c:tx>
            <c:strRef>
              <c:f>'TLFB data'!$AH$183</c:f>
              <c:strCache>
                <c:ptCount val="1"/>
                <c:pt idx="0">
                  <c:v>40</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data'!$AH$184</c:f>
              <c:numCache>
                <c:formatCode>0.00%</c:formatCode>
                <c:ptCount val="1"/>
                <c:pt idx="0">
                  <c:v>0</c:v>
                </c:pt>
              </c:numCache>
            </c:numRef>
          </c:val>
          <c:extLst>
            <c:ext xmlns:c16="http://schemas.microsoft.com/office/drawing/2014/chart" uri="{C3380CC4-5D6E-409C-BE32-E72D297353CC}">
              <c16:uniqueId val="{00000028-A47A-4ECB-A290-D1EB31DA5EF2}"/>
            </c:ext>
          </c:extLst>
        </c:ser>
        <c:ser>
          <c:idx val="40"/>
          <c:order val="41"/>
          <c:tx>
            <c:strRef>
              <c:f>'TLFB data'!$AH$185</c:f>
              <c:strCache>
                <c:ptCount val="1"/>
                <c:pt idx="0">
                  <c:v>41</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data'!$AH$186</c:f>
              <c:numCache>
                <c:formatCode>0.00%</c:formatCode>
                <c:ptCount val="1"/>
                <c:pt idx="0">
                  <c:v>0</c:v>
                </c:pt>
              </c:numCache>
            </c:numRef>
          </c:val>
          <c:extLst>
            <c:ext xmlns:c16="http://schemas.microsoft.com/office/drawing/2014/chart" uri="{C3380CC4-5D6E-409C-BE32-E72D297353CC}">
              <c16:uniqueId val="{00000029-A47A-4ECB-A290-D1EB31DA5EF2}"/>
            </c:ext>
          </c:extLst>
        </c:ser>
        <c:ser>
          <c:idx val="41"/>
          <c:order val="42"/>
          <c:tx>
            <c:strRef>
              <c:f>'TLFB data'!$AH$187</c:f>
              <c:strCache>
                <c:ptCount val="1"/>
                <c:pt idx="0">
                  <c:v>42</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data'!$AH$188</c:f>
              <c:numCache>
                <c:formatCode>0.00%</c:formatCode>
                <c:ptCount val="1"/>
                <c:pt idx="0">
                  <c:v>0</c:v>
                </c:pt>
              </c:numCache>
            </c:numRef>
          </c:val>
          <c:extLst>
            <c:ext xmlns:c16="http://schemas.microsoft.com/office/drawing/2014/chart" uri="{C3380CC4-5D6E-409C-BE32-E72D297353CC}">
              <c16:uniqueId val="{0000002A-A47A-4ECB-A290-D1EB31DA5EF2}"/>
            </c:ext>
          </c:extLst>
        </c:ser>
        <c:ser>
          <c:idx val="42"/>
          <c:order val="43"/>
          <c:tx>
            <c:strRef>
              <c:f>'TLFB data'!$AH$189</c:f>
              <c:strCache>
                <c:ptCount val="1"/>
                <c:pt idx="0">
                  <c:v>43</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data'!$AH$190</c:f>
              <c:numCache>
                <c:formatCode>0.00%</c:formatCode>
                <c:ptCount val="1"/>
                <c:pt idx="0">
                  <c:v>0</c:v>
                </c:pt>
              </c:numCache>
            </c:numRef>
          </c:val>
          <c:extLst>
            <c:ext xmlns:c16="http://schemas.microsoft.com/office/drawing/2014/chart" uri="{C3380CC4-5D6E-409C-BE32-E72D297353CC}">
              <c16:uniqueId val="{0000002B-A47A-4ECB-A290-D1EB31DA5EF2}"/>
            </c:ext>
          </c:extLst>
        </c:ser>
        <c:ser>
          <c:idx val="43"/>
          <c:order val="44"/>
          <c:tx>
            <c:strRef>
              <c:f>'TLFB data'!$AH$191</c:f>
              <c:strCache>
                <c:ptCount val="1"/>
                <c:pt idx="0">
                  <c:v>44</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data'!$AH$192</c:f>
              <c:numCache>
                <c:formatCode>0.00%</c:formatCode>
                <c:ptCount val="1"/>
                <c:pt idx="0">
                  <c:v>0</c:v>
                </c:pt>
              </c:numCache>
            </c:numRef>
          </c:val>
          <c:extLst>
            <c:ext xmlns:c16="http://schemas.microsoft.com/office/drawing/2014/chart" uri="{C3380CC4-5D6E-409C-BE32-E72D297353CC}">
              <c16:uniqueId val="{0000002C-A47A-4ECB-A290-D1EB31DA5EF2}"/>
            </c:ext>
          </c:extLst>
        </c:ser>
        <c:ser>
          <c:idx val="44"/>
          <c:order val="45"/>
          <c:tx>
            <c:strRef>
              <c:f>'TLFB data'!$AH$193</c:f>
              <c:strCache>
                <c:ptCount val="1"/>
                <c:pt idx="0">
                  <c:v>45</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'TLFB data'!$AH$194</c:f>
              <c:numCache>
                <c:formatCode>0.00%</c:formatCode>
                <c:ptCount val="1"/>
                <c:pt idx="0">
                  <c:v>0</c:v>
                </c:pt>
              </c:numCache>
            </c:numRef>
          </c:val>
          <c:extLst>
            <c:ext xmlns:c16="http://schemas.microsoft.com/office/drawing/2014/chart" uri="{C3380CC4-5D6E-409C-BE32-E72D297353CC}">
              <c16:uniqueId val="{0000002D-A47A-4ECB-A290-D1EB31DA5EF2}"/>
            </c:ext>
          </c:extLst>
        </c:ser>
        <c:dLbls>
          <c:showLegendKey val="0"/>
          <c:showVal val="1"/>
          <c:showCatName val="0"/>
          <c:showSerName val="0"/>
          <c:showPercent val="0"/>
          <c:showBubbleSize val="0"/>
        </c:dLbls>
        <c:gapWidth val="0"/>
        <c:overlap val="-100"/>
        <c:axId val="194785288"/>
        <c:axId val="191097232"/>
      </c:barChart>
      <c:catAx>
        <c:axId val="194785288"/>
        <c:scaling>
          <c:orientation val="minMax"/>
        </c:scaling>
        <c:delete val="0"/>
        <c:axPos val="b"/>
        <c:numFmt formatCode="0.00%" sourceLinked="1"/>
        <c:majorTickMark val="none"/>
        <c:minorTickMark val="none"/>
        <c:tickLblPos val="nextTo"/>
        <c:txPr>
          <a:bodyPr/>
          <a:lstStyle/>
          <a:p>
            <a:pPr>
              <a:defRPr sz="1500" b="1" i="0" baseline="0">
                <a:latin typeface="Arial" pitchFamily="34" charset="0"/>
              </a:defRPr>
            </a:pPr>
            <a:endParaRPr lang="en-US"/>
          </a:p>
        </c:txPr>
        <c:crossAx val="191097232"/>
        <c:crosses val="autoZero"/>
        <c:auto val="1"/>
        <c:lblAlgn val="ctr"/>
        <c:lblOffset val="100"/>
        <c:noMultiLvlLbl val="0"/>
      </c:catAx>
      <c:valAx>
        <c:axId val="191097232"/>
        <c:scaling>
          <c:orientation val="minMax"/>
        </c:scaling>
        <c:delete val="0"/>
        <c:axPos val="l"/>
        <c:majorGridlines/>
        <c:minorGridlines/>
        <c:title>
          <c:tx>
            <c:rich>
              <a:bodyPr rot="0" vert="wordArtVert"/>
              <a:lstStyle/>
              <a:p>
                <a:pPr>
                  <a:defRPr sz="1500" baseline="0">
                    <a:latin typeface="Arial" pitchFamily="34" charset="0"/>
                  </a:defRPr>
                </a:pPr>
                <a:r>
                  <a:rPr lang="en-US" sz="1500" baseline="0">
                    <a:latin typeface="Arial" pitchFamily="34" charset="0"/>
                  </a:rPr>
                  <a:t>Percentage</a:t>
                </a:r>
              </a:p>
            </c:rich>
          </c:tx>
          <c:layout/>
          <c:overlay val="0"/>
        </c:title>
        <c:numFmt formatCode="0%" sourceLinked="0"/>
        <c:majorTickMark val="none"/>
        <c:minorTickMark val="none"/>
        <c:tickLblPos val="nextTo"/>
        <c:spPr>
          <a:ln w="9525">
            <a:noFill/>
          </a:ln>
        </c:spPr>
        <c:txPr>
          <a:bodyPr/>
          <a:lstStyle/>
          <a:p>
            <a:pPr>
              <a:defRPr sz="1500" baseline="0">
                <a:latin typeface="Arial" pitchFamily="34" charset="0"/>
              </a:defRPr>
            </a:pPr>
            <a:endParaRPr lang="en-US"/>
          </a:p>
        </c:txPr>
        <c:crossAx val="194785288"/>
        <c:crosses val="autoZero"/>
        <c:crossBetween val="between"/>
      </c:valAx>
    </c:plotArea>
    <c:plotVisOnly val="1"/>
    <c:dispBlanksAs val="gap"/>
    <c:showDLblsOverMax val="0"/>
  </c:chart>
  <c:printSettings>
    <c:headerFooter/>
    <c:pageMargins b="0.75000000000000389" l="0.70000000000000162" r="0.70000000000000162" t="0.75000000000000389" header="0.30000000000000032" footer="0.30000000000000032"/>
    <c:pageSetup orientation="landscape"/>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baseline="0">
                <a:latin typeface="Arial" pitchFamily="34" charset="0"/>
              </a:defRPr>
            </a:pPr>
            <a:r>
              <a:rPr lang="en-US" baseline="0">
                <a:latin typeface="Arial" pitchFamily="34" charset="0"/>
              </a:rPr>
              <a:t>amount of ethanol consumed (gm) as f(number drinks consumed in 24 hours) in last 90 days</a:t>
            </a:r>
          </a:p>
        </c:rich>
      </c:tx>
      <c:layout>
        <c:manualLayout>
          <c:xMode val="edge"/>
          <c:yMode val="edge"/>
          <c:x val="0.28588453595474278"/>
          <c:y val="3.1188870391460472E-2"/>
        </c:manualLayout>
      </c:layout>
      <c:overlay val="0"/>
    </c:title>
    <c:autoTitleDeleted val="0"/>
    <c:plotArea>
      <c:layout/>
      <c:barChart>
        <c:barDir val="col"/>
        <c:grouping val="clustered"/>
        <c:varyColors val="0"/>
        <c:ser>
          <c:idx val="6"/>
          <c:order val="0"/>
          <c:tx>
            <c:strRef>
              <c:f>'TLFB data'!$Z$103</c:f>
              <c:strCache>
                <c:ptCount val="1"/>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data'!$AH$104</c:f>
              <c:numCache>
                <c:formatCode>0.00%</c:formatCode>
                <c:ptCount val="1"/>
                <c:pt idx="0">
                  <c:v>0</c:v>
                </c:pt>
              </c:numCache>
            </c:numRef>
          </c:val>
          <c:extLst>
            <c:ext xmlns:c16="http://schemas.microsoft.com/office/drawing/2014/chart" uri="{C3380CC4-5D6E-409C-BE32-E72D297353CC}">
              <c16:uniqueId val="{00000000-D3B8-4427-8E5C-193C23FC3447}"/>
            </c:ext>
          </c:extLst>
        </c:ser>
        <c:ser>
          <c:idx val="0"/>
          <c:order val="1"/>
          <c:tx>
            <c:strRef>
              <c:f>'TLFB data'!$AH$105</c:f>
              <c:strCache>
                <c:ptCount val="1"/>
                <c:pt idx="0">
                  <c:v>1</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strLit>
              <c:ptCount val="1"/>
              <c:pt idx="0">
                <c:v>Number of Drinks</c:v>
              </c:pt>
            </c:strLit>
          </c:cat>
          <c:val>
            <c:numRef>
              <c:f>'TLFB data'!$AI$106</c:f>
              <c:numCache>
                <c:formatCode>General</c:formatCode>
                <c:ptCount val="1"/>
                <c:pt idx="0">
                  <c:v>0</c:v>
                </c:pt>
              </c:numCache>
            </c:numRef>
          </c:val>
          <c:extLst>
            <c:ext xmlns:c16="http://schemas.microsoft.com/office/drawing/2014/chart" uri="{C3380CC4-5D6E-409C-BE32-E72D297353CC}">
              <c16:uniqueId val="{00000001-D3B8-4427-8E5C-193C23FC3447}"/>
            </c:ext>
          </c:extLst>
        </c:ser>
        <c:ser>
          <c:idx val="1"/>
          <c:order val="2"/>
          <c:tx>
            <c:strRef>
              <c:f>'TLFB data'!$AH$107</c:f>
              <c:strCache>
                <c:ptCount val="1"/>
                <c:pt idx="0">
                  <c:v>2</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strLit>
              <c:ptCount val="1"/>
              <c:pt idx="0">
                <c:v>Number of Drinks</c:v>
              </c:pt>
            </c:strLit>
          </c:cat>
          <c:val>
            <c:numRef>
              <c:f>'TLFB data'!$AI$108</c:f>
              <c:numCache>
                <c:formatCode>General</c:formatCode>
                <c:ptCount val="1"/>
                <c:pt idx="0">
                  <c:v>0</c:v>
                </c:pt>
              </c:numCache>
            </c:numRef>
          </c:val>
          <c:extLst>
            <c:ext xmlns:c16="http://schemas.microsoft.com/office/drawing/2014/chart" uri="{C3380CC4-5D6E-409C-BE32-E72D297353CC}">
              <c16:uniqueId val="{00000002-D3B8-4427-8E5C-193C23FC3447}"/>
            </c:ext>
          </c:extLst>
        </c:ser>
        <c:ser>
          <c:idx val="2"/>
          <c:order val="3"/>
          <c:tx>
            <c:strRef>
              <c:f>'TLFB data'!$AH$109</c:f>
              <c:strCache>
                <c:ptCount val="1"/>
                <c:pt idx="0">
                  <c:v>3</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strLit>
              <c:ptCount val="1"/>
              <c:pt idx="0">
                <c:v>Number of Drinks</c:v>
              </c:pt>
            </c:strLit>
          </c:cat>
          <c:val>
            <c:numRef>
              <c:f>'TLFB data'!$AI$110</c:f>
              <c:numCache>
                <c:formatCode>General</c:formatCode>
                <c:ptCount val="1"/>
                <c:pt idx="0">
                  <c:v>0</c:v>
                </c:pt>
              </c:numCache>
            </c:numRef>
          </c:val>
          <c:extLst>
            <c:ext xmlns:c16="http://schemas.microsoft.com/office/drawing/2014/chart" uri="{C3380CC4-5D6E-409C-BE32-E72D297353CC}">
              <c16:uniqueId val="{00000003-D3B8-4427-8E5C-193C23FC3447}"/>
            </c:ext>
          </c:extLst>
        </c:ser>
        <c:ser>
          <c:idx val="3"/>
          <c:order val="4"/>
          <c:tx>
            <c:strRef>
              <c:f>'TLFB data'!$AH$111</c:f>
              <c:strCache>
                <c:ptCount val="1"/>
                <c:pt idx="0">
                  <c:v>4</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data'!$AI$112</c:f>
              <c:numCache>
                <c:formatCode>General</c:formatCode>
                <c:ptCount val="1"/>
                <c:pt idx="0">
                  <c:v>0</c:v>
                </c:pt>
              </c:numCache>
            </c:numRef>
          </c:val>
          <c:extLst>
            <c:ext xmlns:c16="http://schemas.microsoft.com/office/drawing/2014/chart" uri="{C3380CC4-5D6E-409C-BE32-E72D297353CC}">
              <c16:uniqueId val="{00000004-D3B8-4427-8E5C-193C23FC3447}"/>
            </c:ext>
          </c:extLst>
        </c:ser>
        <c:ser>
          <c:idx val="4"/>
          <c:order val="5"/>
          <c:tx>
            <c:strRef>
              <c:f>'TLFB data'!$AH$113</c:f>
              <c:strCache>
                <c:ptCount val="1"/>
                <c:pt idx="0">
                  <c:v>5</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data'!$AI$114</c:f>
              <c:numCache>
                <c:formatCode>General</c:formatCode>
                <c:ptCount val="1"/>
                <c:pt idx="0">
                  <c:v>0</c:v>
                </c:pt>
              </c:numCache>
            </c:numRef>
          </c:val>
          <c:extLst>
            <c:ext xmlns:c16="http://schemas.microsoft.com/office/drawing/2014/chart" uri="{C3380CC4-5D6E-409C-BE32-E72D297353CC}">
              <c16:uniqueId val="{00000005-D3B8-4427-8E5C-193C23FC3447}"/>
            </c:ext>
          </c:extLst>
        </c:ser>
        <c:ser>
          <c:idx val="5"/>
          <c:order val="6"/>
          <c:tx>
            <c:strRef>
              <c:f>'TLFB data'!$AH$115</c:f>
              <c:strCache>
                <c:ptCount val="1"/>
                <c:pt idx="0">
                  <c:v>6</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data'!$AI$116</c:f>
              <c:numCache>
                <c:formatCode>General</c:formatCode>
                <c:ptCount val="1"/>
                <c:pt idx="0">
                  <c:v>0</c:v>
                </c:pt>
              </c:numCache>
            </c:numRef>
          </c:val>
          <c:extLst>
            <c:ext xmlns:c16="http://schemas.microsoft.com/office/drawing/2014/chart" uri="{C3380CC4-5D6E-409C-BE32-E72D297353CC}">
              <c16:uniqueId val="{00000006-D3B8-4427-8E5C-193C23FC3447}"/>
            </c:ext>
          </c:extLst>
        </c:ser>
        <c:ser>
          <c:idx val="7"/>
          <c:order val="7"/>
          <c:tx>
            <c:strRef>
              <c:f>'TLFB data'!$AH$117</c:f>
              <c:strCache>
                <c:ptCount val="1"/>
                <c:pt idx="0">
                  <c:v>7</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data'!$AI$118</c:f>
              <c:numCache>
                <c:formatCode>General</c:formatCode>
                <c:ptCount val="1"/>
                <c:pt idx="0">
                  <c:v>0</c:v>
                </c:pt>
              </c:numCache>
            </c:numRef>
          </c:val>
          <c:extLst>
            <c:ext xmlns:c16="http://schemas.microsoft.com/office/drawing/2014/chart" uri="{C3380CC4-5D6E-409C-BE32-E72D297353CC}">
              <c16:uniqueId val="{00000007-D3B8-4427-8E5C-193C23FC3447}"/>
            </c:ext>
          </c:extLst>
        </c:ser>
        <c:ser>
          <c:idx val="8"/>
          <c:order val="8"/>
          <c:tx>
            <c:strRef>
              <c:f>'TLFB data'!$AH$119</c:f>
              <c:strCache>
                <c:ptCount val="1"/>
                <c:pt idx="0">
                  <c:v>8</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data'!$AI$120</c:f>
              <c:numCache>
                <c:formatCode>General</c:formatCode>
                <c:ptCount val="1"/>
                <c:pt idx="0">
                  <c:v>0</c:v>
                </c:pt>
              </c:numCache>
            </c:numRef>
          </c:val>
          <c:extLst>
            <c:ext xmlns:c16="http://schemas.microsoft.com/office/drawing/2014/chart" uri="{C3380CC4-5D6E-409C-BE32-E72D297353CC}">
              <c16:uniqueId val="{00000008-D3B8-4427-8E5C-193C23FC3447}"/>
            </c:ext>
          </c:extLst>
        </c:ser>
        <c:ser>
          <c:idx val="9"/>
          <c:order val="9"/>
          <c:tx>
            <c:strRef>
              <c:f>'TLFB data'!$AH$121</c:f>
              <c:strCache>
                <c:ptCount val="1"/>
                <c:pt idx="0">
                  <c:v>9</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data'!$AI$122</c:f>
              <c:numCache>
                <c:formatCode>General</c:formatCode>
                <c:ptCount val="1"/>
                <c:pt idx="0">
                  <c:v>0</c:v>
                </c:pt>
              </c:numCache>
            </c:numRef>
          </c:val>
          <c:extLst>
            <c:ext xmlns:c16="http://schemas.microsoft.com/office/drawing/2014/chart" uri="{C3380CC4-5D6E-409C-BE32-E72D297353CC}">
              <c16:uniqueId val="{00000009-D3B8-4427-8E5C-193C23FC3447}"/>
            </c:ext>
          </c:extLst>
        </c:ser>
        <c:ser>
          <c:idx val="10"/>
          <c:order val="10"/>
          <c:tx>
            <c:strRef>
              <c:f>'TLFB data'!$AH$123</c:f>
              <c:strCache>
                <c:ptCount val="1"/>
                <c:pt idx="0">
                  <c:v>10</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data'!$AI$124</c:f>
              <c:numCache>
                <c:formatCode>General</c:formatCode>
                <c:ptCount val="1"/>
                <c:pt idx="0">
                  <c:v>0</c:v>
                </c:pt>
              </c:numCache>
            </c:numRef>
          </c:val>
          <c:extLst>
            <c:ext xmlns:c16="http://schemas.microsoft.com/office/drawing/2014/chart" uri="{C3380CC4-5D6E-409C-BE32-E72D297353CC}">
              <c16:uniqueId val="{0000000A-D3B8-4427-8E5C-193C23FC3447}"/>
            </c:ext>
          </c:extLst>
        </c:ser>
        <c:ser>
          <c:idx val="11"/>
          <c:order val="11"/>
          <c:tx>
            <c:strRef>
              <c:f>'TLFB data'!$AH$125</c:f>
              <c:strCache>
                <c:ptCount val="1"/>
                <c:pt idx="0">
                  <c:v>11</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data'!$AI$126</c:f>
              <c:numCache>
                <c:formatCode>General</c:formatCode>
                <c:ptCount val="1"/>
                <c:pt idx="0">
                  <c:v>0</c:v>
                </c:pt>
              </c:numCache>
            </c:numRef>
          </c:val>
          <c:extLst>
            <c:ext xmlns:c16="http://schemas.microsoft.com/office/drawing/2014/chart" uri="{C3380CC4-5D6E-409C-BE32-E72D297353CC}">
              <c16:uniqueId val="{0000000B-D3B8-4427-8E5C-193C23FC3447}"/>
            </c:ext>
          </c:extLst>
        </c:ser>
        <c:ser>
          <c:idx val="12"/>
          <c:order val="12"/>
          <c:tx>
            <c:strRef>
              <c:f>'TLFB data'!$AH$127</c:f>
              <c:strCache>
                <c:ptCount val="1"/>
                <c:pt idx="0">
                  <c:v>12</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data'!$AI$128</c:f>
              <c:numCache>
                <c:formatCode>General</c:formatCode>
                <c:ptCount val="1"/>
                <c:pt idx="0">
                  <c:v>0</c:v>
                </c:pt>
              </c:numCache>
            </c:numRef>
          </c:val>
          <c:extLst>
            <c:ext xmlns:c16="http://schemas.microsoft.com/office/drawing/2014/chart" uri="{C3380CC4-5D6E-409C-BE32-E72D297353CC}">
              <c16:uniqueId val="{0000000C-D3B8-4427-8E5C-193C23FC3447}"/>
            </c:ext>
          </c:extLst>
        </c:ser>
        <c:ser>
          <c:idx val="13"/>
          <c:order val="13"/>
          <c:tx>
            <c:strRef>
              <c:f>'TLFB data'!$AH$129</c:f>
              <c:strCache>
                <c:ptCount val="1"/>
                <c:pt idx="0">
                  <c:v>13</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data'!$AI$130</c:f>
              <c:numCache>
                <c:formatCode>General</c:formatCode>
                <c:ptCount val="1"/>
                <c:pt idx="0">
                  <c:v>0</c:v>
                </c:pt>
              </c:numCache>
            </c:numRef>
          </c:val>
          <c:extLst>
            <c:ext xmlns:c16="http://schemas.microsoft.com/office/drawing/2014/chart" uri="{C3380CC4-5D6E-409C-BE32-E72D297353CC}">
              <c16:uniqueId val="{0000000D-D3B8-4427-8E5C-193C23FC3447}"/>
            </c:ext>
          </c:extLst>
        </c:ser>
        <c:ser>
          <c:idx val="14"/>
          <c:order val="14"/>
          <c:tx>
            <c:strRef>
              <c:f>'TLFB data'!$AH$131</c:f>
              <c:strCache>
                <c:ptCount val="1"/>
                <c:pt idx="0">
                  <c:v>14</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data'!$AI$132</c:f>
              <c:numCache>
                <c:formatCode>General</c:formatCode>
                <c:ptCount val="1"/>
                <c:pt idx="0">
                  <c:v>0</c:v>
                </c:pt>
              </c:numCache>
            </c:numRef>
          </c:val>
          <c:extLst>
            <c:ext xmlns:c16="http://schemas.microsoft.com/office/drawing/2014/chart" uri="{C3380CC4-5D6E-409C-BE32-E72D297353CC}">
              <c16:uniqueId val="{0000000E-D3B8-4427-8E5C-193C23FC3447}"/>
            </c:ext>
          </c:extLst>
        </c:ser>
        <c:ser>
          <c:idx val="15"/>
          <c:order val="15"/>
          <c:tx>
            <c:strRef>
              <c:f>'TLFB data'!$AH$133</c:f>
              <c:strCache>
                <c:ptCount val="1"/>
                <c:pt idx="0">
                  <c:v>15</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data'!$AI$134</c:f>
              <c:numCache>
                <c:formatCode>General</c:formatCode>
                <c:ptCount val="1"/>
                <c:pt idx="0">
                  <c:v>0</c:v>
                </c:pt>
              </c:numCache>
            </c:numRef>
          </c:val>
          <c:extLst>
            <c:ext xmlns:c16="http://schemas.microsoft.com/office/drawing/2014/chart" uri="{C3380CC4-5D6E-409C-BE32-E72D297353CC}">
              <c16:uniqueId val="{0000000F-D3B8-4427-8E5C-193C23FC3447}"/>
            </c:ext>
          </c:extLst>
        </c:ser>
        <c:ser>
          <c:idx val="16"/>
          <c:order val="16"/>
          <c:tx>
            <c:strRef>
              <c:f>'TLFB data'!$AH$135</c:f>
              <c:strCache>
                <c:ptCount val="1"/>
                <c:pt idx="0">
                  <c:v>16</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data'!$AI$136</c:f>
              <c:numCache>
                <c:formatCode>General</c:formatCode>
                <c:ptCount val="1"/>
                <c:pt idx="0">
                  <c:v>0</c:v>
                </c:pt>
              </c:numCache>
            </c:numRef>
          </c:val>
          <c:extLst>
            <c:ext xmlns:c16="http://schemas.microsoft.com/office/drawing/2014/chart" uri="{C3380CC4-5D6E-409C-BE32-E72D297353CC}">
              <c16:uniqueId val="{00000010-D3B8-4427-8E5C-193C23FC3447}"/>
            </c:ext>
          </c:extLst>
        </c:ser>
        <c:ser>
          <c:idx val="17"/>
          <c:order val="17"/>
          <c:tx>
            <c:strRef>
              <c:f>'TLFB data'!$AH$137</c:f>
              <c:strCache>
                <c:ptCount val="1"/>
                <c:pt idx="0">
                  <c:v>17</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data'!$AI$138</c:f>
              <c:numCache>
                <c:formatCode>General</c:formatCode>
                <c:ptCount val="1"/>
                <c:pt idx="0">
                  <c:v>0</c:v>
                </c:pt>
              </c:numCache>
            </c:numRef>
          </c:val>
          <c:extLst>
            <c:ext xmlns:c16="http://schemas.microsoft.com/office/drawing/2014/chart" uri="{C3380CC4-5D6E-409C-BE32-E72D297353CC}">
              <c16:uniqueId val="{00000011-D3B8-4427-8E5C-193C23FC3447}"/>
            </c:ext>
          </c:extLst>
        </c:ser>
        <c:ser>
          <c:idx val="18"/>
          <c:order val="18"/>
          <c:tx>
            <c:strRef>
              <c:f>'TLFB data'!$AH$139</c:f>
              <c:strCache>
                <c:ptCount val="1"/>
                <c:pt idx="0">
                  <c:v>18</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data'!$AI$140</c:f>
              <c:numCache>
                <c:formatCode>General</c:formatCode>
                <c:ptCount val="1"/>
                <c:pt idx="0">
                  <c:v>0</c:v>
                </c:pt>
              </c:numCache>
            </c:numRef>
          </c:val>
          <c:extLst>
            <c:ext xmlns:c16="http://schemas.microsoft.com/office/drawing/2014/chart" uri="{C3380CC4-5D6E-409C-BE32-E72D297353CC}">
              <c16:uniqueId val="{00000012-D3B8-4427-8E5C-193C23FC3447}"/>
            </c:ext>
          </c:extLst>
        </c:ser>
        <c:ser>
          <c:idx val="19"/>
          <c:order val="19"/>
          <c:tx>
            <c:strRef>
              <c:f>'TLFB data'!$AH$141</c:f>
              <c:strCache>
                <c:ptCount val="1"/>
                <c:pt idx="0">
                  <c:v>19</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data'!$AI$142</c:f>
              <c:numCache>
                <c:formatCode>General</c:formatCode>
                <c:ptCount val="1"/>
                <c:pt idx="0">
                  <c:v>0</c:v>
                </c:pt>
              </c:numCache>
            </c:numRef>
          </c:val>
          <c:extLst>
            <c:ext xmlns:c16="http://schemas.microsoft.com/office/drawing/2014/chart" uri="{C3380CC4-5D6E-409C-BE32-E72D297353CC}">
              <c16:uniqueId val="{00000013-D3B8-4427-8E5C-193C23FC3447}"/>
            </c:ext>
          </c:extLst>
        </c:ser>
        <c:ser>
          <c:idx val="20"/>
          <c:order val="20"/>
          <c:tx>
            <c:strRef>
              <c:f>'TLFB data'!$AH$143</c:f>
              <c:strCache>
                <c:ptCount val="1"/>
                <c:pt idx="0">
                  <c:v>20</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data'!$AI$144</c:f>
              <c:numCache>
                <c:formatCode>General</c:formatCode>
                <c:ptCount val="1"/>
                <c:pt idx="0">
                  <c:v>0</c:v>
                </c:pt>
              </c:numCache>
            </c:numRef>
          </c:val>
          <c:extLst>
            <c:ext xmlns:c16="http://schemas.microsoft.com/office/drawing/2014/chart" uri="{C3380CC4-5D6E-409C-BE32-E72D297353CC}">
              <c16:uniqueId val="{00000014-D3B8-4427-8E5C-193C23FC3447}"/>
            </c:ext>
          </c:extLst>
        </c:ser>
        <c:ser>
          <c:idx val="21"/>
          <c:order val="21"/>
          <c:tx>
            <c:strRef>
              <c:f>'TLFB data'!$AH$145</c:f>
              <c:strCache>
                <c:ptCount val="1"/>
                <c:pt idx="0">
                  <c:v>21</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data'!$AI$146</c:f>
              <c:numCache>
                <c:formatCode>General</c:formatCode>
                <c:ptCount val="1"/>
                <c:pt idx="0">
                  <c:v>0</c:v>
                </c:pt>
              </c:numCache>
            </c:numRef>
          </c:val>
          <c:extLst>
            <c:ext xmlns:c16="http://schemas.microsoft.com/office/drawing/2014/chart" uri="{C3380CC4-5D6E-409C-BE32-E72D297353CC}">
              <c16:uniqueId val="{00000015-D3B8-4427-8E5C-193C23FC3447}"/>
            </c:ext>
          </c:extLst>
        </c:ser>
        <c:ser>
          <c:idx val="22"/>
          <c:order val="22"/>
          <c:tx>
            <c:strRef>
              <c:f>'TLFB data'!$AH$147</c:f>
              <c:strCache>
                <c:ptCount val="1"/>
                <c:pt idx="0">
                  <c:v>22</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data'!$AI$148</c:f>
              <c:numCache>
                <c:formatCode>General</c:formatCode>
                <c:ptCount val="1"/>
                <c:pt idx="0">
                  <c:v>0</c:v>
                </c:pt>
              </c:numCache>
            </c:numRef>
          </c:val>
          <c:extLst>
            <c:ext xmlns:c16="http://schemas.microsoft.com/office/drawing/2014/chart" uri="{C3380CC4-5D6E-409C-BE32-E72D297353CC}">
              <c16:uniqueId val="{00000016-D3B8-4427-8E5C-193C23FC3447}"/>
            </c:ext>
          </c:extLst>
        </c:ser>
        <c:ser>
          <c:idx val="23"/>
          <c:order val="23"/>
          <c:tx>
            <c:strRef>
              <c:f>'TLFB data'!$AH$149</c:f>
              <c:strCache>
                <c:ptCount val="1"/>
                <c:pt idx="0">
                  <c:v>23</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data'!$AI$150</c:f>
              <c:numCache>
                <c:formatCode>General</c:formatCode>
                <c:ptCount val="1"/>
                <c:pt idx="0">
                  <c:v>0</c:v>
                </c:pt>
              </c:numCache>
            </c:numRef>
          </c:val>
          <c:extLst>
            <c:ext xmlns:c16="http://schemas.microsoft.com/office/drawing/2014/chart" uri="{C3380CC4-5D6E-409C-BE32-E72D297353CC}">
              <c16:uniqueId val="{00000017-D3B8-4427-8E5C-193C23FC3447}"/>
            </c:ext>
          </c:extLst>
        </c:ser>
        <c:ser>
          <c:idx val="24"/>
          <c:order val="24"/>
          <c:tx>
            <c:strRef>
              <c:f>'TLFB data'!$AH$151</c:f>
              <c:strCache>
                <c:ptCount val="1"/>
                <c:pt idx="0">
                  <c:v>24</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data'!$AI$152</c:f>
              <c:numCache>
                <c:formatCode>General</c:formatCode>
                <c:ptCount val="1"/>
                <c:pt idx="0">
                  <c:v>0</c:v>
                </c:pt>
              </c:numCache>
            </c:numRef>
          </c:val>
          <c:extLst>
            <c:ext xmlns:c16="http://schemas.microsoft.com/office/drawing/2014/chart" uri="{C3380CC4-5D6E-409C-BE32-E72D297353CC}">
              <c16:uniqueId val="{00000018-D3B8-4427-8E5C-193C23FC3447}"/>
            </c:ext>
          </c:extLst>
        </c:ser>
        <c:ser>
          <c:idx val="25"/>
          <c:order val="25"/>
          <c:tx>
            <c:strRef>
              <c:f>'TLFB data'!$AH$153</c:f>
              <c:strCache>
                <c:ptCount val="1"/>
                <c:pt idx="0">
                  <c:v>25</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data'!$AI$154</c:f>
              <c:numCache>
                <c:formatCode>General</c:formatCode>
                <c:ptCount val="1"/>
                <c:pt idx="0">
                  <c:v>0</c:v>
                </c:pt>
              </c:numCache>
            </c:numRef>
          </c:val>
          <c:extLst>
            <c:ext xmlns:c16="http://schemas.microsoft.com/office/drawing/2014/chart" uri="{C3380CC4-5D6E-409C-BE32-E72D297353CC}">
              <c16:uniqueId val="{00000019-D3B8-4427-8E5C-193C23FC3447}"/>
            </c:ext>
          </c:extLst>
        </c:ser>
        <c:ser>
          <c:idx val="26"/>
          <c:order val="26"/>
          <c:tx>
            <c:strRef>
              <c:f>'TLFB data'!$AH$155</c:f>
              <c:strCache>
                <c:ptCount val="1"/>
                <c:pt idx="0">
                  <c:v>26</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data'!$AI$156</c:f>
              <c:numCache>
                <c:formatCode>General</c:formatCode>
                <c:ptCount val="1"/>
                <c:pt idx="0">
                  <c:v>0</c:v>
                </c:pt>
              </c:numCache>
            </c:numRef>
          </c:val>
          <c:extLst>
            <c:ext xmlns:c16="http://schemas.microsoft.com/office/drawing/2014/chart" uri="{C3380CC4-5D6E-409C-BE32-E72D297353CC}">
              <c16:uniqueId val="{0000001A-D3B8-4427-8E5C-193C23FC3447}"/>
            </c:ext>
          </c:extLst>
        </c:ser>
        <c:ser>
          <c:idx val="27"/>
          <c:order val="27"/>
          <c:tx>
            <c:strRef>
              <c:f>'TLFB data'!$AH$157</c:f>
              <c:strCache>
                <c:ptCount val="1"/>
                <c:pt idx="0">
                  <c:v>27</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data'!$AI$158</c:f>
              <c:numCache>
                <c:formatCode>General</c:formatCode>
                <c:ptCount val="1"/>
                <c:pt idx="0">
                  <c:v>0</c:v>
                </c:pt>
              </c:numCache>
            </c:numRef>
          </c:val>
          <c:extLst>
            <c:ext xmlns:c16="http://schemas.microsoft.com/office/drawing/2014/chart" uri="{C3380CC4-5D6E-409C-BE32-E72D297353CC}">
              <c16:uniqueId val="{0000001B-D3B8-4427-8E5C-193C23FC3447}"/>
            </c:ext>
          </c:extLst>
        </c:ser>
        <c:ser>
          <c:idx val="28"/>
          <c:order val="28"/>
          <c:tx>
            <c:strRef>
              <c:f>'TLFB data'!$AH$159</c:f>
              <c:strCache>
                <c:ptCount val="1"/>
                <c:pt idx="0">
                  <c:v>28</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data'!$AI$160</c:f>
              <c:numCache>
                <c:formatCode>General</c:formatCode>
                <c:ptCount val="1"/>
                <c:pt idx="0">
                  <c:v>0</c:v>
                </c:pt>
              </c:numCache>
            </c:numRef>
          </c:val>
          <c:extLst>
            <c:ext xmlns:c16="http://schemas.microsoft.com/office/drawing/2014/chart" uri="{C3380CC4-5D6E-409C-BE32-E72D297353CC}">
              <c16:uniqueId val="{0000001C-D3B8-4427-8E5C-193C23FC3447}"/>
            </c:ext>
          </c:extLst>
        </c:ser>
        <c:ser>
          <c:idx val="29"/>
          <c:order val="29"/>
          <c:tx>
            <c:strRef>
              <c:f>'TLFB data'!$AH$161</c:f>
              <c:strCache>
                <c:ptCount val="1"/>
                <c:pt idx="0">
                  <c:v>29</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data'!$AI$162</c:f>
              <c:numCache>
                <c:formatCode>General</c:formatCode>
                <c:ptCount val="1"/>
                <c:pt idx="0">
                  <c:v>0</c:v>
                </c:pt>
              </c:numCache>
            </c:numRef>
          </c:val>
          <c:extLst>
            <c:ext xmlns:c16="http://schemas.microsoft.com/office/drawing/2014/chart" uri="{C3380CC4-5D6E-409C-BE32-E72D297353CC}">
              <c16:uniqueId val="{0000001D-D3B8-4427-8E5C-193C23FC3447}"/>
            </c:ext>
          </c:extLst>
        </c:ser>
        <c:ser>
          <c:idx val="30"/>
          <c:order val="30"/>
          <c:tx>
            <c:strRef>
              <c:f>'TLFB data'!$AH$163</c:f>
              <c:strCache>
                <c:ptCount val="1"/>
                <c:pt idx="0">
                  <c:v>30</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data'!$AI$164</c:f>
              <c:numCache>
                <c:formatCode>General</c:formatCode>
                <c:ptCount val="1"/>
                <c:pt idx="0">
                  <c:v>0</c:v>
                </c:pt>
              </c:numCache>
            </c:numRef>
          </c:val>
          <c:extLst>
            <c:ext xmlns:c16="http://schemas.microsoft.com/office/drawing/2014/chart" uri="{C3380CC4-5D6E-409C-BE32-E72D297353CC}">
              <c16:uniqueId val="{0000001E-D3B8-4427-8E5C-193C23FC3447}"/>
            </c:ext>
          </c:extLst>
        </c:ser>
        <c:ser>
          <c:idx val="31"/>
          <c:order val="31"/>
          <c:tx>
            <c:strRef>
              <c:f>'TLFB data'!$AH$165</c:f>
              <c:strCache>
                <c:ptCount val="1"/>
                <c:pt idx="0">
                  <c:v>31</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data'!$AI$166</c:f>
              <c:numCache>
                <c:formatCode>General</c:formatCode>
                <c:ptCount val="1"/>
                <c:pt idx="0">
                  <c:v>0</c:v>
                </c:pt>
              </c:numCache>
            </c:numRef>
          </c:val>
          <c:extLst>
            <c:ext xmlns:c16="http://schemas.microsoft.com/office/drawing/2014/chart" uri="{C3380CC4-5D6E-409C-BE32-E72D297353CC}">
              <c16:uniqueId val="{0000001F-D3B8-4427-8E5C-193C23FC3447}"/>
            </c:ext>
          </c:extLst>
        </c:ser>
        <c:ser>
          <c:idx val="32"/>
          <c:order val="32"/>
          <c:tx>
            <c:strRef>
              <c:f>'TLFB data'!$AH$167</c:f>
              <c:strCache>
                <c:ptCount val="1"/>
                <c:pt idx="0">
                  <c:v>32</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data'!$AI$168</c:f>
              <c:numCache>
                <c:formatCode>General</c:formatCode>
                <c:ptCount val="1"/>
                <c:pt idx="0">
                  <c:v>0</c:v>
                </c:pt>
              </c:numCache>
            </c:numRef>
          </c:val>
          <c:extLst>
            <c:ext xmlns:c16="http://schemas.microsoft.com/office/drawing/2014/chart" uri="{C3380CC4-5D6E-409C-BE32-E72D297353CC}">
              <c16:uniqueId val="{00000020-D3B8-4427-8E5C-193C23FC3447}"/>
            </c:ext>
          </c:extLst>
        </c:ser>
        <c:ser>
          <c:idx val="45"/>
          <c:order val="33"/>
          <c:tx>
            <c:strRef>
              <c:f>'TLFB data'!$AH$169</c:f>
              <c:strCache>
                <c:ptCount val="1"/>
                <c:pt idx="0">
                  <c:v>33</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data'!$AI$170</c:f>
              <c:numCache>
                <c:formatCode>General</c:formatCode>
                <c:ptCount val="1"/>
                <c:pt idx="0">
                  <c:v>0</c:v>
                </c:pt>
              </c:numCache>
            </c:numRef>
          </c:val>
          <c:extLst>
            <c:ext xmlns:c16="http://schemas.microsoft.com/office/drawing/2014/chart" uri="{C3380CC4-5D6E-409C-BE32-E72D297353CC}">
              <c16:uniqueId val="{00000021-D3B8-4427-8E5C-193C23FC3447}"/>
            </c:ext>
          </c:extLst>
        </c:ser>
        <c:ser>
          <c:idx val="33"/>
          <c:order val="34"/>
          <c:tx>
            <c:strRef>
              <c:f>'TLFB data'!$AH$171</c:f>
              <c:strCache>
                <c:ptCount val="1"/>
                <c:pt idx="0">
                  <c:v>34</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data'!$AI$172</c:f>
              <c:numCache>
                <c:formatCode>General</c:formatCode>
                <c:ptCount val="1"/>
                <c:pt idx="0">
                  <c:v>0</c:v>
                </c:pt>
              </c:numCache>
            </c:numRef>
          </c:val>
          <c:extLst>
            <c:ext xmlns:c16="http://schemas.microsoft.com/office/drawing/2014/chart" uri="{C3380CC4-5D6E-409C-BE32-E72D297353CC}">
              <c16:uniqueId val="{00000022-D3B8-4427-8E5C-193C23FC3447}"/>
            </c:ext>
          </c:extLst>
        </c:ser>
        <c:ser>
          <c:idx val="34"/>
          <c:order val="35"/>
          <c:tx>
            <c:strRef>
              <c:f>'TLFB data'!$AH$173</c:f>
              <c:strCache>
                <c:ptCount val="1"/>
                <c:pt idx="0">
                  <c:v>35</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data'!$AI$174</c:f>
              <c:numCache>
                <c:formatCode>General</c:formatCode>
                <c:ptCount val="1"/>
                <c:pt idx="0">
                  <c:v>0</c:v>
                </c:pt>
              </c:numCache>
            </c:numRef>
          </c:val>
          <c:extLst>
            <c:ext xmlns:c16="http://schemas.microsoft.com/office/drawing/2014/chart" uri="{C3380CC4-5D6E-409C-BE32-E72D297353CC}">
              <c16:uniqueId val="{00000023-D3B8-4427-8E5C-193C23FC3447}"/>
            </c:ext>
          </c:extLst>
        </c:ser>
        <c:ser>
          <c:idx val="35"/>
          <c:order val="36"/>
          <c:tx>
            <c:strRef>
              <c:f>'TLFB data'!$AH$175</c:f>
              <c:strCache>
                <c:ptCount val="1"/>
                <c:pt idx="0">
                  <c:v>36</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data'!$AI$176</c:f>
              <c:numCache>
                <c:formatCode>General</c:formatCode>
                <c:ptCount val="1"/>
                <c:pt idx="0">
                  <c:v>0</c:v>
                </c:pt>
              </c:numCache>
            </c:numRef>
          </c:val>
          <c:extLst>
            <c:ext xmlns:c16="http://schemas.microsoft.com/office/drawing/2014/chart" uri="{C3380CC4-5D6E-409C-BE32-E72D297353CC}">
              <c16:uniqueId val="{00000024-D3B8-4427-8E5C-193C23FC3447}"/>
            </c:ext>
          </c:extLst>
        </c:ser>
        <c:ser>
          <c:idx val="36"/>
          <c:order val="37"/>
          <c:tx>
            <c:strRef>
              <c:f>'TLFB data'!$AH$177</c:f>
              <c:strCache>
                <c:ptCount val="1"/>
                <c:pt idx="0">
                  <c:v>37</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data'!$AI$178</c:f>
              <c:numCache>
                <c:formatCode>General</c:formatCode>
                <c:ptCount val="1"/>
                <c:pt idx="0">
                  <c:v>0</c:v>
                </c:pt>
              </c:numCache>
            </c:numRef>
          </c:val>
          <c:extLst>
            <c:ext xmlns:c16="http://schemas.microsoft.com/office/drawing/2014/chart" uri="{C3380CC4-5D6E-409C-BE32-E72D297353CC}">
              <c16:uniqueId val="{00000025-D3B8-4427-8E5C-193C23FC3447}"/>
            </c:ext>
          </c:extLst>
        </c:ser>
        <c:ser>
          <c:idx val="37"/>
          <c:order val="38"/>
          <c:tx>
            <c:strRef>
              <c:f>'TLFB data'!$AH$179</c:f>
              <c:strCache>
                <c:ptCount val="1"/>
                <c:pt idx="0">
                  <c:v>38</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data'!$AI$180</c:f>
              <c:numCache>
                <c:formatCode>General</c:formatCode>
                <c:ptCount val="1"/>
                <c:pt idx="0">
                  <c:v>0</c:v>
                </c:pt>
              </c:numCache>
            </c:numRef>
          </c:val>
          <c:extLst>
            <c:ext xmlns:c16="http://schemas.microsoft.com/office/drawing/2014/chart" uri="{C3380CC4-5D6E-409C-BE32-E72D297353CC}">
              <c16:uniqueId val="{00000026-D3B8-4427-8E5C-193C23FC3447}"/>
            </c:ext>
          </c:extLst>
        </c:ser>
        <c:ser>
          <c:idx val="38"/>
          <c:order val="39"/>
          <c:tx>
            <c:strRef>
              <c:f>'TLFB data'!$AH$181</c:f>
              <c:strCache>
                <c:ptCount val="1"/>
                <c:pt idx="0">
                  <c:v>39</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data'!$AI$182</c:f>
              <c:numCache>
                <c:formatCode>General</c:formatCode>
                <c:ptCount val="1"/>
                <c:pt idx="0">
                  <c:v>0</c:v>
                </c:pt>
              </c:numCache>
            </c:numRef>
          </c:val>
          <c:extLst>
            <c:ext xmlns:c16="http://schemas.microsoft.com/office/drawing/2014/chart" uri="{C3380CC4-5D6E-409C-BE32-E72D297353CC}">
              <c16:uniqueId val="{00000027-D3B8-4427-8E5C-193C23FC3447}"/>
            </c:ext>
          </c:extLst>
        </c:ser>
        <c:ser>
          <c:idx val="39"/>
          <c:order val="40"/>
          <c:tx>
            <c:strRef>
              <c:f>'TLFB data'!$AH$183</c:f>
              <c:strCache>
                <c:ptCount val="1"/>
                <c:pt idx="0">
                  <c:v>40</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data'!$AI$184</c:f>
              <c:numCache>
                <c:formatCode>General</c:formatCode>
                <c:ptCount val="1"/>
                <c:pt idx="0">
                  <c:v>0</c:v>
                </c:pt>
              </c:numCache>
            </c:numRef>
          </c:val>
          <c:extLst>
            <c:ext xmlns:c16="http://schemas.microsoft.com/office/drawing/2014/chart" uri="{C3380CC4-5D6E-409C-BE32-E72D297353CC}">
              <c16:uniqueId val="{00000028-D3B8-4427-8E5C-193C23FC3447}"/>
            </c:ext>
          </c:extLst>
        </c:ser>
        <c:ser>
          <c:idx val="40"/>
          <c:order val="41"/>
          <c:tx>
            <c:strRef>
              <c:f>'TLFB data'!$AH$185</c:f>
              <c:strCache>
                <c:ptCount val="1"/>
                <c:pt idx="0">
                  <c:v>41</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data'!$AI$186</c:f>
              <c:numCache>
                <c:formatCode>General</c:formatCode>
                <c:ptCount val="1"/>
                <c:pt idx="0">
                  <c:v>0</c:v>
                </c:pt>
              </c:numCache>
            </c:numRef>
          </c:val>
          <c:extLst>
            <c:ext xmlns:c16="http://schemas.microsoft.com/office/drawing/2014/chart" uri="{C3380CC4-5D6E-409C-BE32-E72D297353CC}">
              <c16:uniqueId val="{00000029-D3B8-4427-8E5C-193C23FC3447}"/>
            </c:ext>
          </c:extLst>
        </c:ser>
        <c:ser>
          <c:idx val="41"/>
          <c:order val="42"/>
          <c:tx>
            <c:strRef>
              <c:f>'TLFB data'!$AH$187</c:f>
              <c:strCache>
                <c:ptCount val="1"/>
                <c:pt idx="0">
                  <c:v>42</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data'!$AI$188</c:f>
              <c:numCache>
                <c:formatCode>General</c:formatCode>
                <c:ptCount val="1"/>
                <c:pt idx="0">
                  <c:v>0</c:v>
                </c:pt>
              </c:numCache>
            </c:numRef>
          </c:val>
          <c:extLst>
            <c:ext xmlns:c16="http://schemas.microsoft.com/office/drawing/2014/chart" uri="{C3380CC4-5D6E-409C-BE32-E72D297353CC}">
              <c16:uniqueId val="{0000002A-D3B8-4427-8E5C-193C23FC3447}"/>
            </c:ext>
          </c:extLst>
        </c:ser>
        <c:ser>
          <c:idx val="42"/>
          <c:order val="43"/>
          <c:tx>
            <c:strRef>
              <c:f>'TLFB data'!$AH$189</c:f>
              <c:strCache>
                <c:ptCount val="1"/>
                <c:pt idx="0">
                  <c:v>43</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data'!$AI$190</c:f>
              <c:numCache>
                <c:formatCode>General</c:formatCode>
                <c:ptCount val="1"/>
                <c:pt idx="0">
                  <c:v>0</c:v>
                </c:pt>
              </c:numCache>
            </c:numRef>
          </c:val>
          <c:extLst>
            <c:ext xmlns:c16="http://schemas.microsoft.com/office/drawing/2014/chart" uri="{C3380CC4-5D6E-409C-BE32-E72D297353CC}">
              <c16:uniqueId val="{0000002B-D3B8-4427-8E5C-193C23FC3447}"/>
            </c:ext>
          </c:extLst>
        </c:ser>
        <c:ser>
          <c:idx val="43"/>
          <c:order val="44"/>
          <c:tx>
            <c:strRef>
              <c:f>'TLFB data'!$AH$191</c:f>
              <c:strCache>
                <c:ptCount val="1"/>
                <c:pt idx="0">
                  <c:v>44</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data'!$AI$192</c:f>
              <c:numCache>
                <c:formatCode>General</c:formatCode>
                <c:ptCount val="1"/>
                <c:pt idx="0">
                  <c:v>0</c:v>
                </c:pt>
              </c:numCache>
            </c:numRef>
          </c:val>
          <c:extLst>
            <c:ext xmlns:c16="http://schemas.microsoft.com/office/drawing/2014/chart" uri="{C3380CC4-5D6E-409C-BE32-E72D297353CC}">
              <c16:uniqueId val="{0000002C-D3B8-4427-8E5C-193C23FC3447}"/>
            </c:ext>
          </c:extLst>
        </c:ser>
        <c:ser>
          <c:idx val="44"/>
          <c:order val="45"/>
          <c:tx>
            <c:strRef>
              <c:f>'TLFB data'!$AH$193</c:f>
              <c:strCache>
                <c:ptCount val="1"/>
                <c:pt idx="0">
                  <c:v>45</c:v>
                </c:pt>
              </c:strCache>
            </c:strRef>
          </c:tx>
          <c:invertIfNegative val="0"/>
          <c:dLbls>
            <c:spPr>
              <a:noFill/>
              <a:ln>
                <a:noFill/>
              </a:ln>
              <a:effectLst/>
            </c:spPr>
            <c:txPr>
              <a:bodyPr/>
              <a:lstStyle/>
              <a:p>
                <a:pPr>
                  <a:defRPr sz="1400" baseline="0">
                    <a:latin typeface="Arial"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'TLFB data'!$AI$194</c:f>
              <c:numCache>
                <c:formatCode>General</c:formatCode>
                <c:ptCount val="1"/>
                <c:pt idx="0">
                  <c:v>0</c:v>
                </c:pt>
              </c:numCache>
            </c:numRef>
          </c:val>
          <c:extLst>
            <c:ext xmlns:c16="http://schemas.microsoft.com/office/drawing/2014/chart" uri="{C3380CC4-5D6E-409C-BE32-E72D297353CC}">
              <c16:uniqueId val="{0000002D-D3B8-4427-8E5C-193C23FC3447}"/>
            </c:ext>
          </c:extLst>
        </c:ser>
        <c:dLbls>
          <c:showLegendKey val="0"/>
          <c:showVal val="1"/>
          <c:showCatName val="0"/>
          <c:showSerName val="0"/>
          <c:showPercent val="0"/>
          <c:showBubbleSize val="0"/>
        </c:dLbls>
        <c:gapWidth val="0"/>
        <c:overlap val="-100"/>
        <c:axId val="195019592"/>
        <c:axId val="30932072"/>
      </c:barChart>
      <c:catAx>
        <c:axId val="195019592"/>
        <c:scaling>
          <c:orientation val="minMax"/>
        </c:scaling>
        <c:delete val="0"/>
        <c:axPos val="b"/>
        <c:numFmt formatCode="0.00%" sourceLinked="1"/>
        <c:majorTickMark val="none"/>
        <c:minorTickMark val="none"/>
        <c:tickLblPos val="nextTo"/>
        <c:txPr>
          <a:bodyPr/>
          <a:lstStyle/>
          <a:p>
            <a:pPr>
              <a:defRPr sz="1500" b="1" i="0" baseline="0">
                <a:latin typeface="Arial" pitchFamily="34" charset="0"/>
              </a:defRPr>
            </a:pPr>
            <a:endParaRPr lang="en-US"/>
          </a:p>
        </c:txPr>
        <c:crossAx val="30932072"/>
        <c:crosses val="autoZero"/>
        <c:auto val="1"/>
        <c:lblAlgn val="ctr"/>
        <c:lblOffset val="100"/>
        <c:noMultiLvlLbl val="0"/>
      </c:catAx>
      <c:valAx>
        <c:axId val="30932072"/>
        <c:scaling>
          <c:orientation val="minMax"/>
        </c:scaling>
        <c:delete val="0"/>
        <c:axPos val="l"/>
        <c:majorGridlines/>
        <c:minorGridlines/>
        <c:title>
          <c:tx>
            <c:rich>
              <a:bodyPr rot="0" vert="wordArtVert"/>
              <a:lstStyle/>
              <a:p>
                <a:pPr>
                  <a:defRPr sz="1500" baseline="0">
                    <a:latin typeface="Arial" pitchFamily="34" charset="0"/>
                  </a:defRPr>
                </a:pPr>
                <a:r>
                  <a:rPr lang="en-US" sz="1500" baseline="0">
                    <a:latin typeface="Arial" pitchFamily="34" charset="0"/>
                  </a:rPr>
                  <a:t>gm etoh</a:t>
                </a:r>
              </a:p>
            </c:rich>
          </c:tx>
          <c:overlay val="0"/>
        </c:title>
        <c:numFmt formatCode="#,##0" sourceLinked="0"/>
        <c:majorTickMark val="none"/>
        <c:minorTickMark val="none"/>
        <c:tickLblPos val="nextTo"/>
        <c:spPr>
          <a:ln w="9525">
            <a:noFill/>
          </a:ln>
        </c:spPr>
        <c:txPr>
          <a:bodyPr/>
          <a:lstStyle/>
          <a:p>
            <a:pPr>
              <a:defRPr sz="1500" baseline="0">
                <a:latin typeface="Arial" pitchFamily="34" charset="0"/>
              </a:defRPr>
            </a:pPr>
            <a:endParaRPr lang="en-US"/>
          </a:p>
        </c:txPr>
        <c:crossAx val="195019592"/>
        <c:crosses val="autoZero"/>
        <c:crossBetween val="between"/>
      </c:valAx>
    </c:plotArea>
    <c:plotVisOnly val="1"/>
    <c:dispBlanksAs val="gap"/>
    <c:showDLblsOverMax val="0"/>
  </c:chart>
  <c:printSettings>
    <c:headerFooter/>
    <c:pageMargins b="0.75000000000000411" l="0.70000000000000162" r="0.70000000000000162" t="0.75000000000000411" header="0.30000000000000032" footer="0.30000000000000032"/>
    <c:pageSetup orientation="landscape"/>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0744750656167987"/>
          <c:y val="0.19907407407407407"/>
          <c:w val="0.74087204724409483"/>
          <c:h val="0.59698308544765188"/>
        </c:manualLayout>
      </c:layout>
      <c:barChart>
        <c:barDir val="bar"/>
        <c:grouping val="clustered"/>
        <c:varyColors val="0"/>
        <c:ser>
          <c:idx val="0"/>
          <c:order val="0"/>
          <c:spPr>
            <a:ln>
              <a:solidFill>
                <a:schemeClr val="tx1"/>
              </a:solidFill>
            </a:ln>
          </c:spPr>
          <c:invertIfNegative val="0"/>
          <c:cat>
            <c:strRef>
              <c:f>'TLFB data'!$Y$38:$Y$41</c:f>
              <c:strCache>
                <c:ptCount val="4"/>
                <c:pt idx="0">
                  <c:v>December 2016</c:v>
                </c:pt>
                <c:pt idx="1">
                  <c:v>January 2017</c:v>
                </c:pt>
                <c:pt idx="2">
                  <c:v>February 2017</c:v>
                </c:pt>
                <c:pt idx="3">
                  <c:v>3/2017</c:v>
                </c:pt>
              </c:strCache>
            </c:strRef>
          </c:cat>
          <c:val>
            <c:numRef>
              <c:f>'TLFB data'!$Z$38:$Z$41</c:f>
              <c:numCache>
                <c:formatCode>0</c:formatCode>
                <c:ptCount val="4"/>
                <c:pt idx="0">
                  <c:v>0</c:v>
                </c:pt>
                <c:pt idx="1">
                  <c:v>0</c:v>
                </c:pt>
                <c:pt idx="2">
                  <c:v>0</c:v>
                </c:pt>
                <c:pt idx="3">
                  <c:v>0</c:v>
                </c:pt>
              </c:numCache>
            </c:numRef>
          </c:val>
          <c:extLst>
            <c:ext xmlns:c16="http://schemas.microsoft.com/office/drawing/2014/chart" uri="{C3380CC4-5D6E-409C-BE32-E72D297353CC}">
              <c16:uniqueId val="{00000000-A4FA-4C0B-BD70-1F7AB0785554}"/>
            </c:ext>
          </c:extLst>
        </c:ser>
        <c:dLbls>
          <c:showLegendKey val="0"/>
          <c:showVal val="0"/>
          <c:showCatName val="0"/>
          <c:showSerName val="0"/>
          <c:showPercent val="0"/>
          <c:showBubbleSize val="0"/>
        </c:dLbls>
        <c:gapWidth val="150"/>
        <c:axId val="193543912"/>
        <c:axId val="193545088"/>
      </c:barChart>
      <c:catAx>
        <c:axId val="193543912"/>
        <c:scaling>
          <c:orientation val="minMax"/>
        </c:scaling>
        <c:delete val="0"/>
        <c:axPos val="l"/>
        <c:numFmt formatCode="General" sourceLinked="1"/>
        <c:majorTickMark val="out"/>
        <c:minorTickMark val="none"/>
        <c:tickLblPos val="nextTo"/>
        <c:crossAx val="193545088"/>
        <c:crosses val="autoZero"/>
        <c:auto val="1"/>
        <c:lblAlgn val="ctr"/>
        <c:lblOffset val="100"/>
        <c:noMultiLvlLbl val="1"/>
      </c:catAx>
      <c:valAx>
        <c:axId val="193545088"/>
        <c:scaling>
          <c:orientation val="minMax"/>
        </c:scaling>
        <c:delete val="0"/>
        <c:axPos val="b"/>
        <c:majorGridlines/>
        <c:numFmt formatCode="0" sourceLinked="1"/>
        <c:majorTickMark val="out"/>
        <c:minorTickMark val="none"/>
        <c:tickLblPos val="nextTo"/>
        <c:crossAx val="193543912"/>
        <c:crosses val="autoZero"/>
        <c:crossBetween val="between"/>
      </c:valAx>
      <c:spPr>
        <a:ln>
          <a:solidFill>
            <a:schemeClr val="accent1"/>
          </a:solidFill>
        </a:ln>
      </c:spPr>
    </c:plotArea>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51458052186462"/>
          <c:y val="0.11388800846747305"/>
          <c:w val="0.81395852949585878"/>
          <c:h val="0.71983204452035121"/>
        </c:manualLayout>
      </c:layout>
      <c:barChart>
        <c:barDir val="col"/>
        <c:grouping val="clustered"/>
        <c:varyColors val="0"/>
        <c:ser>
          <c:idx val="1"/>
          <c:order val="0"/>
          <c:spPr>
            <a:ln>
              <a:solidFill>
                <a:schemeClr val="tx1"/>
              </a:solidFill>
            </a:ln>
          </c:spPr>
          <c:invertIfNegative val="0"/>
          <c:cat>
            <c:strRef>
              <c:f>'TLFB data'!$AO$5:$AO$20</c:f>
              <c:strCache>
                <c:ptCount val="1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&gt;15</c:v>
                </c:pt>
              </c:strCache>
            </c:strRef>
          </c:cat>
          <c:val>
            <c:numRef>
              <c:f>'TLFB data'!$AP$5:$AP$20</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A253-474F-B3A6-637E620A74BE}"/>
            </c:ext>
          </c:extLst>
        </c:ser>
        <c:dLbls>
          <c:showLegendKey val="0"/>
          <c:showVal val="0"/>
          <c:showCatName val="0"/>
          <c:showSerName val="0"/>
          <c:showPercent val="0"/>
          <c:showBubbleSize val="0"/>
        </c:dLbls>
        <c:gapWidth val="0"/>
        <c:axId val="226496472"/>
        <c:axId val="226496864"/>
      </c:barChart>
      <c:catAx>
        <c:axId val="226496472"/>
        <c:scaling>
          <c:orientation val="minMax"/>
        </c:scaling>
        <c:delete val="0"/>
        <c:axPos val="b"/>
        <c:numFmt formatCode="General" sourceLinked="0"/>
        <c:majorTickMark val="out"/>
        <c:minorTickMark val="none"/>
        <c:tickLblPos val="nextTo"/>
        <c:txPr>
          <a:bodyPr/>
          <a:lstStyle/>
          <a:p>
            <a:pPr>
              <a:defRPr sz="1400">
                <a:latin typeface="Arial" pitchFamily="34" charset="0"/>
                <a:cs typeface="Arial" pitchFamily="34" charset="0"/>
              </a:defRPr>
            </a:pPr>
            <a:endParaRPr lang="en-US"/>
          </a:p>
        </c:txPr>
        <c:crossAx val="226496864"/>
        <c:crosses val="autoZero"/>
        <c:auto val="1"/>
        <c:lblAlgn val="ctr"/>
        <c:lblOffset val="100"/>
        <c:noMultiLvlLbl val="0"/>
      </c:catAx>
      <c:valAx>
        <c:axId val="226496864"/>
        <c:scaling>
          <c:orientation val="minMax"/>
        </c:scaling>
        <c:delete val="0"/>
        <c:axPos val="l"/>
        <c:majorGridlines/>
        <c:numFmt formatCode="General" sourceLinked="1"/>
        <c:majorTickMark val="out"/>
        <c:minorTickMark val="none"/>
        <c:tickLblPos val="nextTo"/>
        <c:txPr>
          <a:bodyPr/>
          <a:lstStyle/>
          <a:p>
            <a:pPr>
              <a:defRPr sz="1400">
                <a:latin typeface="Arial" pitchFamily="34" charset="0"/>
                <a:cs typeface="Arial" pitchFamily="34" charset="0"/>
              </a:defRPr>
            </a:pPr>
            <a:endParaRPr lang="en-US"/>
          </a:p>
        </c:txPr>
        <c:crossAx val="226496472"/>
        <c:crosses val="autoZero"/>
        <c:crossBetween val="between"/>
      </c:valAx>
      <c:spPr>
        <a:ln>
          <a:solidFill>
            <a:schemeClr val="accent1"/>
          </a:solidFill>
        </a:ln>
      </c:spPr>
    </c:plotArea>
    <c:plotVisOnly val="1"/>
    <c:dispBlanksAs val="gap"/>
    <c:showDLblsOverMax val="0"/>
  </c:chart>
  <c:printSettings>
    <c:headerFooter/>
    <c:pageMargins b="0.75000000000000022" l="0.70000000000000018" r="0.70000000000000018" t="0.75000000000000022" header="0.3000000000000001" footer="0.3000000000000001"/>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   Drinking Days by category</a:t>
            </a:r>
          </a:p>
        </c:rich>
      </c:tx>
      <c:layout/>
      <c:overlay val="0"/>
    </c:title>
    <c:autoTitleDeleted val="0"/>
    <c:plotArea>
      <c:layout/>
      <c:barChart>
        <c:barDir val="col"/>
        <c:grouping val="clustered"/>
        <c:varyColors val="0"/>
        <c:ser>
          <c:idx val="0"/>
          <c:order val="0"/>
          <c:tx>
            <c:strRef>
              <c:f>'TLFB data'!$V$38</c:f>
              <c:strCache>
                <c:ptCount val="1"/>
                <c:pt idx="0">
                  <c:v>   Drinking Days</c:v>
                </c:pt>
              </c:strCache>
            </c:strRef>
          </c:tx>
          <c:spPr>
            <a:ln>
              <a:solidFill>
                <a:schemeClr val="tx1"/>
              </a:solidFill>
            </a:ln>
          </c:spPr>
          <c:invertIfNegative val="0"/>
          <c:cat>
            <c:strRef>
              <c:f>'TLFB data'!$T$39:$T$42</c:f>
              <c:strCache>
                <c:ptCount val="4"/>
                <c:pt idx="0">
                  <c:v>0</c:v>
                </c:pt>
                <c:pt idx="1">
                  <c:v>1 to 3</c:v>
                </c:pt>
                <c:pt idx="2">
                  <c:v>4 to 9</c:v>
                </c:pt>
                <c:pt idx="3">
                  <c:v>10 or more</c:v>
                </c:pt>
              </c:strCache>
            </c:strRef>
          </c:cat>
          <c:val>
            <c:numRef>
              <c:f>'TLFB data'!$V$39:$V$42</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C3A4-4DAB-AF07-475CB355CB20}"/>
            </c:ext>
          </c:extLst>
        </c:ser>
        <c:dLbls>
          <c:showLegendKey val="0"/>
          <c:showVal val="0"/>
          <c:showCatName val="0"/>
          <c:showSerName val="0"/>
          <c:showPercent val="0"/>
          <c:showBubbleSize val="0"/>
        </c:dLbls>
        <c:gapWidth val="150"/>
        <c:axId val="226499608"/>
        <c:axId val="226500000"/>
      </c:barChart>
      <c:catAx>
        <c:axId val="226499608"/>
        <c:scaling>
          <c:orientation val="minMax"/>
        </c:scaling>
        <c:delete val="0"/>
        <c:axPos val="b"/>
        <c:numFmt formatCode="General" sourceLinked="0"/>
        <c:majorTickMark val="out"/>
        <c:minorTickMark val="none"/>
        <c:tickLblPos val="nextTo"/>
        <c:txPr>
          <a:bodyPr/>
          <a:lstStyle/>
          <a:p>
            <a:pPr>
              <a:defRPr sz="1200"/>
            </a:pPr>
            <a:endParaRPr lang="en-US"/>
          </a:p>
        </c:txPr>
        <c:crossAx val="226500000"/>
        <c:crosses val="autoZero"/>
        <c:auto val="1"/>
        <c:lblAlgn val="ctr"/>
        <c:lblOffset val="100"/>
        <c:noMultiLvlLbl val="0"/>
      </c:catAx>
      <c:valAx>
        <c:axId val="226500000"/>
        <c:scaling>
          <c:orientation val="minMax"/>
        </c:scaling>
        <c:delete val="0"/>
        <c:axPos val="l"/>
        <c:majorGridlines/>
        <c:numFmt formatCode="General" sourceLinked="1"/>
        <c:majorTickMark val="out"/>
        <c:minorTickMark val="none"/>
        <c:tickLblPos val="nextTo"/>
        <c:crossAx val="226499608"/>
        <c:crosses val="autoZero"/>
        <c:crossBetween val="between"/>
      </c:valAx>
    </c:plotArea>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xVal>
            <c:numRef>
              <c:f>Lifetime!$C$26:$C$56</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xVal>
          <c:yVal>
            <c:numRef>
              <c:f>Lifetime!$D$26:$D$56</c:f>
              <c:numCache>
                <c:formatCode>General</c:formatCode>
                <c:ptCount val="31"/>
              </c:numCache>
            </c:numRef>
          </c:yVal>
          <c:smooth val="1"/>
          <c:extLst>
            <c:ext xmlns:c16="http://schemas.microsoft.com/office/drawing/2014/chart" uri="{C3380CC4-5D6E-409C-BE32-E72D297353CC}">
              <c16:uniqueId val="{00000000-CF0E-428A-8A6B-78D3740FE0A2}"/>
            </c:ext>
          </c:extLst>
        </c:ser>
        <c:dLbls>
          <c:showLegendKey val="0"/>
          <c:showVal val="0"/>
          <c:showCatName val="0"/>
          <c:showSerName val="0"/>
          <c:showPercent val="0"/>
          <c:showBubbleSize val="0"/>
        </c:dLbls>
        <c:axId val="226591112"/>
        <c:axId val="226591504"/>
      </c:scatterChart>
      <c:valAx>
        <c:axId val="226591112"/>
        <c:scaling>
          <c:orientation val="minMax"/>
          <c:max val="2020"/>
          <c:min val="1990"/>
        </c:scaling>
        <c:delete val="0"/>
        <c:axPos val="b"/>
        <c:numFmt formatCode="General" sourceLinked="1"/>
        <c:majorTickMark val="out"/>
        <c:minorTickMark val="none"/>
        <c:tickLblPos val="nextTo"/>
        <c:txPr>
          <a:bodyPr rot="5400000" vert="horz"/>
          <a:lstStyle/>
          <a:p>
            <a:pPr>
              <a:defRPr/>
            </a:pPr>
            <a:endParaRPr lang="en-US"/>
          </a:p>
        </c:txPr>
        <c:crossAx val="226591504"/>
        <c:crosses val="autoZero"/>
        <c:crossBetween val="midCat"/>
        <c:majorUnit val="2"/>
      </c:valAx>
      <c:valAx>
        <c:axId val="226591504"/>
        <c:scaling>
          <c:orientation val="minMax"/>
        </c:scaling>
        <c:delete val="0"/>
        <c:axPos val="l"/>
        <c:majorGridlines/>
        <c:numFmt formatCode="General" sourceLinked="1"/>
        <c:majorTickMark val="out"/>
        <c:minorTickMark val="none"/>
        <c:tickLblPos val="nextTo"/>
        <c:crossAx val="226591112"/>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171450</xdr:colOff>
      <xdr:row>39</xdr:row>
      <xdr:rowOff>19050</xdr:rowOff>
    </xdr:from>
    <xdr:ext cx="3791295" cy="1803251"/>
    <xdr:sp macro="" textlink="">
      <xdr:nvSpPr>
        <xdr:cNvPr id="14337" name="Text Box 1"/>
        <xdr:cNvSpPr txBox="1">
          <a:spLocks noChangeArrowheads="1"/>
        </xdr:cNvSpPr>
      </xdr:nvSpPr>
      <xdr:spPr bwMode="auto">
        <a:xfrm>
          <a:off x="171450" y="6915150"/>
          <a:ext cx="3791295" cy="1803251"/>
        </a:xfrm>
        <a:prstGeom prst="rect">
          <a:avLst/>
        </a:prstGeom>
        <a:solidFill>
          <a:srgbClr val="EDF4F7"/>
        </a:solidFill>
        <a:ln w="9525">
          <a:solidFill>
            <a:srgbClr val="000000"/>
          </a:solidFill>
          <a:miter lim="800000"/>
          <a:headEnd/>
          <a:tailEnd/>
        </a:ln>
      </xdr:spPr>
      <xdr:txBody>
        <a:bodyPr wrap="none" lIns="91440" tIns="45720" rIns="91440" bIns="45720" anchor="t" upright="1">
          <a:spAutoFit/>
        </a:bodyPr>
        <a:lstStyle/>
        <a:p>
          <a:pPr algn="ctr" rtl="0">
            <a:defRPr sz="1000"/>
          </a:pPr>
          <a:r>
            <a:rPr lang="en-US" sz="1200" b="0" i="0" u="sng" strike="noStrike">
              <a:solidFill>
                <a:srgbClr val="000000"/>
              </a:solidFill>
              <a:latin typeface="Helvetica"/>
            </a:rPr>
            <a:t>U. S. STANDARD DRINK CONVERSION CHART</a:t>
          </a:r>
          <a:endParaRPr lang="en-US" sz="1200" b="0" i="1" strike="noStrike">
            <a:solidFill>
              <a:srgbClr val="000000"/>
            </a:solidFill>
            <a:latin typeface="Helvetica"/>
          </a:endParaRPr>
        </a:p>
        <a:p>
          <a:pPr algn="ctr" rtl="0">
            <a:defRPr sz="1000"/>
          </a:pPr>
          <a:r>
            <a:rPr lang="en-US" sz="1200" b="1" i="0" strike="noStrike">
              <a:solidFill>
                <a:srgbClr val="000000"/>
              </a:solidFill>
              <a:latin typeface="Helvetica"/>
            </a:rPr>
            <a:t>One Standard Drink Is Equal To:</a:t>
          </a:r>
          <a:endParaRPr lang="en-US" sz="1200" b="0" i="0" strike="noStrike">
            <a:solidFill>
              <a:srgbClr val="000000"/>
            </a:solidFill>
            <a:latin typeface="Helvetica"/>
          </a:endParaRPr>
        </a:p>
        <a:p>
          <a:pPr algn="ctr" rtl="0">
            <a:defRPr sz="1000"/>
          </a:pPr>
          <a:endParaRPr lang="en-US" sz="1200" b="0" i="0" strike="noStrike">
            <a:solidFill>
              <a:srgbClr val="000000"/>
            </a:solidFill>
            <a:latin typeface="Helvetica"/>
          </a:endParaRPr>
        </a:p>
        <a:p>
          <a:pPr algn="ctr" rtl="0">
            <a:defRPr sz="1000"/>
          </a:pPr>
          <a:r>
            <a:rPr lang="en-US" sz="1000" b="0" i="0" strike="noStrike">
              <a:solidFill>
                <a:srgbClr val="000000"/>
              </a:solidFill>
              <a:latin typeface="Helvetica"/>
            </a:rPr>
            <a:t>12 oz of BEER (5%)</a:t>
          </a:r>
        </a:p>
        <a:p>
          <a:pPr algn="ctr" rtl="0">
            <a:defRPr sz="1000"/>
          </a:pPr>
          <a:endParaRPr lang="en-US" sz="1000" b="0" i="0" strike="noStrike">
            <a:solidFill>
              <a:srgbClr val="000000"/>
            </a:solidFill>
            <a:latin typeface="Helvetica"/>
          </a:endParaRPr>
        </a:p>
        <a:p>
          <a:pPr algn="ctr" rtl="0">
            <a:defRPr sz="1000"/>
          </a:pPr>
          <a:r>
            <a:rPr lang="en-US" sz="1000" b="0" i="0" strike="noStrike">
              <a:solidFill>
                <a:srgbClr val="000000"/>
              </a:solidFill>
              <a:latin typeface="Helvetica"/>
            </a:rPr>
            <a:t> 5 oz of WINE  (10% – 12%)</a:t>
          </a:r>
        </a:p>
        <a:p>
          <a:pPr algn="ctr" rtl="0">
            <a:defRPr sz="1000"/>
          </a:pPr>
          <a:endParaRPr lang="en-US" sz="1000" b="0" i="0" strike="noStrike">
            <a:solidFill>
              <a:srgbClr val="000000"/>
            </a:solidFill>
            <a:latin typeface="Helvetica"/>
          </a:endParaRPr>
        </a:p>
        <a:p>
          <a:pPr algn="ctr" rtl="0">
            <a:defRPr sz="1000"/>
          </a:pPr>
          <a:r>
            <a:rPr lang="en-US" sz="1000" b="0" i="0" strike="noStrike">
              <a:solidFill>
                <a:srgbClr val="000000"/>
              </a:solidFill>
              <a:latin typeface="Helvetica"/>
            </a:rPr>
            <a:t> 3 oz of FORTIFIED WINE (16% – 18%)</a:t>
          </a:r>
        </a:p>
        <a:p>
          <a:pPr algn="ctr" rtl="0">
            <a:defRPr sz="1000"/>
          </a:pPr>
          <a:endParaRPr lang="en-US" sz="1000" b="0" i="0" strike="noStrike">
            <a:solidFill>
              <a:srgbClr val="000000"/>
            </a:solidFill>
            <a:latin typeface="Helvetica"/>
          </a:endParaRPr>
        </a:p>
        <a:p>
          <a:pPr algn="ctr" rtl="0">
            <a:defRPr sz="1000"/>
          </a:pPr>
          <a:r>
            <a:rPr lang="en-US" sz="1000" b="0" i="0" strike="noStrike">
              <a:solidFill>
                <a:srgbClr val="000000"/>
              </a:solidFill>
              <a:latin typeface="Helvetica"/>
            </a:rPr>
            <a:t> 1- 1.2 oz of HARD LIQUOR (86 proof – 100 proof; 43% – 50%)</a:t>
          </a:r>
        </a:p>
        <a:p>
          <a:pPr algn="ctr" rtl="0">
            <a:defRPr sz="1000"/>
          </a:pPr>
          <a:endParaRPr lang="en-US" sz="1000" b="0" i="0" strike="noStrike">
            <a:solidFill>
              <a:srgbClr val="000000"/>
            </a:solidFill>
            <a:latin typeface="Helvetica"/>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21</xdr:col>
      <xdr:colOff>133350</xdr:colOff>
      <xdr:row>4</xdr:row>
      <xdr:rowOff>209551</xdr:rowOff>
    </xdr:from>
    <xdr:to>
      <xdr:col>25</xdr:col>
      <xdr:colOff>1006928</xdr:colOff>
      <xdr:row>22</xdr:row>
      <xdr:rowOff>97972</xdr:rowOff>
    </xdr:to>
    <xdr:graphicFrame macro="">
      <xdr:nvGraphicFramePr>
        <xdr:cNvPr id="12294"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367492</xdr:colOff>
      <xdr:row>43</xdr:row>
      <xdr:rowOff>50222</xdr:rowOff>
    </xdr:from>
    <xdr:to>
      <xdr:col>29</xdr:col>
      <xdr:colOff>133350</xdr:colOff>
      <xdr:row>67</xdr:row>
      <xdr:rowOff>12382</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394607</xdr:colOff>
      <xdr:row>67</xdr:row>
      <xdr:rowOff>149678</xdr:rowOff>
    </xdr:from>
    <xdr:to>
      <xdr:col>29</xdr:col>
      <xdr:colOff>160465</xdr:colOff>
      <xdr:row>95</xdr:row>
      <xdr:rowOff>30196</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471055</xdr:colOff>
      <xdr:row>22</xdr:row>
      <xdr:rowOff>228600</xdr:rowOff>
    </xdr:from>
    <xdr:to>
      <xdr:col>25</xdr:col>
      <xdr:colOff>997527</xdr:colOff>
      <xdr:row>34</xdr:row>
      <xdr:rowOff>159327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665019</xdr:colOff>
      <xdr:row>23</xdr:row>
      <xdr:rowOff>96982</xdr:rowOff>
    </xdr:from>
    <xdr:to>
      <xdr:col>25</xdr:col>
      <xdr:colOff>484909</xdr:colOff>
      <xdr:row>24</xdr:row>
      <xdr:rowOff>221673</xdr:rowOff>
    </xdr:to>
    <xdr:sp macro="" textlink="">
      <xdr:nvSpPr>
        <xdr:cNvPr id="3" name="TextBox 2"/>
        <xdr:cNvSpPr txBox="1"/>
      </xdr:nvSpPr>
      <xdr:spPr>
        <a:xfrm>
          <a:off x="29302364" y="5791200"/>
          <a:ext cx="3865418" cy="360218"/>
        </a:xfrm>
        <a:prstGeom prst="rect">
          <a:avLst/>
        </a:prstGeom>
        <a:solidFill>
          <a:schemeClr val="lt1"/>
        </a:solidFill>
        <a:ln w="9525" cmpd="sng">
          <a:solidFill>
            <a:schemeClr val="bg1">
              <a:lumMod val="9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latin typeface="Arial" pitchFamily="34" charset="0"/>
              <a:cs typeface="Arial" pitchFamily="34" charset="0"/>
            </a:rPr>
            <a:t>Number of Drinks by Month</a:t>
          </a:r>
        </a:p>
      </xdr:txBody>
    </xdr:sp>
    <xdr:clientData/>
  </xdr:twoCellAnchor>
  <xdr:twoCellAnchor>
    <xdr:from>
      <xdr:col>23</xdr:col>
      <xdr:colOff>762000</xdr:colOff>
      <xdr:row>33</xdr:row>
      <xdr:rowOff>69274</xdr:rowOff>
    </xdr:from>
    <xdr:to>
      <xdr:col>25</xdr:col>
      <xdr:colOff>581890</xdr:colOff>
      <xdr:row>34</xdr:row>
      <xdr:rowOff>96982</xdr:rowOff>
    </xdr:to>
    <xdr:sp macro="" textlink="">
      <xdr:nvSpPr>
        <xdr:cNvPr id="7" name="TextBox 6"/>
        <xdr:cNvSpPr txBox="1"/>
      </xdr:nvSpPr>
      <xdr:spPr>
        <a:xfrm>
          <a:off x="29399345" y="8104910"/>
          <a:ext cx="3865418" cy="263236"/>
        </a:xfrm>
        <a:prstGeom prst="rect">
          <a:avLst/>
        </a:prstGeom>
        <a:solidFill>
          <a:schemeClr val="lt1"/>
        </a:solidFill>
        <a:ln w="9525" cmpd="sng">
          <a:solidFill>
            <a:schemeClr val="bg1">
              <a:lumMod val="9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US" sz="1200">
              <a:latin typeface="Arial" pitchFamily="34" charset="0"/>
              <a:cs typeface="Arial" pitchFamily="34" charset="0"/>
            </a:rPr>
            <a:t>Number of Drinks</a:t>
          </a:r>
        </a:p>
      </xdr:txBody>
    </xdr:sp>
    <xdr:clientData/>
  </xdr:twoCellAnchor>
  <xdr:twoCellAnchor>
    <xdr:from>
      <xdr:col>25</xdr:col>
      <xdr:colOff>1371601</xdr:colOff>
      <xdr:row>4</xdr:row>
      <xdr:rowOff>221673</xdr:rowOff>
    </xdr:from>
    <xdr:to>
      <xdr:col>32</xdr:col>
      <xdr:colOff>595745</xdr:colOff>
      <xdr:row>34</xdr:row>
      <xdr:rowOff>138545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401781</xdr:colOff>
      <xdr:row>24</xdr:row>
      <xdr:rowOff>62345</xdr:rowOff>
    </xdr:from>
    <xdr:to>
      <xdr:col>19</xdr:col>
      <xdr:colOff>415636</xdr:colOff>
      <xdr:row>35</xdr:row>
      <xdr:rowOff>27709</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0.03229</cdr:x>
      <cdr:y>0.97187</cdr:y>
    </cdr:from>
    <cdr:to>
      <cdr:x>0.08575</cdr:x>
      <cdr:y>1</cdr:y>
    </cdr:to>
    <cdr:sp macro="" textlink="">
      <cdr:nvSpPr>
        <cdr:cNvPr id="3" name="TextBox 2"/>
        <cdr:cNvSpPr txBox="1"/>
      </cdr:nvSpPr>
      <cdr:spPr>
        <a:xfrm xmlns:a="http://schemas.openxmlformats.org/drawingml/2006/main">
          <a:off x="552452" y="10858501"/>
          <a:ext cx="914400" cy="314324"/>
        </a:xfrm>
        <a:prstGeom xmlns:a="http://schemas.openxmlformats.org/drawingml/2006/main" prst="rect">
          <a:avLst/>
        </a:prstGeom>
      </cdr:spPr>
      <cdr:txBody>
        <a:bodyPr xmlns:a="http://schemas.openxmlformats.org/drawingml/2006/main" wrap="none" rtlCol="0"/>
        <a:lstStyle xmlns:a="http://schemas.openxmlformats.org/drawingml/2006/main"/>
        <a:p xmlns:a="http://schemas.openxmlformats.org/drawingml/2006/main">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0.03229</cdr:x>
      <cdr:y>0.97187</cdr:y>
    </cdr:from>
    <cdr:to>
      <cdr:x>0.08575</cdr:x>
      <cdr:y>1</cdr:y>
    </cdr:to>
    <cdr:sp macro="" textlink="">
      <cdr:nvSpPr>
        <cdr:cNvPr id="3" name="TextBox 2"/>
        <cdr:cNvSpPr txBox="1"/>
      </cdr:nvSpPr>
      <cdr:spPr>
        <a:xfrm xmlns:a="http://schemas.openxmlformats.org/drawingml/2006/main">
          <a:off x="552452" y="10858501"/>
          <a:ext cx="914400" cy="314324"/>
        </a:xfrm>
        <a:prstGeom xmlns:a="http://schemas.openxmlformats.org/drawingml/2006/main" prst="rect">
          <a:avLst/>
        </a:prstGeom>
      </cdr:spPr>
      <cdr:txBody>
        <a:bodyPr xmlns:a="http://schemas.openxmlformats.org/drawingml/2006/main" wrap="none" rtlCol="0"/>
        <a:lstStyle xmlns:a="http://schemas.openxmlformats.org/drawingml/2006/main"/>
        <a:p xmlns:a="http://schemas.openxmlformats.org/drawingml/2006/main">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0.03871</cdr:x>
      <cdr:y>0.01336</cdr:y>
    </cdr:from>
    <cdr:to>
      <cdr:x>0.98065</cdr:x>
      <cdr:y>0.10878</cdr:y>
    </cdr:to>
    <cdr:sp macro="" textlink="">
      <cdr:nvSpPr>
        <cdr:cNvPr id="2" name="TextBox 1"/>
        <cdr:cNvSpPr txBox="1"/>
      </cdr:nvSpPr>
      <cdr:spPr>
        <a:xfrm xmlns:a="http://schemas.openxmlformats.org/drawingml/2006/main">
          <a:off x="166253" y="96980"/>
          <a:ext cx="4045528" cy="692727"/>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1800">
              <a:latin typeface="Arial" pitchFamily="34" charset="0"/>
              <a:cs typeface="Arial" pitchFamily="34" charset="0"/>
            </a:rPr>
            <a:t>Distribution of abstinence</a:t>
          </a:r>
          <a:r>
            <a:rPr lang="en-US" sz="1800" baseline="0">
              <a:latin typeface="Arial" pitchFamily="34" charset="0"/>
              <a:cs typeface="Arial" pitchFamily="34" charset="0"/>
            </a:rPr>
            <a:t> intervals  - last 90 days</a:t>
          </a:r>
          <a:endParaRPr lang="en-US" sz="1800">
            <a:latin typeface="Arial" pitchFamily="34" charset="0"/>
            <a:cs typeface="Arial" pitchFamily="34" charset="0"/>
          </a:endParaRPr>
        </a:p>
      </cdr:txBody>
    </cdr:sp>
  </cdr:relSizeAnchor>
  <cdr:relSizeAnchor xmlns:cdr="http://schemas.openxmlformats.org/drawingml/2006/chartDrawing">
    <cdr:from>
      <cdr:x>0.05806</cdr:x>
      <cdr:y>0.89822</cdr:y>
    </cdr:from>
    <cdr:to>
      <cdr:x>1</cdr:x>
      <cdr:y>0.99364</cdr:y>
    </cdr:to>
    <cdr:sp macro="" textlink="">
      <cdr:nvSpPr>
        <cdr:cNvPr id="3" name="TextBox 1"/>
        <cdr:cNvSpPr txBox="1"/>
      </cdr:nvSpPr>
      <cdr:spPr>
        <a:xfrm xmlns:a="http://schemas.openxmlformats.org/drawingml/2006/main">
          <a:off x="323390" y="6520873"/>
          <a:ext cx="5246136" cy="692727"/>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800">
              <a:latin typeface="Arial" pitchFamily="34" charset="0"/>
              <a:cs typeface="Arial" pitchFamily="34" charset="0"/>
            </a:rPr>
            <a:t>Duration of abstinence</a:t>
          </a:r>
          <a:r>
            <a:rPr lang="en-US" sz="1800" baseline="0">
              <a:latin typeface="Arial" pitchFamily="34" charset="0"/>
              <a:cs typeface="Arial" pitchFamily="34" charset="0"/>
            </a:rPr>
            <a:t> interval  -  days</a:t>
          </a:r>
          <a:endParaRPr lang="en-US" sz="1800">
            <a:latin typeface="Arial" pitchFamily="34" charset="0"/>
            <a:cs typeface="Arial" pitchFamily="34" charset="0"/>
          </a:endParaRPr>
        </a:p>
      </cdr:txBody>
    </cdr:sp>
  </cdr:relSizeAnchor>
</c:userShapes>
</file>

<file path=xl/drawings/drawing6.xml><?xml version="1.0" encoding="utf-8"?>
<xdr:wsDr xmlns:xdr="http://schemas.openxmlformats.org/drawingml/2006/spreadsheetDrawing" xmlns:a="http://schemas.openxmlformats.org/drawingml/2006/main">
  <xdr:twoCellAnchor>
    <xdr:from>
      <xdr:col>0</xdr:col>
      <xdr:colOff>685799</xdr:colOff>
      <xdr:row>25</xdr:row>
      <xdr:rowOff>66674</xdr:rowOff>
    </xdr:from>
    <xdr:to>
      <xdr:col>2</xdr:col>
      <xdr:colOff>1581149</xdr:colOff>
      <xdr:row>52</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38100</xdr:colOff>
      <xdr:row>3</xdr:row>
      <xdr:rowOff>0</xdr:rowOff>
    </xdr:from>
    <xdr:to>
      <xdr:col>13</xdr:col>
      <xdr:colOff>0</xdr:colOff>
      <xdr:row>14</xdr:row>
      <xdr:rowOff>76200</xdr:rowOff>
    </xdr:to>
    <xdr:grpSp>
      <xdr:nvGrpSpPr>
        <xdr:cNvPr id="2073" name="Group 25"/>
        <xdr:cNvGrpSpPr>
          <a:grpSpLocks/>
        </xdr:cNvGrpSpPr>
      </xdr:nvGrpSpPr>
      <xdr:grpSpPr bwMode="auto">
        <a:xfrm>
          <a:off x="7030571" y="537882"/>
          <a:ext cx="1978958" cy="1801906"/>
          <a:chOff x="865" y="12"/>
          <a:chExt cx="212" cy="195"/>
        </a:xfrm>
      </xdr:grpSpPr>
      <xdr:sp macro="" textlink="">
        <xdr:nvSpPr>
          <xdr:cNvPr id="2071" name="Rectangle 23"/>
          <xdr:cNvSpPr>
            <a:spLocks noChangeArrowheads="1"/>
          </xdr:cNvSpPr>
        </xdr:nvSpPr>
        <xdr:spPr bwMode="auto">
          <a:xfrm>
            <a:off x="865" y="12"/>
            <a:ext cx="212" cy="195"/>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US" sz="1000" b="1" i="0" strike="noStrike">
                <a:solidFill>
                  <a:srgbClr val="000000"/>
                </a:solidFill>
                <a:latin typeface="Verdana"/>
              </a:rPr>
              <a:t>Color Scheme Settings</a:t>
            </a:r>
          </a:p>
        </xdr:txBody>
      </xdr:sp>
      <xdr:grpSp>
        <xdr:nvGrpSpPr>
          <xdr:cNvPr id="2072" name="Group 24"/>
          <xdr:cNvGrpSpPr>
            <a:grpSpLocks/>
          </xdr:cNvGrpSpPr>
        </xdr:nvGrpSpPr>
        <xdr:grpSpPr bwMode="auto">
          <a:xfrm>
            <a:off x="891" y="48"/>
            <a:ext cx="163" cy="156"/>
            <a:chOff x="891" y="48"/>
            <a:chExt cx="163" cy="156"/>
          </a:xfrm>
        </xdr:grpSpPr>
        <xdr:pic>
          <xdr:nvPicPr>
            <xdr:cNvPr id="2068" name="Picture 20"/>
            <xdr:cNvPicPr>
              <a:picLocks noChangeAspect="1" noChangeArrowheads="1"/>
            </xdr:cNvPicPr>
          </xdr:nvPicPr>
          <xdr:blipFill>
            <a:blip xmlns:r="http://schemas.openxmlformats.org/officeDocument/2006/relationships" r:embed="rId1"/>
            <a:srcRect/>
            <a:stretch>
              <a:fillRect/>
            </a:stretch>
          </xdr:blipFill>
          <xdr:spPr bwMode="auto">
            <a:xfrm>
              <a:off x="891" y="48"/>
              <a:ext cx="163" cy="148"/>
            </a:xfrm>
            <a:prstGeom prst="rect">
              <a:avLst/>
            </a:prstGeom>
            <a:noFill/>
            <a:ln w="1">
              <a:noFill/>
              <a:miter lim="800000"/>
              <a:headEnd/>
              <a:tailEnd/>
            </a:ln>
            <a:effectLst/>
          </xdr:spPr>
        </xdr:pic>
        <xdr:sp macro="" textlink="">
          <xdr:nvSpPr>
            <xdr:cNvPr id="2069" name="Oval 21"/>
            <xdr:cNvSpPr>
              <a:spLocks noChangeArrowheads="1"/>
            </xdr:cNvSpPr>
          </xdr:nvSpPr>
          <xdr:spPr bwMode="auto">
            <a:xfrm>
              <a:off x="911" y="83"/>
              <a:ext cx="33" cy="121"/>
            </a:xfrm>
            <a:prstGeom prst="ellipse">
              <a:avLst/>
            </a:prstGeom>
            <a:noFill/>
            <a:ln w="19050">
              <a:solidFill>
                <a:srgbClr val="FF0000"/>
              </a:solidFill>
              <a:round/>
              <a:headEnd/>
              <a:tailEnd/>
            </a:ln>
          </xdr:spPr>
        </xdr:sp>
        <xdr:sp macro="" textlink="">
          <xdr:nvSpPr>
            <xdr:cNvPr id="2070" name="Oval 22"/>
            <xdr:cNvSpPr>
              <a:spLocks noChangeArrowheads="1"/>
            </xdr:cNvSpPr>
          </xdr:nvSpPr>
          <xdr:spPr bwMode="auto">
            <a:xfrm>
              <a:off x="1001" y="83"/>
              <a:ext cx="33" cy="121"/>
            </a:xfrm>
            <a:prstGeom prst="ellipse">
              <a:avLst/>
            </a:prstGeom>
            <a:noFill/>
            <a:ln w="19050">
              <a:solidFill>
                <a:srgbClr val="FF0000"/>
              </a:solidFill>
              <a:round/>
              <a:headEnd/>
              <a:tailEnd/>
            </a:ln>
          </xdr:spPr>
        </xdr: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3">
    <pageSetUpPr fitToPage="1"/>
  </sheetPr>
  <dimension ref="A2:H55"/>
  <sheetViews>
    <sheetView workbookViewId="0">
      <selection activeCell="B5" sqref="B5"/>
    </sheetView>
  </sheetViews>
  <sheetFormatPr defaultColWidth="8.75" defaultRowHeight="12.75"/>
  <cols>
    <col min="1" max="16384" width="8.75" style="13"/>
  </cols>
  <sheetData>
    <row r="2" spans="1:8" ht="15.75">
      <c r="A2" s="71"/>
      <c r="B2" s="69" t="s">
        <v>2</v>
      </c>
      <c r="C2" s="71"/>
      <c r="D2" s="71"/>
      <c r="E2" s="71"/>
      <c r="F2" s="71"/>
      <c r="G2" s="71"/>
      <c r="H2" s="22"/>
    </row>
    <row r="4" spans="1:8">
      <c r="A4" s="72" t="s">
        <v>250</v>
      </c>
    </row>
    <row r="5" spans="1:8">
      <c r="A5" s="13" t="s">
        <v>155</v>
      </c>
    </row>
    <row r="6" spans="1:8" ht="7.5" customHeight="1"/>
    <row r="7" spans="1:8">
      <c r="B7" s="73" t="s">
        <v>156</v>
      </c>
    </row>
    <row r="8" spans="1:8" ht="7.5" customHeight="1"/>
    <row r="9" spans="1:8">
      <c r="B9" s="73" t="s">
        <v>157</v>
      </c>
    </row>
    <row r="10" spans="1:8" ht="7.5" customHeight="1"/>
    <row r="11" spans="1:8" ht="15">
      <c r="B11" s="74" t="s">
        <v>158</v>
      </c>
    </row>
    <row r="12" spans="1:8" ht="7.5" customHeight="1"/>
    <row r="14" spans="1:8" ht="15.75">
      <c r="A14" s="75" t="s">
        <v>159</v>
      </c>
    </row>
    <row r="15" spans="1:8" ht="18">
      <c r="B15" s="76" t="s">
        <v>160</v>
      </c>
    </row>
    <row r="16" spans="1:8" ht="18">
      <c r="B16" s="76" t="s">
        <v>46</v>
      </c>
    </row>
    <row r="17" spans="1:2" ht="18">
      <c r="B17" s="76" t="s">
        <v>47</v>
      </c>
    </row>
    <row r="18" spans="1:2" ht="18">
      <c r="B18" s="76" t="s">
        <v>3</v>
      </c>
    </row>
    <row r="19" spans="1:2">
      <c r="B19" s="13" t="s">
        <v>1</v>
      </c>
    </row>
    <row r="20" spans="1:2">
      <c r="B20" s="13" t="s">
        <v>0</v>
      </c>
    </row>
    <row r="22" spans="1:2" ht="15.75">
      <c r="B22" s="77" t="s">
        <v>4</v>
      </c>
    </row>
    <row r="25" spans="1:2" ht="18">
      <c r="A25" s="77" t="s">
        <v>96</v>
      </c>
    </row>
    <row r="26" spans="1:2" ht="18">
      <c r="B26" s="76" t="s">
        <v>97</v>
      </c>
    </row>
    <row r="27" spans="1:2" ht="18">
      <c r="B27" s="76" t="s">
        <v>98</v>
      </c>
    </row>
    <row r="28" spans="1:2">
      <c r="B28" s="78" t="s">
        <v>99</v>
      </c>
    </row>
    <row r="29" spans="1:2">
      <c r="B29" s="79" t="s">
        <v>100</v>
      </c>
    </row>
    <row r="32" spans="1:2" ht="15.75">
      <c r="A32" s="77" t="s">
        <v>101</v>
      </c>
    </row>
    <row r="33" spans="2:8" ht="18">
      <c r="B33" s="76" t="s">
        <v>20</v>
      </c>
    </row>
    <row r="34" spans="2:8" ht="18">
      <c r="B34" s="76" t="s">
        <v>21</v>
      </c>
    </row>
    <row r="35" spans="2:8">
      <c r="B35" s="79" t="s">
        <v>35</v>
      </c>
    </row>
    <row r="36" spans="2:8">
      <c r="B36" s="79" t="s">
        <v>36</v>
      </c>
    </row>
    <row r="37" spans="2:8">
      <c r="B37" s="79"/>
    </row>
    <row r="38" spans="2:8" ht="18">
      <c r="B38" s="83" t="s">
        <v>239</v>
      </c>
    </row>
    <row r="40" spans="2:8">
      <c r="H40" s="80" t="s">
        <v>37</v>
      </c>
    </row>
    <row r="42" spans="2:8">
      <c r="H42" s="79" t="s">
        <v>38</v>
      </c>
    </row>
    <row r="43" spans="2:8">
      <c r="H43" s="79" t="s">
        <v>39</v>
      </c>
    </row>
    <row r="44" spans="2:8">
      <c r="H44" s="79" t="s">
        <v>40</v>
      </c>
    </row>
    <row r="47" spans="2:8">
      <c r="H47" s="80" t="s">
        <v>41</v>
      </c>
    </row>
    <row r="49" spans="1:8">
      <c r="H49" s="79" t="s">
        <v>211</v>
      </c>
    </row>
    <row r="50" spans="1:8">
      <c r="H50" s="79" t="s">
        <v>312</v>
      </c>
    </row>
    <row r="51" spans="1:8">
      <c r="H51" s="79" t="s">
        <v>313</v>
      </c>
    </row>
    <row r="55" spans="1:8" ht="15">
      <c r="A55" s="81" t="s">
        <v>314</v>
      </c>
    </row>
  </sheetData>
  <sheetProtection sheet="1" objects="1" scenarios="1"/>
  <phoneticPr fontId="34" type="noConversion"/>
  <printOptions horizontalCentered="1" verticalCentered="1"/>
  <pageMargins left="0.5" right="0.5" top="0.5" bottom="0.5" header="0.5" footer="0.5"/>
  <headerFooter alignWithMargins="0"/>
  <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codeName="Sheet8">
    <tabColor rgb="FF0070C0"/>
    <pageSetUpPr fitToPage="1"/>
  </sheetPr>
  <dimension ref="A1:EO489"/>
  <sheetViews>
    <sheetView showGridLines="0" tabSelected="1" zoomScale="85" zoomScaleNormal="85" zoomScalePageLayoutView="85" workbookViewId="0">
      <pane ySplit="4" topLeftCell="A5" activePane="bottomLeft" state="frozenSplit"/>
      <selection pane="bottomLeft" activeCell="C5" sqref="C5:D5"/>
    </sheetView>
  </sheetViews>
  <sheetFormatPr defaultColWidth="8.75" defaultRowHeight="12.75"/>
  <cols>
    <col min="1" max="1" width="1" style="86" customWidth="1"/>
    <col min="2" max="5" width="8.625" customWidth="1"/>
    <col min="6" max="6" width="9.875" customWidth="1"/>
    <col min="7" max="8" width="8.625" customWidth="1"/>
    <col min="9" max="9" width="25.125" style="96" customWidth="1"/>
    <col min="10" max="10" width="26.625" style="96" customWidth="1"/>
    <col min="11" max="11" width="23.375" style="96" customWidth="1"/>
    <col min="12" max="12" width="21.75" style="96" customWidth="1"/>
    <col min="13" max="13" width="18.875" style="96" customWidth="1"/>
    <col min="14" max="14" width="13.75" style="96" customWidth="1"/>
    <col min="15" max="15" width="21.25" customWidth="1"/>
    <col min="16" max="16" width="18.875" style="2" customWidth="1"/>
    <col min="17" max="17" width="15.5" style="2" customWidth="1"/>
    <col min="18" max="18" width="17.75" style="2" customWidth="1"/>
    <col min="19" max="19" width="22.75" style="2" customWidth="1"/>
    <col min="20" max="20" width="19" style="2" customWidth="1"/>
    <col min="21" max="21" width="21.5" style="2" customWidth="1"/>
    <col min="22" max="22" width="17.375" style="351" customWidth="1"/>
    <col min="23" max="23" width="22.125" style="351" customWidth="1"/>
    <col min="24" max="24" width="23" style="351" customWidth="1"/>
    <col min="25" max="25" width="25.25" style="351" customWidth="1"/>
    <col min="26" max="26" width="21.125" style="351" customWidth="1"/>
    <col min="27" max="27" width="9.625" style="142" customWidth="1"/>
    <col min="28" max="28" width="8.75" style="179" customWidth="1"/>
    <col min="29" max="31" width="8.75" style="2" customWidth="1"/>
    <col min="32" max="32" width="9.875" style="2" customWidth="1"/>
    <col min="33" max="33" width="11.375" style="2" customWidth="1"/>
    <col min="34" max="36" width="12.625" style="351" customWidth="1"/>
    <col min="37" max="37" width="11.875" style="351" customWidth="1"/>
    <col min="38" max="38" width="16.625" style="351" customWidth="1"/>
    <col min="39" max="39" width="12.625" style="351" customWidth="1"/>
    <col min="40" max="40" width="12.625" style="459" customWidth="1"/>
    <col min="41" max="41" width="12.625" style="11" customWidth="1"/>
    <col min="42" max="42" width="10.125" style="11" customWidth="1"/>
    <col min="43" max="43" width="15" style="11" customWidth="1"/>
    <col min="44" max="44" width="8.75" style="2"/>
    <col min="45" max="45" width="8.75" style="11"/>
    <col min="46" max="48" width="8.75" style="2"/>
  </cols>
  <sheetData>
    <row r="1" spans="1:66" ht="15">
      <c r="B1" s="102" t="s">
        <v>31</v>
      </c>
      <c r="C1" s="102"/>
      <c r="D1" s="95"/>
      <c r="E1" s="95"/>
      <c r="F1" s="97" t="s">
        <v>32</v>
      </c>
      <c r="G1" s="95"/>
      <c r="H1" s="95"/>
      <c r="I1" s="97" t="s">
        <v>33</v>
      </c>
      <c r="J1" s="351"/>
      <c r="K1" s="95"/>
      <c r="L1" s="95"/>
      <c r="M1" s="95"/>
      <c r="N1" s="95"/>
      <c r="O1" s="112"/>
      <c r="P1" s="95"/>
      <c r="Q1" s="95"/>
      <c r="R1" s="95"/>
      <c r="S1" s="95"/>
      <c r="AM1" s="517" t="s">
        <v>496</v>
      </c>
      <c r="AN1" s="517" t="s">
        <v>497</v>
      </c>
      <c r="AO1" s="517" t="s">
        <v>498</v>
      </c>
      <c r="AP1" s="517" t="s">
        <v>508</v>
      </c>
      <c r="AQ1" s="517" t="s">
        <v>509</v>
      </c>
    </row>
    <row r="2" spans="1:66">
      <c r="B2" s="98" t="s">
        <v>34</v>
      </c>
      <c r="C2" s="92"/>
      <c r="D2" s="92"/>
      <c r="E2" s="93"/>
      <c r="F2" s="100" t="s">
        <v>335</v>
      </c>
      <c r="G2" s="94"/>
      <c r="H2" s="94"/>
      <c r="I2" s="100" t="s">
        <v>42</v>
      </c>
      <c r="J2" s="115" t="s">
        <v>338</v>
      </c>
      <c r="K2" s="511" t="s">
        <v>529</v>
      </c>
      <c r="L2" s="512"/>
      <c r="M2" s="512"/>
      <c r="N2" s="103"/>
      <c r="O2" s="113"/>
      <c r="P2" s="104"/>
      <c r="Q2" s="104"/>
      <c r="R2" s="104"/>
      <c r="T2" s="351"/>
      <c r="U2" s="351"/>
      <c r="Z2" s="2"/>
      <c r="AG2" s="351"/>
      <c r="AM2" s="518"/>
      <c r="AN2" s="518"/>
      <c r="AO2" s="518"/>
      <c r="AP2" s="518"/>
      <c r="AQ2" s="518"/>
    </row>
    <row r="3" spans="1:66" ht="22.9" customHeight="1">
      <c r="B3" s="99" t="s">
        <v>43</v>
      </c>
      <c r="C3" s="89"/>
      <c r="D3" s="89"/>
      <c r="E3" s="89"/>
      <c r="F3" s="100" t="s">
        <v>336</v>
      </c>
      <c r="G3" s="90"/>
      <c r="H3" s="90"/>
      <c r="I3" s="100" t="s">
        <v>152</v>
      </c>
      <c r="J3" s="115" t="s">
        <v>153</v>
      </c>
      <c r="K3" s="512"/>
      <c r="L3" s="512"/>
      <c r="M3" s="512"/>
      <c r="N3" s="103"/>
      <c r="O3" s="114"/>
      <c r="P3" s="496" t="s">
        <v>510</v>
      </c>
      <c r="Q3" s="496"/>
      <c r="R3" s="506" t="s">
        <v>545</v>
      </c>
      <c r="S3" s="507"/>
      <c r="T3" s="362" t="s">
        <v>340</v>
      </c>
      <c r="U3" s="362"/>
      <c r="V3" s="363"/>
      <c r="Z3" s="2"/>
      <c r="AG3" s="351"/>
      <c r="AM3" s="518"/>
      <c r="AN3" s="518"/>
      <c r="AO3" s="518"/>
      <c r="AP3" s="518"/>
      <c r="AQ3" s="518"/>
    </row>
    <row r="4" spans="1:66" ht="24" thickBot="1">
      <c r="B4" s="99" t="s">
        <v>334</v>
      </c>
      <c r="C4" s="89"/>
      <c r="D4" s="89"/>
      <c r="E4" s="91"/>
      <c r="F4" s="101"/>
      <c r="G4" s="90"/>
      <c r="H4" s="90"/>
      <c r="I4" s="100" t="s">
        <v>337</v>
      </c>
      <c r="J4" s="115" t="s">
        <v>339</v>
      </c>
      <c r="K4" s="512"/>
      <c r="L4" s="512"/>
      <c r="M4" s="512"/>
      <c r="N4" s="103"/>
      <c r="O4" s="114"/>
      <c r="P4" s="497"/>
      <c r="Q4" s="497"/>
      <c r="R4" s="508"/>
      <c r="S4" s="508"/>
      <c r="T4" s="362" t="s">
        <v>341</v>
      </c>
      <c r="U4" s="362"/>
      <c r="V4" s="364"/>
      <c r="Z4" s="2"/>
      <c r="AG4" s="351"/>
      <c r="AM4" s="518"/>
      <c r="AN4" s="518"/>
      <c r="AO4" s="518"/>
      <c r="AP4" s="518"/>
      <c r="AQ4" s="519"/>
      <c r="AS4" s="365" t="s">
        <v>512</v>
      </c>
      <c r="AU4" s="351" t="s">
        <v>511</v>
      </c>
    </row>
    <row r="5" spans="1:66" s="2" customFormat="1" ht="32.25" customHeight="1" thickBot="1">
      <c r="A5" s="84"/>
      <c r="B5" s="465" t="s">
        <v>315</v>
      </c>
      <c r="C5" s="485"/>
      <c r="D5" s="486"/>
      <c r="E5" s="342" t="s">
        <v>88</v>
      </c>
      <c r="F5" s="345" t="s">
        <v>531</v>
      </c>
      <c r="G5" s="343" t="s">
        <v>548</v>
      </c>
      <c r="H5" s="166" t="s">
        <v>244</v>
      </c>
      <c r="I5" s="490" t="s">
        <v>587</v>
      </c>
      <c r="J5" s="509" t="s">
        <v>588</v>
      </c>
      <c r="K5" s="309" t="s">
        <v>522</v>
      </c>
      <c r="L5" s="359">
        <v>0</v>
      </c>
      <c r="M5" s="310" t="s">
        <v>524</v>
      </c>
      <c r="N5" s="361">
        <v>0</v>
      </c>
      <c r="O5" s="196"/>
      <c r="P5" s="168" t="str">
        <f>B5</f>
        <v>Subject</v>
      </c>
      <c r="Q5" s="169">
        <f t="shared" ref="Q5" si="0">C5</f>
        <v>0</v>
      </c>
      <c r="R5" s="214" t="s">
        <v>89</v>
      </c>
      <c r="S5" s="215">
        <f>F6</f>
        <v>42795</v>
      </c>
      <c r="T5" s="158"/>
      <c r="U5" s="334"/>
      <c r="V5" s="141"/>
      <c r="W5" s="141"/>
      <c r="X5" s="141"/>
      <c r="Y5" s="141"/>
      <c r="Z5" s="141"/>
      <c r="AA5" s="141"/>
      <c r="AB5" s="153"/>
      <c r="AC5" s="13"/>
      <c r="AD5" s="141"/>
      <c r="AE5" s="141"/>
      <c r="AF5" s="141"/>
      <c r="AG5" s="141"/>
      <c r="AH5" s="141"/>
      <c r="AI5" s="141"/>
      <c r="AJ5" s="141"/>
      <c r="AK5" s="141"/>
      <c r="AL5" s="240">
        <f>$B$69</f>
        <v>42705</v>
      </c>
      <c r="AM5" s="366" t="str">
        <f>IF(B74="","",IF(B74=0,0,1))</f>
        <v/>
      </c>
      <c r="AN5" s="367" t="str">
        <f ca="1">IF(OR(AM5="",AM5=1,AND(AM5=0,AM4=0)),"",MATCH(1,AM5:AM$145,0)-1-COUNTIF(AM5:OFFSET(AM5,MATCH(1,AM5:AM$145,0)-1,0),""))</f>
        <v/>
      </c>
      <c r="AO5" s="313">
        <v>1</v>
      </c>
      <c r="AP5" s="313">
        <f ca="1">COUNTIF($AN$5:$AN$145,1)</f>
        <v>0</v>
      </c>
      <c r="AQ5" s="314">
        <f ca="1">AO5*AP5</f>
        <v>0</v>
      </c>
      <c r="AR5" s="315">
        <f ca="1">AP5+AP6</f>
        <v>0</v>
      </c>
      <c r="AS5" s="316">
        <v>0</v>
      </c>
      <c r="AT5" s="317"/>
      <c r="AU5" s="318">
        <f ca="1">COUNTIF($AN$5:$AN$145,1)</f>
        <v>0</v>
      </c>
      <c r="AV5" s="142"/>
      <c r="AW5" s="142">
        <f>MONTH(F6)</f>
        <v>3</v>
      </c>
      <c r="AX5" s="142" t="s">
        <v>586</v>
      </c>
      <c r="AY5" s="142">
        <f>YEAR(F6)</f>
        <v>2017</v>
      </c>
      <c r="AZ5" s="142"/>
      <c r="BA5" s="142"/>
      <c r="BB5" s="142"/>
      <c r="BC5" s="142"/>
      <c r="BD5" s="142"/>
      <c r="BE5" s="142"/>
      <c r="BF5" s="142"/>
      <c r="BG5" s="142"/>
      <c r="BH5" s="142"/>
      <c r="BI5" s="142"/>
      <c r="BJ5" s="142"/>
      <c r="BK5" s="142"/>
      <c r="BL5" s="142"/>
      <c r="BM5" s="142"/>
      <c r="BN5" s="142"/>
    </row>
    <row r="6" spans="1:66" s="2" customFormat="1" ht="25.5" thickBot="1">
      <c r="A6" s="87"/>
      <c r="B6" s="501" t="str">
        <f>AW5&amp;AX5&amp;AY5</f>
        <v>3/2017</v>
      </c>
      <c r="C6" s="502"/>
      <c r="D6" s="503"/>
      <c r="E6" s="298" t="s">
        <v>549</v>
      </c>
      <c r="F6" s="344">
        <v>42795</v>
      </c>
      <c r="G6" s="332">
        <f>F6-35</f>
        <v>42760</v>
      </c>
      <c r="H6" s="222">
        <f>SUM(M10:M20)+SUM(M26:M36)+SUM(M42:M52)+SUM(M58:M68)</f>
        <v>0</v>
      </c>
      <c r="I6" s="491"/>
      <c r="J6" s="510"/>
      <c r="K6" s="311" t="s">
        <v>523</v>
      </c>
      <c r="L6" s="360">
        <v>0</v>
      </c>
      <c r="M6" s="312" t="s">
        <v>525</v>
      </c>
      <c r="N6" s="340">
        <f>IF(OR(LEFT($E$6)="f",LEFT($E$6)="F"),-2.097+0.1069*$L$6+0.2466*$N$5,IF(OR(LEFT($E$6)="f",LEFT($E$6)="M"),2.447-0.09516*$L$5+0.1074*$L$6+0.3362*$N$5,"gender?"))</f>
        <v>2.4470000000000001</v>
      </c>
      <c r="O6" s="196"/>
      <c r="P6" s="159" t="str">
        <f>MONTH(G6)&amp;"/"&amp;DAY(G6)&amp;"/"&amp;YEAR(G6)</f>
        <v>1/25/2017</v>
      </c>
      <c r="Q6" s="160" t="s">
        <v>317</v>
      </c>
      <c r="R6" s="161" t="str">
        <f>MONTH(F6-1)&amp;"/"&amp;DAY(F6-1)&amp;"/"&amp;YEAR(F6-1)</f>
        <v>2/28/2017</v>
      </c>
      <c r="S6" s="170"/>
      <c r="T6" s="162"/>
      <c r="U6" s="161"/>
      <c r="V6" s="142"/>
      <c r="W6" s="142"/>
      <c r="X6" s="142"/>
      <c r="Y6" s="142"/>
      <c r="Z6" s="142"/>
      <c r="AA6" s="142"/>
      <c r="AB6" s="179"/>
      <c r="AD6" s="142"/>
      <c r="AE6" s="142"/>
      <c r="AF6" s="142"/>
      <c r="AG6" s="142"/>
      <c r="AH6" s="142"/>
      <c r="AI6" s="142"/>
      <c r="AJ6" s="142"/>
      <c r="AK6" s="142"/>
      <c r="AL6" s="142"/>
      <c r="AM6" s="368" t="str">
        <f>IF(C74="","",IF(C74=0,0,1))</f>
        <v/>
      </c>
      <c r="AN6" s="369" t="str">
        <f ca="1">IF(OR(AM6="",AM6=1,AND(AM6=0,AM5=0)),"",MATCH(1,AM6:AM$145,0)-1-COUNTIF(AM6:OFFSET(AM6,MATCH(1,AM6:AM$145,0)-1,0),""))</f>
        <v/>
      </c>
      <c r="AO6" s="313">
        <v>2</v>
      </c>
      <c r="AP6" s="313">
        <f ca="1">COUNTIF($AN$5:$AN$145,2)</f>
        <v>0</v>
      </c>
      <c r="AQ6" s="319">
        <f t="shared" ref="AQ6:AQ19" ca="1" si="1">AO6*AP6</f>
        <v>0</v>
      </c>
      <c r="AR6" s="320"/>
      <c r="AS6" s="321">
        <v>1</v>
      </c>
      <c r="AT6" s="322"/>
      <c r="AU6" s="323">
        <f ca="1">COUNTIF($AN$5:$AN$145,2)</f>
        <v>0</v>
      </c>
      <c r="AV6" s="142"/>
      <c r="AW6" s="142"/>
      <c r="AX6" s="142"/>
      <c r="AY6" s="142"/>
      <c r="AZ6" s="142"/>
      <c r="BA6" s="142"/>
      <c r="BB6" s="142"/>
      <c r="BC6" s="142"/>
      <c r="BD6" s="142"/>
      <c r="BE6" s="142"/>
      <c r="BF6" s="142"/>
      <c r="BG6" s="142"/>
      <c r="BH6" s="142"/>
      <c r="BI6" s="142"/>
      <c r="BJ6" s="142"/>
      <c r="BK6" s="142"/>
      <c r="BL6" s="142"/>
      <c r="BM6" s="142"/>
      <c r="BN6" s="142"/>
    </row>
    <row r="7" spans="1:66" s="2" customFormat="1" ht="16.5" thickTop="1" thickBot="1">
      <c r="A7" s="84"/>
      <c r="B7" s="151" t="s">
        <v>329</v>
      </c>
      <c r="C7" s="152" t="s">
        <v>330</v>
      </c>
      <c r="D7" s="13"/>
      <c r="E7" s="110"/>
      <c r="F7" s="151"/>
      <c r="G7" s="492" t="str">
        <f xml:space="preserve"> "REMAINING = "&amp;(35-H6)</f>
        <v>REMAINING = 35</v>
      </c>
      <c r="H7" s="493"/>
      <c r="I7" s="280" t="s">
        <v>164</v>
      </c>
      <c r="J7" s="281"/>
      <c r="K7" s="283" t="s">
        <v>318</v>
      </c>
      <c r="L7" s="307"/>
      <c r="M7" s="308"/>
      <c r="N7" s="341" t="s">
        <v>530</v>
      </c>
      <c r="O7" s="196"/>
      <c r="P7" s="163"/>
      <c r="Q7" s="164"/>
      <c r="R7" s="164"/>
      <c r="S7" s="164"/>
      <c r="T7" s="165"/>
      <c r="U7" s="161" t="s">
        <v>542</v>
      </c>
      <c r="V7" s="142"/>
      <c r="W7" s="142"/>
      <c r="X7" s="142"/>
      <c r="Y7" s="142"/>
      <c r="Z7" s="142"/>
      <c r="AA7" s="142"/>
      <c r="AB7" s="179"/>
      <c r="AD7" s="142"/>
      <c r="AE7" s="142"/>
      <c r="AF7" s="142"/>
      <c r="AG7" s="142"/>
      <c r="AH7" s="142"/>
      <c r="AI7" s="142"/>
      <c r="AJ7" s="142"/>
      <c r="AK7" s="142"/>
      <c r="AL7" s="142"/>
      <c r="AM7" s="368" t="str">
        <f>IF(D74="","",IF(D74=0,0,1))</f>
        <v/>
      </c>
      <c r="AN7" s="369" t="str">
        <f ca="1">IF(OR(AM7="",AM7=1,AND(AM7=0,AM6=0)),"",MATCH(1,AM7:AM$145,0)-1-COUNTIF(AM7:OFFSET(AM7,MATCH(1,AM7:AM$145,0)-1,0),""))</f>
        <v/>
      </c>
      <c r="AO7" s="313">
        <v>3</v>
      </c>
      <c r="AP7" s="313">
        <f ca="1">COUNTIF($AN$5:$AN$145,3)</f>
        <v>0</v>
      </c>
      <c r="AQ7" s="319">
        <f t="shared" ca="1" si="1"/>
        <v>0</v>
      </c>
      <c r="AR7" s="320">
        <f ca="1">AP7+AP8</f>
        <v>0</v>
      </c>
      <c r="AS7" s="321">
        <v>2</v>
      </c>
      <c r="AT7" s="322"/>
      <c r="AU7" s="323">
        <f ca="1">COUNTIF($AN$5:$AN$145,3)</f>
        <v>0</v>
      </c>
      <c r="AV7" s="142"/>
      <c r="AW7" s="142"/>
      <c r="AX7" s="142"/>
      <c r="AY7" s="142"/>
      <c r="AZ7" s="142"/>
      <c r="BA7" s="142"/>
      <c r="BB7" s="142"/>
      <c r="BC7" s="142"/>
      <c r="BD7" s="142"/>
      <c r="BE7" s="142"/>
      <c r="BF7" s="142"/>
      <c r="BG7" s="142"/>
      <c r="BH7" s="142"/>
      <c r="BI7" s="142"/>
      <c r="BJ7" s="142"/>
      <c r="BK7" s="142"/>
      <c r="BL7" s="142"/>
      <c r="BM7" s="142"/>
      <c r="BN7" s="142"/>
    </row>
    <row r="8" spans="1:66" ht="18" customHeight="1" thickTop="1" thickBot="1">
      <c r="A8" s="84"/>
      <c r="B8" s="171" t="s">
        <v>23</v>
      </c>
      <c r="C8" s="172" t="s">
        <v>24</v>
      </c>
      <c r="D8" s="172" t="s">
        <v>25</v>
      </c>
      <c r="E8" s="172" t="s">
        <v>26</v>
      </c>
      <c r="F8" s="172" t="s">
        <v>27</v>
      </c>
      <c r="G8" s="223" t="s">
        <v>28</v>
      </c>
      <c r="H8" s="267" t="s">
        <v>29</v>
      </c>
      <c r="I8" s="282" t="str">
        <f>B6</f>
        <v>3/2017</v>
      </c>
      <c r="J8" s="283"/>
      <c r="K8" s="284"/>
      <c r="L8" s="283"/>
      <c r="M8" s="283"/>
      <c r="N8" s="293"/>
      <c r="O8" s="197"/>
      <c r="P8" s="142"/>
      <c r="Q8" s="142"/>
      <c r="R8" s="504" t="s">
        <v>570</v>
      </c>
      <c r="S8" s="504"/>
      <c r="T8" s="156">
        <f>SUM($I10:$I20,$I26:$I36,$I42:$I52,$I58:$I68)</f>
        <v>0</v>
      </c>
      <c r="U8" s="335" t="s">
        <v>532</v>
      </c>
      <c r="V8" s="145"/>
      <c r="W8" s="142"/>
      <c r="X8" s="142"/>
      <c r="Y8" s="142"/>
      <c r="Z8" s="142"/>
      <c r="AD8" s="142"/>
      <c r="AE8" s="142"/>
      <c r="AF8" s="142"/>
      <c r="AG8" s="142"/>
      <c r="AH8" s="142"/>
      <c r="AI8" s="142"/>
      <c r="AJ8" s="142"/>
      <c r="AK8" s="142"/>
      <c r="AL8" s="142"/>
      <c r="AM8" s="368" t="str">
        <f>IF(E74="","",IF(E74=0,0,1))</f>
        <v/>
      </c>
      <c r="AN8" s="369" t="str">
        <f ca="1">IF(OR(AM8="",AM8=1,AND(AM8=0,AM7=0)),"",MATCH(1,AM8:AM$145,0)-1-COUNTIF(AM8:OFFSET(AM8,MATCH(1,AM8:AM$145,0)-1,0),""))</f>
        <v/>
      </c>
      <c r="AO8" s="313">
        <v>4</v>
      </c>
      <c r="AP8" s="313">
        <f ca="1">COUNTIF($AN$5:$AN$145,4)</f>
        <v>0</v>
      </c>
      <c r="AQ8" s="319">
        <f t="shared" ca="1" si="1"/>
        <v>0</v>
      </c>
      <c r="AR8" s="320"/>
      <c r="AS8" s="321">
        <v>1</v>
      </c>
      <c r="AT8" s="322"/>
      <c r="AU8" s="323">
        <f ca="1">COUNTIF($AN$5:$AN$145,4)</f>
        <v>0</v>
      </c>
      <c r="AV8" s="142"/>
      <c r="AW8" s="143"/>
      <c r="AX8" s="143"/>
      <c r="AY8" s="143"/>
      <c r="AZ8" s="143"/>
      <c r="BA8" s="143"/>
      <c r="BB8" s="143"/>
      <c r="BC8" s="143"/>
      <c r="BD8" s="143"/>
      <c r="BE8" s="143"/>
      <c r="BF8" s="143"/>
      <c r="BG8" s="143"/>
      <c r="BH8" s="143"/>
      <c r="BI8" s="143"/>
      <c r="BJ8" s="143"/>
      <c r="BK8" s="143"/>
      <c r="BL8" s="143"/>
      <c r="BM8" s="143"/>
      <c r="BN8" s="143"/>
    </row>
    <row r="9" spans="1:66" ht="18" customHeight="1" thickBot="1">
      <c r="A9" s="85"/>
      <c r="B9" s="174">
        <f>(WEEKDAY($B6)=1)*B6</f>
        <v>0</v>
      </c>
      <c r="C9" s="4">
        <f>(WEEKDAY($B6)=2)*B6+($B9&gt;0)+B9</f>
        <v>0</v>
      </c>
      <c r="D9" s="4">
        <f>(WEEKDAY($B6)=3)*B6+(C9&gt;0)+C9</f>
        <v>0</v>
      </c>
      <c r="E9" s="4">
        <f>(WEEKDAY($B6)=4)*B6+(D9&gt;0)+D9</f>
        <v>42795</v>
      </c>
      <c r="F9" s="4">
        <f>(WEEKDAY($B6)=5)*B6+(E9&gt;0)+E9</f>
        <v>42796</v>
      </c>
      <c r="G9" s="4">
        <f>(WEEKDAY($B6)=6)*B6+(F9&gt;0)+F9</f>
        <v>42797</v>
      </c>
      <c r="H9" s="270">
        <f>(WEEKDAY($B6)=7)*B6+(G9&gt;0)+G9</f>
        <v>42798</v>
      </c>
      <c r="I9" s="285" t="s">
        <v>240</v>
      </c>
      <c r="J9" s="245" t="s">
        <v>242</v>
      </c>
      <c r="K9" s="246" t="str">
        <f>IF($E$6="Male","heavydrinkdays (&gt;4)","heavydrinkdays (&gt;3)")</f>
        <v>heavydrinkdays (&gt;4)</v>
      </c>
      <c r="L9" s="245" t="s">
        <v>241</v>
      </c>
      <c r="M9" s="245" t="s">
        <v>243</v>
      </c>
      <c r="N9" s="293"/>
      <c r="O9" s="197"/>
      <c r="P9" s="142"/>
      <c r="Q9" s="142"/>
      <c r="R9" s="505" t="s">
        <v>238</v>
      </c>
      <c r="S9" s="505"/>
      <c r="T9" s="156">
        <f>SUM($L$10:$L$20,$L$26:$L$36,$L$42:$L$52,$L$58:$L$68)</f>
        <v>0</v>
      </c>
      <c r="U9" s="336" t="s">
        <v>533</v>
      </c>
      <c r="V9" s="142"/>
      <c r="W9" s="142"/>
      <c r="X9" s="142"/>
      <c r="Y9" s="142"/>
      <c r="Z9" s="142"/>
      <c r="AD9" s="142"/>
      <c r="AE9" s="142"/>
      <c r="AF9" s="142"/>
      <c r="AG9" s="142"/>
      <c r="AH9" s="142"/>
      <c r="AI9" s="142"/>
      <c r="AJ9" s="142"/>
      <c r="AK9" s="142"/>
      <c r="AL9" s="142"/>
      <c r="AM9" s="368" t="str">
        <f>IF(F74="","",IF(F74=0,0,1))</f>
        <v/>
      </c>
      <c r="AN9" s="369" t="str">
        <f ca="1">IF(OR(AM9="",AM9=1,AND(AM9=0,AM8=0)),"",MATCH(1,AM9:AM$145,0)-1-COUNTIF(AM9:OFFSET(AM9,MATCH(1,AM9:AM$145,0)-1,0),""))</f>
        <v/>
      </c>
      <c r="AO9" s="313">
        <v>5</v>
      </c>
      <c r="AP9" s="313">
        <f ca="1">COUNTIF($AN$5:$AN$145,5)</f>
        <v>0</v>
      </c>
      <c r="AQ9" s="319">
        <f t="shared" ca="1" si="1"/>
        <v>0</v>
      </c>
      <c r="AR9" s="324">
        <f ca="1">AP9+AP10</f>
        <v>0</v>
      </c>
      <c r="AS9" s="321">
        <v>8</v>
      </c>
      <c r="AT9" s="322"/>
      <c r="AU9" s="323">
        <f ca="1">COUNTIF($AN$5:$AN$145,5)</f>
        <v>0</v>
      </c>
      <c r="AV9" s="142"/>
      <c r="AW9" s="143"/>
      <c r="AX9" s="143"/>
      <c r="AY9" s="143"/>
      <c r="AZ9" s="143"/>
      <c r="BA9" s="143"/>
      <c r="BB9" s="143"/>
      <c r="BC9" s="143"/>
      <c r="BD9" s="143"/>
      <c r="BE9" s="143"/>
      <c r="BF9" s="143"/>
      <c r="BG9" s="143"/>
      <c r="BH9" s="143"/>
      <c r="BI9" s="143"/>
      <c r="BJ9" s="143"/>
      <c r="BK9" s="143"/>
      <c r="BL9" s="143"/>
      <c r="BM9" s="143"/>
      <c r="BN9" s="143"/>
    </row>
    <row r="10" spans="1:66" ht="18" customHeight="1" thickBot="1">
      <c r="A10" s="88"/>
      <c r="B10" s="189"/>
      <c r="C10" s="192"/>
      <c r="D10" s="192"/>
      <c r="E10" s="192"/>
      <c r="F10" s="192"/>
      <c r="G10" s="192"/>
      <c r="H10" s="268"/>
      <c r="I10" s="286">
        <f>SUM($B11:$H11)</f>
        <v>0</v>
      </c>
      <c r="J10" s="247">
        <f>COUNTIF($B11:$H11,"0")</f>
        <v>0</v>
      </c>
      <c r="K10" s="287"/>
      <c r="L10" s="247">
        <f>COUNTIF($B11:$H11,"&gt;0")</f>
        <v>0</v>
      </c>
      <c r="M10" s="288">
        <f>J10+L10</f>
        <v>0</v>
      </c>
      <c r="N10" s="293"/>
      <c r="O10" s="197"/>
      <c r="P10" s="142"/>
      <c r="Q10" s="142"/>
      <c r="R10" s="504" t="s">
        <v>546</v>
      </c>
      <c r="S10" s="504"/>
      <c r="T10" s="156">
        <f>SUM($K$11:$K$23,$K$32:$K$44,$K$53:$K$65,$K$74:$K$86)</f>
        <v>0</v>
      </c>
      <c r="U10" s="339" t="s">
        <v>534</v>
      </c>
      <c r="V10" s="142"/>
      <c r="W10" s="142"/>
      <c r="X10" s="142"/>
      <c r="Y10" s="142"/>
      <c r="Z10" s="142"/>
      <c r="AD10" s="142"/>
      <c r="AE10" s="142"/>
      <c r="AF10" s="142"/>
      <c r="AG10" s="142"/>
      <c r="AH10" s="142"/>
      <c r="AI10" s="142"/>
      <c r="AJ10" s="142"/>
      <c r="AK10" s="142"/>
      <c r="AL10" s="142"/>
      <c r="AM10" s="368" t="str">
        <f>IF(G74="","",IF(G74=0,0,1))</f>
        <v/>
      </c>
      <c r="AN10" s="369" t="str">
        <f ca="1">IF(OR(AM10="",AM10=1,AND(AM10=0,AM9=0)),"",MATCH(1,AM10:AM$145,0)-1-COUNTIF(AM10:OFFSET(AM10,MATCH(1,AM10:AM$145,0)-1,0),""))</f>
        <v/>
      </c>
      <c r="AO10" s="313">
        <v>6</v>
      </c>
      <c r="AP10" s="313">
        <f ca="1">COUNTIF($AN$5:$AN$145,6)</f>
        <v>0</v>
      </c>
      <c r="AQ10" s="319">
        <f t="shared" ca="1" si="1"/>
        <v>0</v>
      </c>
      <c r="AR10" s="325"/>
      <c r="AS10" s="321">
        <v>5</v>
      </c>
      <c r="AT10" s="322"/>
      <c r="AU10" s="323">
        <f ca="1">COUNTIF($AN$5:$AN$145,6)</f>
        <v>0</v>
      </c>
      <c r="AV10" s="142"/>
      <c r="AW10" s="143"/>
      <c r="AX10" s="143"/>
      <c r="AY10" s="143"/>
      <c r="AZ10" s="143"/>
      <c r="BA10" s="143"/>
      <c r="BB10" s="143"/>
      <c r="BC10" s="143"/>
      <c r="BD10" s="143"/>
      <c r="BE10" s="143"/>
      <c r="BF10" s="143"/>
      <c r="BG10" s="143"/>
      <c r="BH10" s="143"/>
      <c r="BI10" s="143"/>
      <c r="BJ10" s="143"/>
      <c r="BK10" s="143"/>
      <c r="BL10" s="143"/>
      <c r="BM10" s="143"/>
      <c r="BN10" s="143"/>
    </row>
    <row r="11" spans="1:66" ht="18" customHeight="1" thickBot="1">
      <c r="A11" s="85"/>
      <c r="B11" s="216"/>
      <c r="C11" s="217"/>
      <c r="D11" s="217"/>
      <c r="E11" s="217"/>
      <c r="F11" s="217"/>
      <c r="G11" s="217"/>
      <c r="H11" s="269"/>
      <c r="I11" s="289"/>
      <c r="J11" s="245"/>
      <c r="K11" s="287">
        <f>(IF($E$6="Male",COUNTIF($B11:$H11,"&gt;4"),COUNTIF($B11:$H11,"&gt;3")))</f>
        <v>0</v>
      </c>
      <c r="L11" s="245"/>
      <c r="M11" s="245"/>
      <c r="N11" s="293"/>
      <c r="O11" s="197"/>
      <c r="P11" s="142"/>
      <c r="Q11" s="142" t="s">
        <v>164</v>
      </c>
      <c r="R11" s="500" t="s">
        <v>316</v>
      </c>
      <c r="S11" s="500"/>
      <c r="T11" s="243" t="e">
        <f>$T$8/((T9+T17)/7)</f>
        <v>#DIV/0!</v>
      </c>
      <c r="U11" s="337" t="s">
        <v>535</v>
      </c>
      <c r="V11" s="142"/>
      <c r="W11" s="142"/>
      <c r="X11" s="142"/>
      <c r="Y11" s="142"/>
      <c r="Z11" s="142"/>
      <c r="AD11" s="142"/>
      <c r="AE11" s="142"/>
      <c r="AF11" s="142"/>
      <c r="AG11" s="142"/>
      <c r="AH11" s="142"/>
      <c r="AI11" s="142"/>
      <c r="AJ11" s="142"/>
      <c r="AK11" s="142"/>
      <c r="AL11" s="142"/>
      <c r="AM11" s="368" t="str">
        <f>IF(H74="","",IF(H74=0,0,1))</f>
        <v/>
      </c>
      <c r="AN11" s="369" t="str">
        <f ca="1">IF(OR(AM11="",AM11=1,AND(AM11=0,AM10=0)),"",MATCH(1,AM11:AM$145,0)-1-COUNTIF(AM11:OFFSET(AM11,MATCH(1,AM11:AM$145,0)-1,0),""))</f>
        <v/>
      </c>
      <c r="AO11" s="313">
        <v>7</v>
      </c>
      <c r="AP11" s="313">
        <f ca="1">COUNTIF($AN$5:$AN$145,7)</f>
        <v>0</v>
      </c>
      <c r="AQ11" s="319">
        <f t="shared" ca="1" si="1"/>
        <v>0</v>
      </c>
      <c r="AR11" s="324"/>
      <c r="AS11" s="321">
        <v>1</v>
      </c>
      <c r="AT11" s="322"/>
      <c r="AU11" s="323">
        <f ca="1">COUNTIF($AN$5:$AN$145,7)</f>
        <v>0</v>
      </c>
      <c r="AV11" s="142"/>
      <c r="AW11" s="143"/>
      <c r="AX11" s="143"/>
      <c r="AY11" s="143"/>
      <c r="AZ11" s="143"/>
      <c r="BA11" s="143"/>
      <c r="BB11" s="143"/>
      <c r="BC11" s="143"/>
      <c r="BD11" s="143"/>
      <c r="BE11" s="143"/>
      <c r="BF11" s="143"/>
      <c r="BG11" s="143"/>
      <c r="BH11" s="143"/>
      <c r="BI11" s="143"/>
      <c r="BJ11" s="143"/>
      <c r="BK11" s="143"/>
      <c r="BL11" s="143"/>
      <c r="BM11" s="143"/>
      <c r="BN11" s="143"/>
    </row>
    <row r="12" spans="1:66" ht="18" customHeight="1" thickBot="1">
      <c r="A12" s="88"/>
      <c r="B12" s="174">
        <f>+H9+1</f>
        <v>42799</v>
      </c>
      <c r="C12" s="4">
        <f t="shared" ref="C12:H12" si="2">+B12+1</f>
        <v>42800</v>
      </c>
      <c r="D12" s="4">
        <f t="shared" si="2"/>
        <v>42801</v>
      </c>
      <c r="E12" s="4">
        <f t="shared" si="2"/>
        <v>42802</v>
      </c>
      <c r="F12" s="4">
        <f t="shared" si="2"/>
        <v>42803</v>
      </c>
      <c r="G12" s="4">
        <f t="shared" si="2"/>
        <v>42804</v>
      </c>
      <c r="H12" s="270">
        <f t="shared" si="2"/>
        <v>42805</v>
      </c>
      <c r="I12" s="286">
        <f>SUM($B14:$H14)</f>
        <v>0</v>
      </c>
      <c r="J12" s="247">
        <f>COUNTIF($B14:$H14,"0")</f>
        <v>0</v>
      </c>
      <c r="K12" s="287"/>
      <c r="L12" s="247">
        <f>COUNTIF($B14:$H14,"&gt;0")</f>
        <v>0</v>
      </c>
      <c r="M12" s="288">
        <f>J12+L12</f>
        <v>0</v>
      </c>
      <c r="N12" s="293"/>
      <c r="O12" s="197"/>
      <c r="P12" s="142"/>
      <c r="Q12" s="142"/>
      <c r="R12" s="504" t="s">
        <v>528</v>
      </c>
      <c r="S12" s="504"/>
      <c r="T12" s="157" t="e">
        <f>$T8/$T9</f>
        <v>#DIV/0!</v>
      </c>
      <c r="U12" s="338" t="s">
        <v>536</v>
      </c>
      <c r="V12" s="142"/>
      <c r="W12" s="142"/>
      <c r="X12" s="142"/>
      <c r="Y12" s="142"/>
      <c r="Z12" s="142"/>
      <c r="AD12" s="142"/>
      <c r="AE12" s="142"/>
      <c r="AF12" s="142"/>
      <c r="AG12" s="142"/>
      <c r="AH12" s="142"/>
      <c r="AI12" s="142"/>
      <c r="AJ12" s="142"/>
      <c r="AK12" s="142"/>
      <c r="AL12" s="142"/>
      <c r="AM12" s="368" t="str">
        <f>IF(B77="","",IF(B77=0,0,1))</f>
        <v/>
      </c>
      <c r="AN12" s="369" t="str">
        <f ca="1">IF(OR(AM12="",AM12=1,AND(AM12=0,AM11=0)),"",MATCH(1,AM12:AM$145,0)-1-COUNTIF(AM12:OFFSET(AM12,MATCH(1,AM12:AM$145,0)-1,0),""))</f>
        <v/>
      </c>
      <c r="AO12" s="313">
        <v>8</v>
      </c>
      <c r="AP12" s="313">
        <f ca="1">COUNTIF($AN$5:$AN$145,8)</f>
        <v>0</v>
      </c>
      <c r="AQ12" s="319">
        <f t="shared" ca="1" si="1"/>
        <v>0</v>
      </c>
      <c r="AR12" s="325"/>
      <c r="AS12" s="321">
        <v>0</v>
      </c>
      <c r="AT12" s="322"/>
      <c r="AU12" s="323">
        <f ca="1">COUNTIF($AN$5:$AN$145,8)</f>
        <v>0</v>
      </c>
      <c r="AV12" s="142"/>
      <c r="AW12" s="143"/>
      <c r="AX12" s="143"/>
      <c r="AY12" s="143"/>
      <c r="AZ12" s="143"/>
      <c r="BA12" s="143"/>
      <c r="BB12" s="143"/>
      <c r="BC12" s="143"/>
      <c r="BD12" s="143"/>
      <c r="BE12" s="143"/>
      <c r="BF12" s="143"/>
      <c r="BG12" s="143"/>
      <c r="BH12" s="143"/>
      <c r="BI12" s="143"/>
      <c r="BJ12" s="143"/>
      <c r="BK12" s="143"/>
      <c r="BL12" s="143"/>
      <c r="BM12" s="143"/>
      <c r="BN12" s="143"/>
    </row>
    <row r="13" spans="1:66" ht="18" customHeight="1" thickBot="1">
      <c r="A13" s="85"/>
      <c r="B13" s="189"/>
      <c r="C13" s="192"/>
      <c r="D13" s="192"/>
      <c r="E13" s="192"/>
      <c r="F13" s="192"/>
      <c r="G13" s="192"/>
      <c r="H13" s="268"/>
      <c r="I13" s="289"/>
      <c r="J13" s="245"/>
      <c r="K13" s="287"/>
      <c r="L13" s="245"/>
      <c r="M13" s="245"/>
      <c r="N13" s="293"/>
      <c r="O13" s="197"/>
      <c r="P13" s="142"/>
      <c r="Q13" s="142"/>
      <c r="R13" s="500" t="s">
        <v>543</v>
      </c>
      <c r="S13" s="516"/>
      <c r="T13" s="243" t="e">
        <f>T10/((T9+T17)/7)</f>
        <v>#DIV/0!</v>
      </c>
      <c r="U13" s="337" t="s">
        <v>544</v>
      </c>
      <c r="V13" s="142"/>
      <c r="W13" s="142"/>
      <c r="X13" s="142"/>
      <c r="Y13" s="142"/>
      <c r="Z13" s="142"/>
      <c r="AD13" s="142"/>
      <c r="AE13" s="142"/>
      <c r="AF13" s="142"/>
      <c r="AG13" s="142"/>
      <c r="AH13" s="142"/>
      <c r="AI13" s="142"/>
      <c r="AJ13" s="142"/>
      <c r="AK13" s="142"/>
      <c r="AL13" s="142"/>
      <c r="AM13" s="368" t="str">
        <f>IF(C77="","",IF(C77=0,0,1))</f>
        <v/>
      </c>
      <c r="AN13" s="369" t="str">
        <f ca="1">IF(OR(AM13="",AM13=1,AND(AM13=0,AM12=0)),"",MATCH(1,AM13:AM$145,0)-1-COUNTIF(AM13:OFFSET(AM13,MATCH(1,AM13:AM$145,0)-1,0),""))</f>
        <v/>
      </c>
      <c r="AO13" s="313">
        <v>9</v>
      </c>
      <c r="AP13" s="313">
        <f ca="1">COUNTIF($AN$5:$AN$145,9)</f>
        <v>0</v>
      </c>
      <c r="AQ13" s="319">
        <f t="shared" ca="1" si="1"/>
        <v>0</v>
      </c>
      <c r="AR13" s="324"/>
      <c r="AS13" s="321">
        <v>0</v>
      </c>
      <c r="AT13" s="322"/>
      <c r="AU13" s="323">
        <f ca="1">COUNTIF($AN$5:$AN$145,9)</f>
        <v>0</v>
      </c>
      <c r="AV13" s="142"/>
      <c r="AW13" s="143"/>
      <c r="AX13" s="143"/>
      <c r="AY13" s="143"/>
      <c r="AZ13" s="143"/>
      <c r="BA13" s="143"/>
      <c r="BB13" s="143"/>
      <c r="BC13" s="143"/>
      <c r="BD13" s="143"/>
      <c r="BE13" s="143"/>
      <c r="BF13" s="143"/>
      <c r="BG13" s="143"/>
      <c r="BH13" s="143"/>
      <c r="BI13" s="143"/>
      <c r="BJ13" s="143"/>
      <c r="BK13" s="143"/>
      <c r="BL13" s="143"/>
      <c r="BM13" s="143"/>
      <c r="BN13" s="143"/>
    </row>
    <row r="14" spans="1:66" ht="18" customHeight="1" thickBot="1">
      <c r="A14" s="88"/>
      <c r="B14" s="216"/>
      <c r="C14" s="217"/>
      <c r="D14" s="217"/>
      <c r="E14" s="217"/>
      <c r="F14" s="217"/>
      <c r="G14" s="217"/>
      <c r="H14" s="269"/>
      <c r="I14" s="286">
        <f>SUM($B17:$H17)</f>
        <v>0</v>
      </c>
      <c r="J14" s="247">
        <f>COUNTIF($B17:$H17,"0")</f>
        <v>0</v>
      </c>
      <c r="K14" s="287">
        <f>(IF($E$6="Male",COUNTIF($B14:$H14,"&gt;4"),COUNTIF($B14:$H14,"&gt;3")))</f>
        <v>0</v>
      </c>
      <c r="L14" s="247">
        <f>COUNTIF($B17:$H17,"&gt;0")</f>
        <v>0</v>
      </c>
      <c r="M14" s="288">
        <f>J14+L14</f>
        <v>0</v>
      </c>
      <c r="N14" s="293"/>
      <c r="O14" s="197"/>
      <c r="P14" s="142"/>
      <c r="Q14" s="142"/>
      <c r="S14" s="370" t="s">
        <v>547</v>
      </c>
      <c r="T14" s="371">
        <f>SUM($AI$104:$AI$194)/1000</f>
        <v>0</v>
      </c>
      <c r="U14" s="372" t="s">
        <v>537</v>
      </c>
      <c r="V14" s="142"/>
      <c r="W14" s="142"/>
      <c r="X14" s="142"/>
      <c r="Y14" s="142"/>
      <c r="Z14" s="142"/>
      <c r="AD14" s="142"/>
      <c r="AE14" s="142"/>
      <c r="AF14" s="142"/>
      <c r="AG14" s="142"/>
      <c r="AH14" s="142"/>
      <c r="AI14" s="142"/>
      <c r="AJ14" s="142"/>
      <c r="AK14" s="142"/>
      <c r="AL14" s="142"/>
      <c r="AM14" s="368" t="str">
        <f>IF(D77="","",IF(D77=0,0,1))</f>
        <v/>
      </c>
      <c r="AN14" s="369" t="str">
        <f ca="1">IF(OR(AM14="",AM14=1,AND(AM14=0,AM13=0)),"",MATCH(1,AM14:AM$145,0)-1-COUNTIF(AM14:OFFSET(AM14,MATCH(1,AM14:AM$145,0)-1,0),""))</f>
        <v/>
      </c>
      <c r="AO14" s="313">
        <v>10</v>
      </c>
      <c r="AP14" s="313">
        <f ca="1">COUNTIF($AN$5:$AN$145,10)</f>
        <v>0</v>
      </c>
      <c r="AQ14" s="319">
        <f t="shared" ca="1" si="1"/>
        <v>0</v>
      </c>
      <c r="AR14" s="326">
        <f ca="1">SUM(AP10:AP20)</f>
        <v>0</v>
      </c>
      <c r="AS14" s="321">
        <v>0</v>
      </c>
      <c r="AT14" s="322"/>
      <c r="AU14" s="323">
        <f ca="1">COUNTIF($AN$5:$AN$145,10)</f>
        <v>0</v>
      </c>
      <c r="AV14" s="142"/>
      <c r="AW14" s="143"/>
      <c r="AX14" s="143"/>
      <c r="AY14" s="143"/>
      <c r="AZ14" s="143"/>
      <c r="BA14" s="143"/>
      <c r="BB14" s="143"/>
      <c r="BC14" s="143"/>
      <c r="BD14" s="143"/>
      <c r="BE14" s="143"/>
      <c r="BF14" s="143"/>
      <c r="BG14" s="143"/>
      <c r="BH14" s="143"/>
      <c r="BI14" s="143"/>
      <c r="BJ14" s="143"/>
      <c r="BK14" s="143"/>
      <c r="BL14" s="143"/>
      <c r="BM14" s="143"/>
      <c r="BN14" s="143"/>
    </row>
    <row r="15" spans="1:66" ht="18" customHeight="1" thickBot="1">
      <c r="A15" s="85"/>
      <c r="B15" s="176">
        <f>+H12+1</f>
        <v>42806</v>
      </c>
      <c r="C15" s="5">
        <f t="shared" ref="C15:H15" si="3">+B15+1</f>
        <v>42807</v>
      </c>
      <c r="D15" s="5">
        <f t="shared" si="3"/>
        <v>42808</v>
      </c>
      <c r="E15" s="5">
        <f t="shared" si="3"/>
        <v>42809</v>
      </c>
      <c r="F15" s="5">
        <f t="shared" si="3"/>
        <v>42810</v>
      </c>
      <c r="G15" s="5">
        <f t="shared" si="3"/>
        <v>42811</v>
      </c>
      <c r="H15" s="271">
        <f t="shared" si="3"/>
        <v>42812</v>
      </c>
      <c r="I15" s="289"/>
      <c r="J15" s="245"/>
      <c r="K15" s="287"/>
      <c r="L15" s="245"/>
      <c r="M15" s="245"/>
      <c r="N15" s="293"/>
      <c r="O15" s="197"/>
      <c r="P15" s="142"/>
      <c r="Q15" s="142"/>
      <c r="R15" s="500" t="s">
        <v>136</v>
      </c>
      <c r="S15" s="500"/>
      <c r="T15" s="373">
        <f>MAX($B$11:$H$11,$B$14:$H$14,$B$17:$H$17,$B$20:$H$20,$B$23:$H$23,$B$32:$H$32,$B$35:$H$35,$B$38:$H$38,$B$41:$H$41,$B$44:$H$44,$B$53:$H$53,$B$56:$H$56,$B$59:$H$59,$B$62:$H$62,$B$65:$H$65,$B$74:$H$74,$B$77:$H$77,$B$80:$H$80,$B$83:$H$83,$B$86:$H86)</f>
        <v>0</v>
      </c>
      <c r="U15" s="374" t="s">
        <v>538</v>
      </c>
      <c r="V15" s="2"/>
      <c r="W15" s="142"/>
      <c r="X15" s="142"/>
      <c r="Y15" s="142"/>
      <c r="Z15" s="142"/>
      <c r="AD15" s="142"/>
      <c r="AE15" s="142"/>
      <c r="AF15" s="142"/>
      <c r="AG15" s="142"/>
      <c r="AH15" s="142"/>
      <c r="AI15" s="142"/>
      <c r="AJ15" s="142"/>
      <c r="AK15" s="142"/>
      <c r="AL15" s="142"/>
      <c r="AM15" s="368" t="str">
        <f>IF(E77="","",IF(E77=0,0,1))</f>
        <v/>
      </c>
      <c r="AN15" s="369" t="str">
        <f ca="1">IF(OR(AM15="",AM15=1,AND(AM15=0,AM14=0)),"",MATCH(1,AM15:AM$145,0)-1-COUNTIF(AM15:OFFSET(AM15,MATCH(1,AM15:AM$145,0)-1,0),""))</f>
        <v/>
      </c>
      <c r="AO15" s="313">
        <v>11</v>
      </c>
      <c r="AP15" s="313">
        <f ca="1">COUNTIF($AN$5:$AN$145,11)</f>
        <v>0</v>
      </c>
      <c r="AQ15" s="319">
        <f t="shared" ca="1" si="1"/>
        <v>0</v>
      </c>
      <c r="AR15" s="324"/>
      <c r="AS15" s="321">
        <v>1</v>
      </c>
      <c r="AT15" s="322"/>
      <c r="AU15" s="323">
        <f ca="1">COUNTIF($AN$5:$AN$145,11)</f>
        <v>0</v>
      </c>
      <c r="AV15" s="142"/>
      <c r="AW15" s="143"/>
      <c r="AX15" s="143"/>
      <c r="AY15" s="143"/>
      <c r="AZ15" s="143"/>
      <c r="BA15" s="143"/>
      <c r="BB15" s="143"/>
      <c r="BC15" s="143"/>
      <c r="BD15" s="143"/>
      <c r="BE15" s="143"/>
      <c r="BF15" s="143"/>
      <c r="BG15" s="143"/>
      <c r="BH15" s="143"/>
      <c r="BI15" s="143"/>
      <c r="BJ15" s="143"/>
      <c r="BK15" s="143"/>
      <c r="BL15" s="143"/>
      <c r="BM15" s="143"/>
      <c r="BN15" s="143"/>
    </row>
    <row r="16" spans="1:66" ht="18" customHeight="1" thickBot="1">
      <c r="A16" s="88"/>
      <c r="B16" s="189"/>
      <c r="C16" s="192"/>
      <c r="D16" s="192"/>
      <c r="E16" s="192"/>
      <c r="F16" s="192"/>
      <c r="G16" s="192"/>
      <c r="H16" s="268"/>
      <c r="I16" s="286">
        <f>SUM($B20:$H20)</f>
        <v>0</v>
      </c>
      <c r="J16" s="247">
        <f>COUNTIF($B20:$H20,"0")</f>
        <v>0</v>
      </c>
      <c r="K16" s="287"/>
      <c r="L16" s="247">
        <f>COUNTIF($B20:$H20,"&gt;0")</f>
        <v>0</v>
      </c>
      <c r="M16" s="288">
        <f>J16+L16</f>
        <v>0</v>
      </c>
      <c r="N16" s="293"/>
      <c r="O16" s="197"/>
      <c r="P16" s="142"/>
      <c r="Q16" s="142"/>
      <c r="S16" s="348" t="s">
        <v>526</v>
      </c>
      <c r="T16" s="375" t="e">
        <f>IF($T$12&lt;3,"SOCIAL",IF($T$12&lt;5,"MODERATE",IF($T$12&lt;10,"HEAVY","VERY HEAVY")))</f>
        <v>#DIV/0!</v>
      </c>
      <c r="U16" s="374" t="s">
        <v>539</v>
      </c>
      <c r="V16" s="142"/>
      <c r="W16" s="142"/>
      <c r="X16" s="142"/>
      <c r="Y16" s="142"/>
      <c r="Z16" s="142"/>
      <c r="AD16" s="142"/>
      <c r="AE16" s="142"/>
      <c r="AF16" s="142"/>
      <c r="AG16" s="142"/>
      <c r="AH16" s="142"/>
      <c r="AI16" s="142"/>
      <c r="AJ16" s="142"/>
      <c r="AK16" s="142"/>
      <c r="AL16" s="142"/>
      <c r="AM16" s="368" t="str">
        <f>IF(F77="","",IF(F77=0,0,1))</f>
        <v/>
      </c>
      <c r="AN16" s="369" t="str">
        <f ca="1">IF(OR(AM16="",AM16=1,AND(AM16=0,AM15=0)),"",MATCH(1,AM16:AM$145,0)-1-COUNTIF(AM16:OFFSET(AM16,MATCH(1,AM16:AM$145,0)-1,0),""))</f>
        <v/>
      </c>
      <c r="AO16" s="313">
        <v>12</v>
      </c>
      <c r="AP16" s="313">
        <f ca="1">COUNTIF($AN$5:$AN$145,12)</f>
        <v>0</v>
      </c>
      <c r="AQ16" s="319">
        <f t="shared" ca="1" si="1"/>
        <v>0</v>
      </c>
      <c r="AR16" s="325"/>
      <c r="AS16" s="321">
        <v>2</v>
      </c>
      <c r="AT16" s="322"/>
      <c r="AU16" s="323">
        <f ca="1">COUNTIF($AN$5:$AN$145,12)</f>
        <v>0</v>
      </c>
      <c r="AV16" s="142"/>
      <c r="AW16" s="143"/>
      <c r="AX16" s="143"/>
      <c r="AY16" s="143"/>
      <c r="AZ16" s="143"/>
      <c r="BA16" s="143"/>
      <c r="BB16" s="143"/>
      <c r="BC16" s="143"/>
      <c r="BD16" s="143"/>
      <c r="BE16" s="143"/>
      <c r="BF16" s="143"/>
      <c r="BG16" s="143"/>
      <c r="BH16" s="143"/>
      <c r="BI16" s="143"/>
      <c r="BJ16" s="143"/>
      <c r="BK16" s="143"/>
      <c r="BL16" s="143"/>
      <c r="BM16" s="143"/>
      <c r="BN16" s="143"/>
    </row>
    <row r="17" spans="1:66" ht="18" customHeight="1" thickBot="1">
      <c r="A17" s="85"/>
      <c r="B17" s="219"/>
      <c r="C17" s="220"/>
      <c r="D17" s="220"/>
      <c r="E17" s="220"/>
      <c r="F17" s="220"/>
      <c r="G17" s="220"/>
      <c r="H17" s="272"/>
      <c r="I17" s="289"/>
      <c r="J17" s="245"/>
      <c r="K17" s="287">
        <f>(IF($E$6="Male",COUNTIF($B17:$H17,"&gt;4"),COUNTIF($B17:$H17,"&gt;3")))</f>
        <v>0</v>
      </c>
      <c r="L17" s="245"/>
      <c r="M17" s="245"/>
      <c r="N17" s="293"/>
      <c r="O17" s="197"/>
      <c r="P17" s="142"/>
      <c r="Q17" s="142"/>
      <c r="R17" s="504" t="s">
        <v>502</v>
      </c>
      <c r="S17" s="504"/>
      <c r="T17" s="156">
        <f>SUM($J$10:$J$20,$J$26:$J$36,$J$42:$J$52,$J$58:$J$68)</f>
        <v>0</v>
      </c>
      <c r="U17" s="335" t="s">
        <v>540</v>
      </c>
      <c r="V17" s="156"/>
      <c r="W17" s="142"/>
      <c r="X17" s="142"/>
      <c r="Y17" s="142"/>
      <c r="Z17" s="142"/>
      <c r="AD17" s="142"/>
      <c r="AE17" s="142"/>
      <c r="AF17" s="142"/>
      <c r="AG17" s="142"/>
      <c r="AH17" s="142"/>
      <c r="AI17" s="142"/>
      <c r="AJ17" s="142"/>
      <c r="AK17" s="142"/>
      <c r="AL17" s="142"/>
      <c r="AM17" s="368" t="str">
        <f>IF(G77="","",IF(G77=0,0,1))</f>
        <v/>
      </c>
      <c r="AN17" s="369" t="str">
        <f ca="1">IF(OR(AM17="",AM17=1,AND(AM17=0,AM16=0)),"",MATCH(1,AM17:AM$145,0)-1-COUNTIF(AM17:OFFSET(AM17,MATCH(1,AM17:AM$145,0)-1,0),""))</f>
        <v/>
      </c>
      <c r="AO17" s="313">
        <v>13</v>
      </c>
      <c r="AP17" s="313">
        <f ca="1">COUNTIF($AN$5:$AN$145,13)</f>
        <v>0</v>
      </c>
      <c r="AQ17" s="319">
        <f t="shared" ca="1" si="1"/>
        <v>0</v>
      </c>
      <c r="AR17" s="324"/>
      <c r="AS17" s="321">
        <v>0</v>
      </c>
      <c r="AT17" s="322"/>
      <c r="AU17" s="323">
        <f ca="1">COUNTIF($AN$5:$AN$145,13)</f>
        <v>0</v>
      </c>
      <c r="AV17" s="142"/>
      <c r="AW17" s="143"/>
      <c r="AX17" s="143"/>
      <c r="AY17" s="143"/>
      <c r="AZ17" s="143"/>
      <c r="BA17" s="143"/>
      <c r="BB17" s="143"/>
      <c r="BC17" s="143"/>
      <c r="BD17" s="143"/>
      <c r="BE17" s="143"/>
      <c r="BF17" s="143"/>
      <c r="BG17" s="143"/>
      <c r="BH17" s="143"/>
      <c r="BI17" s="143"/>
      <c r="BJ17" s="143"/>
      <c r="BK17" s="143"/>
      <c r="BL17" s="143"/>
      <c r="BM17" s="143"/>
      <c r="BN17" s="143"/>
    </row>
    <row r="18" spans="1:66" ht="18" customHeight="1" thickBot="1">
      <c r="A18" s="88"/>
      <c r="B18" s="176">
        <f>+H15+1</f>
        <v>42813</v>
      </c>
      <c r="C18" s="5">
        <f t="shared" ref="C18:H18" si="4">+B18+1</f>
        <v>42814</v>
      </c>
      <c r="D18" s="5">
        <f t="shared" si="4"/>
        <v>42815</v>
      </c>
      <c r="E18" s="5">
        <f t="shared" si="4"/>
        <v>42816</v>
      </c>
      <c r="F18" s="5">
        <f t="shared" si="4"/>
        <v>42817</v>
      </c>
      <c r="G18" s="5">
        <f t="shared" si="4"/>
        <v>42818</v>
      </c>
      <c r="H18" s="271">
        <f t="shared" si="4"/>
        <v>42819</v>
      </c>
      <c r="I18" s="286">
        <f>SUM($B23:$H23)</f>
        <v>0</v>
      </c>
      <c r="J18" s="247">
        <f>COUNTIF($B23:$H23,"0")</f>
        <v>0</v>
      </c>
      <c r="K18" s="287"/>
      <c r="L18" s="247">
        <f>COUNTIF($B23:$H23,"&gt;0")</f>
        <v>0</v>
      </c>
      <c r="M18" s="288">
        <f>J18+L18</f>
        <v>0</v>
      </c>
      <c r="N18" s="293"/>
      <c r="O18" s="197"/>
      <c r="P18" s="142"/>
      <c r="Q18" s="142"/>
      <c r="S18" s="348" t="s">
        <v>527</v>
      </c>
      <c r="T18" s="376" t="str">
        <f ca="1">IF(($AP$5+$AP$6)&gt;SUM($AP$7:$AP$20),"REGULAR",IF(MAX($AP$5:$AP$20)&gt;=(SUM($AP$5:$AP$20)-MAX($AP$5:$AP$20)),"NON-weekly BINGER",IF(($AP$7+$AP$8)&gt;($AP$5+$AP$6)+SUM($AP$9:$AP$20),"IRregular",IF(2*($AP$9+$AP$10)&gt;(SUM($AP5:$AP$8)+SUM($AP$11:$AP$20)),"WEEKLY BINGER","UNCERTAIN"))))</f>
        <v>NON-weekly BINGER</v>
      </c>
      <c r="U18" s="377" t="s">
        <v>541</v>
      </c>
      <c r="V18" s="142"/>
      <c r="W18" s="142"/>
      <c r="X18" s="142"/>
      <c r="Y18" s="142"/>
      <c r="Z18" s="142"/>
      <c r="AD18" s="142"/>
      <c r="AE18" s="142"/>
      <c r="AF18" s="142"/>
      <c r="AG18" s="142"/>
      <c r="AH18" s="142"/>
      <c r="AI18" s="142"/>
      <c r="AJ18" s="142"/>
      <c r="AK18" s="142"/>
      <c r="AL18" s="142"/>
      <c r="AM18" s="368" t="str">
        <f>IF(H77="","",IF(H77=0,0,1))</f>
        <v/>
      </c>
      <c r="AN18" s="369" t="str">
        <f ca="1">IF(OR(AM18="",AM18=1,AND(AM18=0,AM17=0)),"",MATCH(1,AM18:AM$145,0)-1-COUNTIF(AM18:OFFSET(AM18,MATCH(1,AM18:AM$145,0)-1,0),""))</f>
        <v/>
      </c>
      <c r="AO18" s="313">
        <v>14</v>
      </c>
      <c r="AP18" s="313">
        <f ca="1">COUNTIF($AN$5:$AN$145,14)</f>
        <v>0</v>
      </c>
      <c r="AQ18" s="319">
        <f t="shared" ca="1" si="1"/>
        <v>0</v>
      </c>
      <c r="AR18" s="325"/>
      <c r="AS18" s="321">
        <v>0</v>
      </c>
      <c r="AT18" s="322"/>
      <c r="AU18" s="323">
        <f ca="1">COUNTIF($AN$5:$AN$145,14)</f>
        <v>0</v>
      </c>
      <c r="AV18" s="142"/>
      <c r="AW18" s="143"/>
      <c r="AX18" s="143"/>
      <c r="AY18" s="143"/>
      <c r="AZ18" s="143"/>
      <c r="BA18" s="143"/>
      <c r="BB18" s="143"/>
      <c r="BC18" s="143"/>
      <c r="BD18" s="143"/>
      <c r="BE18" s="143"/>
      <c r="BF18" s="143"/>
      <c r="BG18" s="143"/>
      <c r="BH18" s="143"/>
      <c r="BI18" s="143"/>
      <c r="BJ18" s="143"/>
      <c r="BK18" s="143"/>
      <c r="BL18" s="143"/>
      <c r="BM18" s="143"/>
      <c r="BN18" s="143"/>
    </row>
    <row r="19" spans="1:66" ht="18" customHeight="1">
      <c r="A19" s="85"/>
      <c r="B19" s="189"/>
      <c r="C19" s="192"/>
      <c r="D19" s="192"/>
      <c r="E19" s="192"/>
      <c r="F19" s="192"/>
      <c r="G19" s="192"/>
      <c r="H19" s="268"/>
      <c r="I19" s="289"/>
      <c r="J19" s="245"/>
      <c r="K19" s="287"/>
      <c r="L19" s="245"/>
      <c r="M19" s="245"/>
      <c r="N19" s="293"/>
      <c r="O19" s="197"/>
      <c r="P19" s="142"/>
      <c r="Q19" s="142"/>
      <c r="S19" s="348" t="s">
        <v>573</v>
      </c>
      <c r="T19" s="350">
        <f>Lifetime!H26</f>
        <v>0</v>
      </c>
      <c r="V19" s="142"/>
      <c r="W19" s="142"/>
      <c r="X19" s="142"/>
      <c r="Y19" s="142"/>
      <c r="Z19" s="142"/>
      <c r="AD19" s="142"/>
      <c r="AE19" s="142"/>
      <c r="AF19" s="142"/>
      <c r="AG19" s="142"/>
      <c r="AH19" s="142"/>
      <c r="AI19" s="142"/>
      <c r="AJ19" s="142"/>
      <c r="AK19" s="142"/>
      <c r="AL19" s="142"/>
      <c r="AM19" s="368" t="str">
        <f>IF(B80="","",IF(B80=0,0,1))</f>
        <v/>
      </c>
      <c r="AN19" s="369" t="str">
        <f ca="1">IF(OR(AM19="",AM19=1,AND(AM19=0,AM18=0)),"",MATCH(1,AM19:AM$145,0)-1-COUNTIF(AM19:OFFSET(AM19,MATCH(1,AM19:AM$145,0)-1,0),""))</f>
        <v/>
      </c>
      <c r="AO19" s="313">
        <v>15</v>
      </c>
      <c r="AP19" s="313">
        <f ca="1">COUNTIF($AN$5:$AN$145,15)</f>
        <v>0</v>
      </c>
      <c r="AQ19" s="319">
        <f t="shared" ca="1" si="1"/>
        <v>0</v>
      </c>
      <c r="AR19" s="324"/>
      <c r="AS19" s="321">
        <v>0</v>
      </c>
      <c r="AT19" s="322"/>
      <c r="AU19" s="323">
        <f ca="1">COUNTIF($AN$5:$AN$145,15)</f>
        <v>0</v>
      </c>
      <c r="AV19" s="142"/>
      <c r="AW19" s="143"/>
      <c r="AX19" s="143"/>
      <c r="AY19" s="143"/>
      <c r="AZ19" s="143"/>
      <c r="BA19" s="143"/>
      <c r="BB19" s="143"/>
      <c r="BC19" s="143"/>
      <c r="BD19" s="143"/>
      <c r="BE19" s="143"/>
      <c r="BF19" s="143"/>
      <c r="BG19" s="143"/>
      <c r="BH19" s="143"/>
      <c r="BI19" s="143"/>
      <c r="BJ19" s="143"/>
      <c r="BK19" s="143"/>
      <c r="BL19" s="143"/>
      <c r="BM19" s="143"/>
      <c r="BN19" s="143"/>
    </row>
    <row r="20" spans="1:66" ht="18" customHeight="1">
      <c r="A20" s="88"/>
      <c r="B20" s="219"/>
      <c r="C20" s="220"/>
      <c r="D20" s="220"/>
      <c r="E20" s="220"/>
      <c r="F20" s="220"/>
      <c r="G20" s="220"/>
      <c r="H20" s="272"/>
      <c r="I20" s="290">
        <v>0</v>
      </c>
      <c r="J20" s="248">
        <v>0</v>
      </c>
      <c r="K20" s="248">
        <f>(IF($E$6="Male",COUNTIF($B20:$H20,"&gt;4"),COUNTIF($B20:$H20,"&gt;3")))</f>
        <v>0</v>
      </c>
      <c r="L20" s="248">
        <v>0</v>
      </c>
      <c r="M20" s="248">
        <v>0</v>
      </c>
      <c r="N20" s="293"/>
      <c r="O20" s="197"/>
      <c r="P20" s="142"/>
      <c r="Q20" s="142"/>
      <c r="S20" s="348" t="s">
        <v>574</v>
      </c>
      <c r="T20" s="483" t="e">
        <f>Lifetime!I26</f>
        <v>#DIV/0!</v>
      </c>
      <c r="V20" s="242"/>
      <c r="W20" s="142"/>
      <c r="X20" s="142"/>
      <c r="Y20" s="142"/>
      <c r="Z20" s="142"/>
      <c r="AD20" s="142"/>
      <c r="AE20" s="142"/>
      <c r="AF20" s="142"/>
      <c r="AG20" s="142"/>
      <c r="AH20" s="142"/>
      <c r="AI20" s="142"/>
      <c r="AJ20" s="142"/>
      <c r="AK20" s="142"/>
      <c r="AL20" s="142"/>
      <c r="AM20" s="368" t="str">
        <f>IF(C80="","",IF(C80=0,0,1))</f>
        <v/>
      </c>
      <c r="AN20" s="369" t="str">
        <f ca="1">IF(OR(AM20="",AM20=1,AND(AM20=0,AM19=0)),"",MATCH(1,AM20:AM$145,0)-1-COUNTIF(AM20:OFFSET(AM20,MATCH(1,AM20:AM$145,0)-1,0),""))</f>
        <v/>
      </c>
      <c r="AO20" s="313" t="s">
        <v>499</v>
      </c>
      <c r="AP20" s="313">
        <f ca="1">COUNTIF($AN$5:$AN$145,OR(16,17,18,19,20,21,22,23,24,25,26,27,28,29,30,31,32,33,34,35,36,37,38,39,40,41,42,43,44,45,46,47,48,49,50,51,52,53,54,55,56,57,58,59,60))</f>
        <v>0</v>
      </c>
      <c r="AQ20" s="319"/>
      <c r="AR20" s="325"/>
      <c r="AS20" s="321">
        <v>0</v>
      </c>
      <c r="AT20" s="322"/>
      <c r="AU20" s="323">
        <f ca="1">COUNTIF($AN$5:$AN$145,OR(16,17,18,19,20,21,22,23,24,25,26,27,28,29,30,31,32,33,34,35,36,37,38,39,40,41,42,43,44,45,46,47,48,49,50,51,52,53,54,55,56,57,58,59,60))</f>
        <v>0</v>
      </c>
      <c r="AV20" s="142"/>
      <c r="AW20" s="143"/>
      <c r="AX20" s="143"/>
      <c r="AY20" s="143"/>
      <c r="AZ20" s="143"/>
      <c r="BA20" s="143"/>
      <c r="BB20" s="143"/>
      <c r="BC20" s="143"/>
      <c r="BD20" s="143"/>
      <c r="BE20" s="143"/>
      <c r="BF20" s="143"/>
      <c r="BG20" s="143"/>
      <c r="BH20" s="143"/>
      <c r="BI20" s="143"/>
      <c r="BJ20" s="143"/>
      <c r="BK20" s="143"/>
      <c r="BL20" s="143"/>
      <c r="BM20" s="143"/>
      <c r="BN20" s="143"/>
    </row>
    <row r="21" spans="1:66" s="2" customFormat="1" ht="18" customHeight="1" thickBot="1">
      <c r="A21" s="84"/>
      <c r="B21" s="5">
        <f>(MONTH($B18+7)=MONTH($B6))*($B18+7)</f>
        <v>42820</v>
      </c>
      <c r="C21" s="5">
        <f t="shared" ref="C21:H21" si="5">(MONTH(C18+7)=MONTH($B6))*(C18+7)</f>
        <v>42821</v>
      </c>
      <c r="D21" s="5">
        <f t="shared" si="5"/>
        <v>42822</v>
      </c>
      <c r="E21" s="5">
        <f t="shared" si="5"/>
        <v>42823</v>
      </c>
      <c r="F21" s="5">
        <f t="shared" si="5"/>
        <v>42824</v>
      </c>
      <c r="G21" s="5">
        <f t="shared" si="5"/>
        <v>42825</v>
      </c>
      <c r="H21" s="273">
        <f t="shared" si="5"/>
        <v>0</v>
      </c>
      <c r="I21" s="289"/>
      <c r="J21" s="283"/>
      <c r="K21" s="284"/>
      <c r="L21" s="283"/>
      <c r="M21" s="283"/>
      <c r="N21" s="291"/>
      <c r="O21" s="196"/>
      <c r="P21" s="141"/>
      <c r="Q21" s="142"/>
      <c r="S21" s="348" t="s">
        <v>575</v>
      </c>
      <c r="T21" s="483" t="e">
        <f>Lifetime!J26</f>
        <v>#DIV/0!</v>
      </c>
      <c r="V21" s="141"/>
      <c r="W21" s="141"/>
      <c r="X21" s="141"/>
      <c r="Y21" s="141"/>
      <c r="Z21" s="141"/>
      <c r="AA21" s="141"/>
      <c r="AB21" s="153"/>
      <c r="AC21" s="13"/>
      <c r="AD21" s="141"/>
      <c r="AE21" s="141"/>
      <c r="AF21" s="141"/>
      <c r="AG21" s="141"/>
      <c r="AH21" s="141"/>
      <c r="AI21" s="141"/>
      <c r="AJ21" s="141"/>
      <c r="AK21" s="141"/>
      <c r="AL21" s="141"/>
      <c r="AM21" s="368" t="str">
        <f>IF(D80="","",IF(D80=0,0,1))</f>
        <v/>
      </c>
      <c r="AN21" s="378" t="str">
        <f ca="1">IF(OR(AM21="",AM21=1,AND(AM21=0,AM20=0)),"",MATCH(1,AM21:AM$145,0)-1-COUNTIF(AM21:OFFSET(AM21,MATCH(1,AM21:AM$145,0)-1,0),""))</f>
        <v/>
      </c>
      <c r="AO21" s="327"/>
      <c r="AP21" s="327" t="s">
        <v>500</v>
      </c>
      <c r="AQ21" s="327">
        <f ca="1">SUM(AQ5:AQ19)</f>
        <v>0</v>
      </c>
      <c r="AR21" s="328"/>
      <c r="AS21" s="329"/>
      <c r="AT21" s="330"/>
      <c r="AU21" s="331"/>
      <c r="AV21" s="142"/>
      <c r="AW21" s="142"/>
      <c r="AX21" s="142"/>
      <c r="AY21" s="142"/>
      <c r="AZ21" s="142"/>
      <c r="BA21" s="142"/>
      <c r="BB21" s="142"/>
      <c r="BC21" s="142"/>
      <c r="BD21" s="142"/>
      <c r="BE21" s="142"/>
      <c r="BF21" s="142"/>
      <c r="BG21" s="142"/>
      <c r="BH21" s="142"/>
      <c r="BI21" s="142"/>
      <c r="BJ21" s="142"/>
      <c r="BK21" s="142"/>
      <c r="BL21" s="142"/>
      <c r="BM21" s="142"/>
      <c r="BN21" s="142"/>
    </row>
    <row r="22" spans="1:66" s="2" customFormat="1" ht="18" customHeight="1">
      <c r="A22" s="86"/>
      <c r="B22" s="192"/>
      <c r="C22" s="192"/>
      <c r="D22" s="192"/>
      <c r="E22" s="192"/>
      <c r="F22" s="192"/>
      <c r="G22" s="192"/>
      <c r="H22" s="268"/>
      <c r="I22" s="292"/>
      <c r="J22" s="283"/>
      <c r="K22" s="284"/>
      <c r="L22" s="283"/>
      <c r="M22" s="283"/>
      <c r="N22" s="293"/>
      <c r="O22" s="196"/>
      <c r="P22" s="142"/>
      <c r="Q22" s="142"/>
      <c r="R22" s="500" t="s">
        <v>576</v>
      </c>
      <c r="S22" s="500"/>
      <c r="T22" s="483" t="e">
        <f>Lifetime!L26</f>
        <v>#DIV/0!</v>
      </c>
      <c r="U22" s="244"/>
      <c r="V22" s="142"/>
      <c r="W22" s="142"/>
      <c r="X22" s="142"/>
      <c r="Y22" s="142"/>
      <c r="Z22" s="142"/>
      <c r="AA22" s="142"/>
      <c r="AB22" s="179"/>
      <c r="AD22" s="142"/>
      <c r="AE22" s="142"/>
      <c r="AF22" s="142"/>
      <c r="AG22" s="142"/>
      <c r="AH22" s="142"/>
      <c r="AI22" s="142"/>
      <c r="AJ22" s="142"/>
      <c r="AK22" s="142"/>
      <c r="AL22" s="142"/>
      <c r="AM22" s="368" t="str">
        <f>IF(E80="","",IF(E80=0,0,1))</f>
        <v/>
      </c>
      <c r="AN22" s="378" t="str">
        <f ca="1">IF(OR(AM22="",AM22=1,AND(AM22=0,AM21=0)),"",MATCH(1,AM22:AM$145,0)-1-COUNTIF(AM22:OFFSET(AM22,MATCH(1,AM22:AM$145,0)-1,0),""))</f>
        <v/>
      </c>
      <c r="AO22" s="242"/>
      <c r="AP22" s="144"/>
      <c r="AQ22" s="242"/>
      <c r="AR22" s="142"/>
      <c r="AS22" s="242"/>
      <c r="AT22" s="142"/>
      <c r="AU22" s="142"/>
      <c r="AV22" s="142"/>
      <c r="AW22" s="142"/>
      <c r="AX22" s="142"/>
      <c r="AY22" s="142"/>
      <c r="AZ22" s="142"/>
      <c r="BA22" s="142"/>
      <c r="BB22" s="142"/>
      <c r="BC22" s="142"/>
      <c r="BD22" s="142"/>
      <c r="BE22" s="142"/>
      <c r="BF22" s="142"/>
      <c r="BG22" s="142"/>
      <c r="BH22" s="142"/>
      <c r="BI22" s="142"/>
      <c r="BJ22" s="142"/>
      <c r="BK22" s="142"/>
      <c r="BL22" s="142"/>
      <c r="BM22" s="142"/>
      <c r="BN22" s="142"/>
    </row>
    <row r="23" spans="1:66" s="2" customFormat="1" ht="18" customHeight="1">
      <c r="A23" s="86"/>
      <c r="B23" s="220"/>
      <c r="C23" s="220"/>
      <c r="D23" s="220"/>
      <c r="E23" s="220"/>
      <c r="F23" s="220"/>
      <c r="G23" s="220"/>
      <c r="H23" s="272"/>
      <c r="I23" s="294"/>
      <c r="J23" s="283"/>
      <c r="K23" s="284">
        <f>(IF($E$6="Male",COUNTIF($B23:$H23,"&gt;4"),COUNTIF($B23:$H23,"&gt;3")))</f>
        <v>0</v>
      </c>
      <c r="L23" s="283"/>
      <c r="M23" s="283"/>
      <c r="N23" s="293"/>
      <c r="O23" s="196"/>
      <c r="P23" s="142"/>
      <c r="Q23" s="142"/>
      <c r="S23" s="484" t="s">
        <v>625</v>
      </c>
      <c r="T23" s="483" t="e">
        <f>T20*12/1000</f>
        <v>#DIV/0!</v>
      </c>
      <c r="V23" s="142"/>
      <c r="W23" s="142"/>
      <c r="X23" s="142"/>
      <c r="Y23" s="142"/>
      <c r="Z23" s="142"/>
      <c r="AA23" s="142"/>
      <c r="AB23" s="179"/>
      <c r="AD23" s="142"/>
      <c r="AE23" s="142"/>
      <c r="AF23" s="142"/>
      <c r="AG23" s="142"/>
      <c r="AH23" s="142"/>
      <c r="AI23" s="142"/>
      <c r="AJ23" s="142"/>
      <c r="AK23" s="142"/>
      <c r="AL23" s="142"/>
      <c r="AM23" s="368" t="str">
        <f>IF(F80="","",IF(F80=0,0,1))</f>
        <v/>
      </c>
      <c r="AN23" s="378" t="str">
        <f ca="1">IF(OR(AM23="",AM23=1,AND(AM23=0,AM22=0)),"",MATCH(1,AM23:AM$145,0)-1-COUNTIF(AM23:OFFSET(AM23,MATCH(1,AM23:AM$145,0)-1,0),""))</f>
        <v/>
      </c>
      <c r="AO23" s="242"/>
      <c r="AP23" s="144"/>
      <c r="AQ23" s="242"/>
      <c r="AR23" s="142"/>
      <c r="AS23" s="242"/>
      <c r="AT23" s="142"/>
      <c r="AU23" s="142"/>
      <c r="AV23" s="142"/>
      <c r="AW23" s="142"/>
      <c r="AX23" s="142"/>
      <c r="AY23" s="142"/>
      <c r="AZ23" s="142"/>
      <c r="BA23" s="142"/>
      <c r="BB23" s="142"/>
      <c r="BC23" s="142"/>
      <c r="BD23" s="142"/>
      <c r="BE23" s="142"/>
      <c r="BF23" s="142"/>
      <c r="BG23" s="142"/>
      <c r="BH23" s="142"/>
      <c r="BI23" s="142"/>
      <c r="BJ23" s="142"/>
      <c r="BK23" s="142"/>
      <c r="BL23" s="142"/>
      <c r="BM23" s="142"/>
      <c r="BN23" s="142"/>
    </row>
    <row r="24" spans="1:66" s="2" customFormat="1" ht="18" customHeight="1">
      <c r="A24" s="86"/>
      <c r="B24" s="191">
        <f>(MONTH($B18+14)=MONTH($B6))*($B18+14)</f>
        <v>0</v>
      </c>
      <c r="C24" s="191">
        <f t="shared" ref="C24:H24" si="6">(MONTH(C18+14)=MONTH($B6))*(C18+14)</f>
        <v>0</v>
      </c>
      <c r="D24" s="191">
        <f t="shared" si="6"/>
        <v>0</v>
      </c>
      <c r="E24" s="191">
        <f t="shared" si="6"/>
        <v>0</v>
      </c>
      <c r="F24" s="191">
        <f t="shared" si="6"/>
        <v>0</v>
      </c>
      <c r="G24" s="191">
        <f t="shared" si="6"/>
        <v>0</v>
      </c>
      <c r="H24" s="274">
        <f t="shared" si="6"/>
        <v>0</v>
      </c>
      <c r="I24" s="282">
        <f>B27</f>
        <v>42767</v>
      </c>
      <c r="J24" s="283"/>
      <c r="K24" s="284"/>
      <c r="L24" s="283"/>
      <c r="M24" s="283"/>
      <c r="N24" s="293"/>
      <c r="O24" s="196"/>
      <c r="P24" s="142"/>
      <c r="Q24" s="142"/>
      <c r="AA24" s="142"/>
      <c r="AB24" s="179"/>
      <c r="AD24" s="142"/>
      <c r="AE24" s="142"/>
      <c r="AF24" s="142"/>
      <c r="AG24" s="142"/>
      <c r="AH24" s="142"/>
      <c r="AI24" s="142"/>
      <c r="AJ24" s="142"/>
      <c r="AK24" s="142"/>
      <c r="AL24" s="142"/>
      <c r="AM24" s="368" t="str">
        <f>IF(G80="","",IF(G80=0,0,1))</f>
        <v/>
      </c>
      <c r="AN24" s="378" t="str">
        <f ca="1">IF(OR(AM24="",AM24=1,AND(AM24=0,AM23=0)),"",MATCH(1,AM24:AM$145,0)-1-COUNTIF(AM24:OFFSET(AM24,MATCH(1,AM24:AM$145,0)-1,0),""))</f>
        <v/>
      </c>
      <c r="AO24" s="242"/>
      <c r="AP24" s="144"/>
      <c r="AQ24" s="242"/>
      <c r="AR24" s="142"/>
      <c r="AS24" s="242"/>
      <c r="AT24" s="142"/>
      <c r="AU24" s="142"/>
      <c r="AV24" s="142"/>
      <c r="AW24" s="142"/>
      <c r="AX24" s="142"/>
      <c r="AY24" s="142"/>
      <c r="AZ24" s="142"/>
      <c r="BA24" s="142"/>
      <c r="BB24" s="142"/>
      <c r="BC24" s="142"/>
      <c r="BD24" s="142"/>
      <c r="BE24" s="142"/>
      <c r="BF24" s="142"/>
      <c r="BG24" s="142"/>
      <c r="BH24" s="142"/>
      <c r="BI24" s="142"/>
      <c r="BJ24" s="142"/>
      <c r="BK24" s="142"/>
      <c r="BL24" s="142"/>
      <c r="BM24" s="142"/>
      <c r="BN24" s="142"/>
    </row>
    <row r="25" spans="1:66" ht="18" customHeight="1">
      <c r="B25" s="190"/>
      <c r="C25" s="190"/>
      <c r="D25" s="190"/>
      <c r="E25" s="190"/>
      <c r="F25" s="190"/>
      <c r="G25" s="190"/>
      <c r="H25" s="275"/>
      <c r="I25" s="285" t="s">
        <v>240</v>
      </c>
      <c r="J25" s="245" t="s">
        <v>242</v>
      </c>
      <c r="K25" s="246"/>
      <c r="L25" s="245" t="s">
        <v>241</v>
      </c>
      <c r="M25" s="245" t="s">
        <v>243</v>
      </c>
      <c r="N25" s="293"/>
      <c r="O25" s="197"/>
      <c r="P25" s="142"/>
      <c r="Q25" s="142"/>
      <c r="V25" s="514" t="s">
        <v>353</v>
      </c>
      <c r="W25" s="515"/>
      <c r="AD25" s="142"/>
      <c r="AE25" s="142"/>
      <c r="AF25" s="142"/>
      <c r="AG25" s="142"/>
      <c r="AH25" s="142"/>
      <c r="AI25" s="142"/>
      <c r="AJ25" s="142"/>
      <c r="AK25" s="142"/>
      <c r="AL25" s="142"/>
      <c r="AM25" s="368" t="str">
        <f>IF(H80="","",IF(H80=0,0,1))</f>
        <v/>
      </c>
      <c r="AN25" s="378" t="str">
        <f ca="1">IF(OR(AM25="",AM25=1,AND(AM25=0,AM24=0)),"",MATCH(1,AM25:AM$145,0)-1-COUNTIF(AM25:OFFSET(AM25,MATCH(1,AM25:AM$145,0)-1,0),""))</f>
        <v/>
      </c>
      <c r="AO25" s="242"/>
      <c r="AP25" s="144"/>
      <c r="AQ25" s="242"/>
      <c r="AR25" s="142" t="s">
        <v>164</v>
      </c>
      <c r="AS25" s="242"/>
      <c r="AT25" s="142"/>
      <c r="AU25" s="142"/>
      <c r="AV25" s="142"/>
      <c r="AW25" s="143"/>
      <c r="AX25" s="143"/>
      <c r="AY25" s="143"/>
      <c r="AZ25" s="143"/>
      <c r="BA25" s="143"/>
      <c r="BB25" s="143"/>
      <c r="BC25" s="143"/>
      <c r="BD25" s="143"/>
      <c r="BE25" s="143"/>
      <c r="BF25" s="143"/>
      <c r="BG25" s="143"/>
      <c r="BH25" s="143"/>
      <c r="BI25" s="143"/>
      <c r="BJ25" s="143"/>
      <c r="BK25" s="143"/>
      <c r="BL25" s="143"/>
      <c r="BM25" s="143"/>
      <c r="BN25" s="143"/>
    </row>
    <row r="26" spans="1:66" ht="18" customHeight="1">
      <c r="B26" s="13"/>
      <c r="C26" s="13"/>
      <c r="D26" s="13"/>
      <c r="E26" s="13"/>
      <c r="F26" s="13"/>
      <c r="G26" s="13"/>
      <c r="H26" s="13"/>
      <c r="I26" s="286">
        <f>SUM($B32:$H32)</f>
        <v>0</v>
      </c>
      <c r="J26" s="247">
        <f>COUNTIF($B32:$H32,"0")</f>
        <v>0</v>
      </c>
      <c r="K26" s="287"/>
      <c r="L26" s="247">
        <f>COUNTIF($B32:$H32,"&gt;0")</f>
        <v>0</v>
      </c>
      <c r="M26" s="288">
        <f>J26+L26</f>
        <v>0</v>
      </c>
      <c r="N26" s="293"/>
      <c r="O26" s="197"/>
      <c r="P26" s="142"/>
      <c r="Q26" s="142"/>
      <c r="S26" s="379"/>
      <c r="V26" s="380" t="s">
        <v>90</v>
      </c>
      <c r="W26" s="381">
        <f>SUM($C11,$C14,$C17,$C20,$C23,$C32,$C35,$C38,$C41,$C44,$C53,$C56,$C59,$C62,$C65,$C74,$C77,$C80,$C83,$C86)</f>
        <v>0</v>
      </c>
      <c r="AD26" s="142"/>
      <c r="AE26" s="142"/>
      <c r="AF26" s="142"/>
      <c r="AG26" s="142"/>
      <c r="AH26" s="142"/>
      <c r="AI26" s="142"/>
      <c r="AJ26" s="142"/>
      <c r="AK26" s="142"/>
      <c r="AL26" s="142"/>
      <c r="AM26" s="368" t="str">
        <f>IF(B83="","",IF(B83=0,0,1))</f>
        <v/>
      </c>
      <c r="AN26" s="378" t="str">
        <f ca="1">IF(OR(AM26="",AM26=1,AND(AM26=0,AM25=0)),"",MATCH(1,AM26:AM$145,0)-1-COUNTIF(AM26:OFFSET(AM26,MATCH(1,AM26:AM$145,0)-1,0),""))</f>
        <v/>
      </c>
      <c r="AO26" s="242"/>
      <c r="AP26" s="144"/>
      <c r="AQ26" s="242"/>
      <c r="AR26" s="142"/>
      <c r="AS26" s="242"/>
      <c r="AT26" s="142"/>
      <c r="AU26" s="142"/>
      <c r="AV26" s="142"/>
      <c r="AW26" s="143"/>
      <c r="AX26" s="143"/>
      <c r="AY26" s="143"/>
      <c r="AZ26" s="143"/>
      <c r="BA26" s="143"/>
      <c r="BB26" s="143"/>
      <c r="BC26" s="143"/>
      <c r="BD26" s="143"/>
      <c r="BE26" s="143"/>
      <c r="BF26" s="143"/>
      <c r="BG26" s="143"/>
      <c r="BH26" s="143"/>
      <c r="BI26" s="143"/>
      <c r="BJ26" s="143"/>
      <c r="BK26" s="143"/>
      <c r="BL26" s="143"/>
      <c r="BM26" s="143"/>
      <c r="BN26" s="143"/>
    </row>
    <row r="27" spans="1:66" ht="20.25" customHeight="1">
      <c r="B27" s="487">
        <f>DATE(YEAR($B6),MONTH($B6)-1,1)</f>
        <v>42767</v>
      </c>
      <c r="C27" s="488"/>
      <c r="D27" s="489"/>
      <c r="E27" s="13"/>
      <c r="F27" s="13"/>
      <c r="G27" s="13"/>
      <c r="H27" s="13"/>
      <c r="I27" s="289"/>
      <c r="J27" s="245"/>
      <c r="K27" s="246"/>
      <c r="L27" s="245"/>
      <c r="M27" s="245"/>
      <c r="N27" s="293"/>
      <c r="O27" s="197"/>
      <c r="P27" s="142"/>
      <c r="Q27" s="142"/>
      <c r="V27" s="380" t="s">
        <v>91</v>
      </c>
      <c r="W27" s="382">
        <f>SUM($D11,$D14,$D17,$D20,$D23,$D32,$D35,$D38,$D41,$D44,$D53,$D56,$D59,$D62,$D65,$D74,$D77,$D80,$D83,$D86)</f>
        <v>0</v>
      </c>
      <c r="AD27" s="142"/>
      <c r="AE27" s="142"/>
      <c r="AF27" s="142"/>
      <c r="AG27" s="142"/>
      <c r="AH27" s="142"/>
      <c r="AI27" s="142"/>
      <c r="AJ27" s="142"/>
      <c r="AK27" s="142"/>
      <c r="AL27" s="142"/>
      <c r="AM27" s="368" t="str">
        <f>IF(C83="","",IF(C83=0,0,1))</f>
        <v/>
      </c>
      <c r="AN27" s="378" t="str">
        <f ca="1">IF(OR(AM27="",AM27=1,AND(AM27=0,AM26=0)),"",MATCH(1,AM27:AM$145,0)-1-COUNTIF(AM27:OFFSET(AM27,MATCH(1,AM27:AM$145,0)-1,0),""))</f>
        <v/>
      </c>
      <c r="AO27" s="242"/>
      <c r="AP27" s="144"/>
      <c r="AQ27" s="242"/>
      <c r="AR27" s="142"/>
      <c r="AS27" s="242"/>
      <c r="AT27" s="142"/>
      <c r="AU27" s="142"/>
      <c r="AV27" s="142"/>
      <c r="AW27" s="143"/>
      <c r="AX27" s="143"/>
      <c r="AY27" s="143"/>
      <c r="AZ27" s="143"/>
      <c r="BA27" s="143"/>
      <c r="BB27" s="143"/>
      <c r="BC27" s="143"/>
      <c r="BD27" s="143"/>
      <c r="BE27" s="143"/>
      <c r="BF27" s="143"/>
      <c r="BG27" s="143"/>
      <c r="BH27" s="143"/>
      <c r="BI27" s="143"/>
      <c r="BJ27" s="143"/>
      <c r="BK27" s="143"/>
      <c r="BL27" s="143"/>
      <c r="BM27" s="143"/>
      <c r="BN27" s="143"/>
    </row>
    <row r="28" spans="1:66" ht="15.75" thickBot="1">
      <c r="B28" s="13"/>
      <c r="C28" s="13"/>
      <c r="D28" s="13"/>
      <c r="E28" s="13"/>
      <c r="F28" s="13"/>
      <c r="G28" s="13"/>
      <c r="H28" s="13"/>
      <c r="I28" s="286">
        <f>SUM($B35:$H35)</f>
        <v>0</v>
      </c>
      <c r="J28" s="247">
        <f>COUNTIF($B35:$H35,"0")</f>
        <v>0</v>
      </c>
      <c r="K28" s="287"/>
      <c r="L28" s="247">
        <f>COUNTIF($B35:$H35,"&gt;0")</f>
        <v>0</v>
      </c>
      <c r="M28" s="288">
        <f>J28+L28</f>
        <v>0</v>
      </c>
      <c r="N28" s="293"/>
      <c r="O28" s="197"/>
      <c r="P28" s="142"/>
      <c r="Q28" s="142"/>
      <c r="V28" s="380" t="s">
        <v>92</v>
      </c>
      <c r="W28" s="382">
        <f>SUM($E11,$E14,$E17,$E20,$E23,$E32,$E35,$E38,$E41,$E44,$E53,$E56,$E59,$E62,$E65,$E74,$E77,$E80,$E83,$E86)</f>
        <v>0</v>
      </c>
      <c r="AD28" s="142"/>
      <c r="AE28" s="142"/>
      <c r="AF28" s="142"/>
      <c r="AG28" s="142"/>
      <c r="AH28" s="142"/>
      <c r="AI28" s="142"/>
      <c r="AJ28" s="142"/>
      <c r="AK28" s="142"/>
      <c r="AL28" s="142"/>
      <c r="AM28" s="368" t="str">
        <f>IF(D83="","",IF(D83=0,0,1))</f>
        <v/>
      </c>
      <c r="AN28" s="378" t="str">
        <f ca="1">IF(OR(AM28="",AM28=1,AND(AM28=0,AM27=0)),"",MATCH(1,AM28:AM$145,0)-1-COUNTIF(AM28:OFFSET(AM28,MATCH(1,AM28:AM$145,0)-1,0),""))</f>
        <v/>
      </c>
      <c r="AO28" s="242"/>
      <c r="AP28" s="144"/>
      <c r="AQ28" s="242"/>
      <c r="AR28" s="142"/>
      <c r="AS28" s="242"/>
      <c r="AT28" s="142"/>
      <c r="AU28" s="142"/>
      <c r="AV28" s="142"/>
      <c r="AW28" s="143"/>
      <c r="AX28" s="143"/>
      <c r="AY28" s="143"/>
      <c r="AZ28" s="143"/>
      <c r="BA28" s="143"/>
      <c r="BB28" s="143"/>
      <c r="BC28" s="143"/>
      <c r="BD28" s="143"/>
      <c r="BE28" s="143"/>
      <c r="BF28" s="143"/>
      <c r="BG28" s="143"/>
      <c r="BH28" s="143"/>
      <c r="BI28" s="143"/>
      <c r="BJ28" s="143"/>
      <c r="BK28" s="143"/>
      <c r="BL28" s="143"/>
      <c r="BM28" s="143"/>
      <c r="BN28" s="143"/>
    </row>
    <row r="29" spans="1:66" ht="18" customHeight="1">
      <c r="B29" s="171" t="s">
        <v>23</v>
      </c>
      <c r="C29" s="172" t="s">
        <v>24</v>
      </c>
      <c r="D29" s="172" t="s">
        <v>25</v>
      </c>
      <c r="E29" s="172" t="s">
        <v>26</v>
      </c>
      <c r="F29" s="172" t="s">
        <v>27</v>
      </c>
      <c r="G29" s="172" t="s">
        <v>28</v>
      </c>
      <c r="H29" s="276" t="s">
        <v>29</v>
      </c>
      <c r="I29" s="289"/>
      <c r="J29" s="245"/>
      <c r="K29" s="246"/>
      <c r="L29" s="245"/>
      <c r="M29" s="245"/>
      <c r="N29" s="293"/>
      <c r="O29" s="197"/>
      <c r="P29" s="142"/>
      <c r="Q29" s="142"/>
      <c r="V29" s="380" t="s">
        <v>93</v>
      </c>
      <c r="W29" s="382">
        <f>SUM($F11,$F14,$F17,$F20,$F23,$F32,$F35,$F38,$F41,$F44,$F53,$F56,$F59,$F62,$F65,$F74,$F77,$F80,$F83,$F86)</f>
        <v>0</v>
      </c>
      <c r="AD29" s="142"/>
      <c r="AE29" s="142"/>
      <c r="AF29" s="142"/>
      <c r="AG29" s="142"/>
      <c r="AH29" s="142"/>
      <c r="AI29" s="142"/>
      <c r="AJ29" s="142"/>
      <c r="AK29" s="142"/>
      <c r="AL29" s="142"/>
      <c r="AM29" s="368" t="str">
        <f>IF(E83="","",IF(E83=0,0,1))</f>
        <v/>
      </c>
      <c r="AN29" s="378" t="str">
        <f ca="1">IF(OR(AM29="",AM29=1,AND(AM29=0,AM28=0)),"",MATCH(1,AM29:AM$145,0)-1-COUNTIF(AM29:OFFSET(AM29,MATCH(1,AM29:AM$145,0)-1,0),""))</f>
        <v/>
      </c>
      <c r="AO29" s="242"/>
      <c r="AP29" s="144"/>
      <c r="AQ29" s="242"/>
      <c r="AR29" s="142"/>
      <c r="AS29" s="242"/>
      <c r="AT29" s="142"/>
      <c r="AU29" s="142"/>
      <c r="AV29" s="142"/>
      <c r="AW29" s="143"/>
      <c r="AX29" s="143"/>
      <c r="AY29" s="143"/>
      <c r="AZ29" s="143"/>
      <c r="BA29" s="143"/>
      <c r="BB29" s="143"/>
      <c r="BC29" s="143"/>
      <c r="BD29" s="143"/>
      <c r="BE29" s="143"/>
      <c r="BF29" s="143"/>
      <c r="BG29" s="143"/>
      <c r="BH29" s="143"/>
      <c r="BI29" s="143"/>
      <c r="BJ29" s="143"/>
      <c r="BK29" s="143"/>
      <c r="BL29" s="143"/>
      <c r="BM29" s="143"/>
      <c r="BN29" s="143"/>
    </row>
    <row r="30" spans="1:66" ht="18" customHeight="1">
      <c r="B30" s="174">
        <f>(WEEKDAY($B27)=1)*B27</f>
        <v>0</v>
      </c>
      <c r="C30" s="4">
        <f>(WEEKDAY($B27)=2)*B27+($B30&gt;0)+B30</f>
        <v>0</v>
      </c>
      <c r="D30" s="4">
        <f>(WEEKDAY($B27)=3)*B27+(C30&gt;0)+C30</f>
        <v>0</v>
      </c>
      <c r="E30" s="4">
        <f>(WEEKDAY($B27)=4)*B27+(D30&gt;0)+D30</f>
        <v>42767</v>
      </c>
      <c r="F30" s="4">
        <f>(WEEKDAY($B27)=5)*B27+(E30&gt;0)+E30</f>
        <v>42768</v>
      </c>
      <c r="G30" s="4">
        <f>(WEEKDAY($B27)=6)*B27+(F30&gt;0)+F30</f>
        <v>42769</v>
      </c>
      <c r="H30" s="270">
        <f>(WEEKDAY($B27)=7)*B27+(G30&gt;0)+G30</f>
        <v>42770</v>
      </c>
      <c r="I30" s="286">
        <f>SUM($B38:$H38)</f>
        <v>0</v>
      </c>
      <c r="J30" s="247">
        <f>COUNTIF($B38:$H38,"0")</f>
        <v>0</v>
      </c>
      <c r="K30" s="287"/>
      <c r="L30" s="247">
        <f>COUNTIF($B38:$H38,"&gt;0")</f>
        <v>0</v>
      </c>
      <c r="M30" s="288">
        <f>J30+L30</f>
        <v>0</v>
      </c>
      <c r="N30" s="293"/>
      <c r="O30" s="197"/>
      <c r="P30" s="142"/>
      <c r="Q30" s="142"/>
      <c r="V30" s="380" t="s">
        <v>94</v>
      </c>
      <c r="W30" s="382">
        <f>SUM($G11,$G14,$G17,$G20,$G23,$G32,$G35,$G38,$G41,$G44,$G53,$G56,$G59,$G62,$G65,$G74,$G77,$G80,$G83,$G86)</f>
        <v>0</v>
      </c>
      <c r="AD30" s="142"/>
      <c r="AE30" s="142"/>
      <c r="AF30" s="142"/>
      <c r="AG30" s="142"/>
      <c r="AH30" s="142"/>
      <c r="AI30" s="142"/>
      <c r="AJ30" s="142"/>
      <c r="AK30" s="142"/>
      <c r="AL30" s="142"/>
      <c r="AM30" s="368" t="str">
        <f>IF(F83="","",IF(F83=0,0,1))</f>
        <v/>
      </c>
      <c r="AN30" s="378" t="str">
        <f ca="1">IF(OR(AM30="",AM30=1,AND(AM30=0,AM29=0)),"",MATCH(1,AM30:AM$145,0)-1-COUNTIF(AM30:OFFSET(AM30,MATCH(1,AM30:AM$145,0)-1,0),""))</f>
        <v/>
      </c>
      <c r="AO30" s="242"/>
      <c r="AP30" s="144"/>
      <c r="AQ30" s="242"/>
      <c r="AR30" s="142"/>
      <c r="AS30" s="242"/>
      <c r="AT30" s="142"/>
      <c r="AU30" s="142"/>
      <c r="AV30" s="142"/>
      <c r="AW30" s="143"/>
      <c r="AX30" s="143"/>
      <c r="AY30" s="143"/>
      <c r="AZ30" s="143"/>
      <c r="BA30" s="143"/>
      <c r="BB30" s="143"/>
      <c r="BC30" s="143"/>
      <c r="BD30" s="143"/>
      <c r="BE30" s="143"/>
      <c r="BF30" s="143"/>
      <c r="BG30" s="143"/>
      <c r="BH30" s="143"/>
      <c r="BI30" s="143"/>
      <c r="BJ30" s="143"/>
      <c r="BK30" s="143"/>
      <c r="BL30" s="143"/>
      <c r="BM30" s="143"/>
      <c r="BN30" s="143"/>
    </row>
    <row r="31" spans="1:66" ht="18" customHeight="1">
      <c r="B31" s="189"/>
      <c r="C31" s="192"/>
      <c r="D31" s="192"/>
      <c r="E31" s="192"/>
      <c r="F31" s="192"/>
      <c r="G31" s="192"/>
      <c r="H31" s="268"/>
      <c r="I31" s="289"/>
      <c r="J31" s="245"/>
      <c r="K31" s="246"/>
      <c r="L31" s="245"/>
      <c r="M31" s="245"/>
      <c r="N31" s="293"/>
      <c r="O31" s="197"/>
      <c r="P31" s="142"/>
      <c r="Q31" s="142"/>
      <c r="V31" s="380" t="s">
        <v>95</v>
      </c>
      <c r="W31" s="382">
        <f>SUM($H11,$H14,$H17,$H20,$H23,$H32,$H35,$H38,$H41,$H44,$H53,$H56,$H59,$H62,$H65,$H74,$H77,$H80,$H83,$H86)</f>
        <v>0</v>
      </c>
      <c r="AD31" s="142"/>
      <c r="AE31" s="142"/>
      <c r="AF31" s="142"/>
      <c r="AG31" s="142"/>
      <c r="AH31" s="142"/>
      <c r="AI31" s="142"/>
      <c r="AJ31" s="142"/>
      <c r="AK31" s="142"/>
      <c r="AL31" s="142"/>
      <c r="AM31" s="368" t="str">
        <f>IF(G83="","",IF(G83=0,0,1))</f>
        <v/>
      </c>
      <c r="AN31" s="378" t="str">
        <f ca="1">IF(OR(AM31="",AM31=1,AND(AM31=0,AM30=0)),"",MATCH(1,AM31:AM$145,0)-1-COUNTIF(AM31:OFFSET(AM31,MATCH(1,AM31:AM$145,0)-1,0),""))</f>
        <v/>
      </c>
      <c r="AO31" s="242"/>
      <c r="AP31" s="144"/>
      <c r="AQ31" s="242"/>
      <c r="AR31" s="142"/>
      <c r="AS31" s="242"/>
      <c r="AT31" s="142"/>
      <c r="AU31" s="142"/>
      <c r="AV31" s="142"/>
      <c r="AW31" s="143"/>
      <c r="AX31" s="143"/>
      <c r="AY31" s="143"/>
      <c r="AZ31" s="143"/>
      <c r="BA31" s="143"/>
      <c r="BB31" s="143"/>
      <c r="BC31" s="143"/>
      <c r="BD31" s="143"/>
      <c r="BE31" s="143"/>
      <c r="BF31" s="143"/>
      <c r="BG31" s="143"/>
      <c r="BH31" s="143"/>
      <c r="BI31" s="143"/>
      <c r="BJ31" s="143"/>
      <c r="BK31" s="143"/>
      <c r="BL31" s="143"/>
      <c r="BM31" s="143"/>
      <c r="BN31" s="143"/>
    </row>
    <row r="32" spans="1:66" ht="18" customHeight="1">
      <c r="B32" s="216"/>
      <c r="C32" s="217"/>
      <c r="D32" s="217"/>
      <c r="E32" s="217"/>
      <c r="F32" s="217"/>
      <c r="G32" s="217"/>
      <c r="H32" s="269"/>
      <c r="I32" s="286">
        <f>SUM($B41:$H41)</f>
        <v>0</v>
      </c>
      <c r="J32" s="247">
        <f>COUNTIF($B41:$H41,"0")</f>
        <v>0</v>
      </c>
      <c r="K32" s="287">
        <f>(IF($E$6="Male",COUNTIF($B32:$H32,"&gt;4"),COUNTIF($B32:$H32,"&gt;3")))</f>
        <v>0</v>
      </c>
      <c r="L32" s="247">
        <f>COUNTIF($B41:$H41,"&gt;0")</f>
        <v>0</v>
      </c>
      <c r="M32" s="288">
        <f>J32+L32</f>
        <v>0</v>
      </c>
      <c r="N32" s="293"/>
      <c r="O32" s="197"/>
      <c r="P32" s="142"/>
      <c r="Q32" s="142"/>
      <c r="V32" s="380" t="s">
        <v>210</v>
      </c>
      <c r="W32" s="382">
        <f>SUM($B11,$B14,$B17,$B20,$B23,$B32,$B35,$B38,$B41,$B44,$B53,$B56,$B59,$B62,$B65,$B74,$B77,$B80,$B83,$B86)</f>
        <v>0</v>
      </c>
      <c r="AD32" s="142"/>
      <c r="AE32" s="142"/>
      <c r="AF32" s="142"/>
      <c r="AG32" s="142"/>
      <c r="AH32" s="142"/>
      <c r="AI32" s="142"/>
      <c r="AJ32" s="142"/>
      <c r="AK32" s="142"/>
      <c r="AL32" s="142"/>
      <c r="AM32" s="368" t="str">
        <f>IF(H83="","",IF(H83=0,0,1))</f>
        <v/>
      </c>
      <c r="AN32" s="378" t="str">
        <f ca="1">IF(OR(AM32="",AM32=1,AND(AM32=0,AM31=0)),"",MATCH(1,AM32:AM$145,0)-1-COUNTIF(AM32:OFFSET(AM32,MATCH(1,AM32:AM$145,0)-1,0),""))</f>
        <v/>
      </c>
      <c r="AO32" s="242"/>
      <c r="AP32" s="144"/>
      <c r="AQ32" s="242"/>
      <c r="AR32" s="142"/>
      <c r="AS32" s="242"/>
      <c r="AT32" s="142"/>
      <c r="AU32" s="142"/>
      <c r="AV32" s="142"/>
      <c r="AW32" s="143"/>
      <c r="AX32" s="143"/>
      <c r="AY32" s="143"/>
      <c r="AZ32" s="143"/>
      <c r="BA32" s="143"/>
      <c r="BB32" s="143"/>
      <c r="BC32" s="143"/>
      <c r="BD32" s="143"/>
      <c r="BE32" s="143"/>
      <c r="BF32" s="143"/>
      <c r="BG32" s="143"/>
      <c r="BH32" s="143"/>
      <c r="BI32" s="143"/>
      <c r="BJ32" s="143"/>
      <c r="BK32" s="143"/>
      <c r="BL32" s="143"/>
      <c r="BM32" s="143"/>
      <c r="BN32" s="143"/>
    </row>
    <row r="33" spans="2:66" ht="18" customHeight="1">
      <c r="B33" s="174">
        <f>+H30+1</f>
        <v>42771</v>
      </c>
      <c r="C33" s="174">
        <f t="shared" ref="C33:H33" si="7">+B33+1</f>
        <v>42772</v>
      </c>
      <c r="D33" s="174">
        <f t="shared" si="7"/>
        <v>42773</v>
      </c>
      <c r="E33" s="174">
        <f t="shared" si="7"/>
        <v>42774</v>
      </c>
      <c r="F33" s="174">
        <f t="shared" si="7"/>
        <v>42775</v>
      </c>
      <c r="G33" s="174">
        <f t="shared" si="7"/>
        <v>42776</v>
      </c>
      <c r="H33" s="277">
        <f t="shared" si="7"/>
        <v>42777</v>
      </c>
      <c r="I33" s="289"/>
      <c r="J33" s="245"/>
      <c r="K33" s="246"/>
      <c r="L33" s="245"/>
      <c r="M33" s="245"/>
      <c r="N33" s="293"/>
      <c r="O33" s="197"/>
      <c r="P33" s="142"/>
      <c r="Q33" s="142"/>
      <c r="W33" s="383" t="s">
        <v>505</v>
      </c>
      <c r="AD33" s="142"/>
      <c r="AE33" s="142"/>
      <c r="AF33" s="142"/>
      <c r="AG33" s="142"/>
      <c r="AH33" s="142"/>
      <c r="AI33" s="142"/>
      <c r="AJ33" s="142"/>
      <c r="AK33" s="142"/>
      <c r="AL33" s="142"/>
      <c r="AM33" s="368" t="str">
        <f>IF(B86="","",IF(B86=0,0,1))</f>
        <v/>
      </c>
      <c r="AN33" s="378" t="str">
        <f ca="1">IF(OR(AM33="",AM33=1,AND(AM33=0,AM32=0)),"",MATCH(1,AM33:AM$145,0)-1-COUNTIF(AM33:OFFSET(AM33,MATCH(1,AM33:AM$145,0)-1,0),""))</f>
        <v/>
      </c>
      <c r="AO33" s="242"/>
      <c r="AP33" s="144"/>
      <c r="AQ33" s="242"/>
      <c r="AR33" s="142"/>
      <c r="AS33" s="242"/>
      <c r="AT33" s="142"/>
      <c r="AU33" s="142"/>
      <c r="AV33" s="142"/>
      <c r="AW33" s="143"/>
      <c r="AX33" s="143"/>
      <c r="AY33" s="143"/>
      <c r="AZ33" s="143"/>
      <c r="BA33" s="143"/>
      <c r="BB33" s="143"/>
      <c r="BC33" s="143"/>
      <c r="BD33" s="143"/>
      <c r="BE33" s="143"/>
      <c r="BF33" s="143"/>
      <c r="BG33" s="143"/>
      <c r="BH33" s="143"/>
      <c r="BI33" s="143"/>
      <c r="BJ33" s="143"/>
      <c r="BK33" s="143"/>
      <c r="BL33" s="143"/>
      <c r="BM33" s="143"/>
      <c r="BN33" s="143"/>
    </row>
    <row r="34" spans="2:66" ht="18" customHeight="1">
      <c r="B34" s="189"/>
      <c r="C34" s="192"/>
      <c r="D34" s="192"/>
      <c r="E34" s="192"/>
      <c r="F34" s="192"/>
      <c r="G34" s="192"/>
      <c r="H34" s="268"/>
      <c r="I34" s="286">
        <f>SUM($B44:$H44)</f>
        <v>0</v>
      </c>
      <c r="J34" s="247">
        <f>COUNTIF($B44:$H44,"0")</f>
        <v>0</v>
      </c>
      <c r="K34" s="287"/>
      <c r="L34" s="247">
        <f>COUNTIF($B44:$H44,"&gt;0")</f>
        <v>0</v>
      </c>
      <c r="M34" s="288">
        <f>J34+L34</f>
        <v>0</v>
      </c>
      <c r="N34" s="293"/>
      <c r="O34" s="197"/>
      <c r="P34" s="142"/>
      <c r="Q34" s="142"/>
      <c r="AD34" s="142"/>
      <c r="AE34" s="142"/>
      <c r="AF34" s="142"/>
      <c r="AG34" s="142"/>
      <c r="AH34" s="142"/>
      <c r="AI34" s="142"/>
      <c r="AJ34" s="142"/>
      <c r="AK34" s="142"/>
      <c r="AL34" s="142"/>
      <c r="AM34" s="368" t="str">
        <f>IF(C86="","",IF(C86=0,0,1))</f>
        <v/>
      </c>
      <c r="AN34" s="378" t="str">
        <f ca="1">IF(OR(AM34="",AM34=1,AND(AM34=0,AM33=0)),"",MATCH(1,AM34:AM$145,0)-1-COUNTIF(AM34:OFFSET(AM34,MATCH(1,AM34:AM$145,0)-1,0),""))</f>
        <v/>
      </c>
      <c r="AO34" s="242"/>
      <c r="AP34" s="144"/>
      <c r="AQ34" s="242"/>
      <c r="AR34" s="142"/>
      <c r="AS34" s="242"/>
      <c r="AT34" s="142"/>
      <c r="AU34" s="142"/>
      <c r="AV34" s="142"/>
      <c r="AW34" s="143"/>
      <c r="AX34" s="143"/>
      <c r="AY34" s="143"/>
      <c r="AZ34" s="143"/>
      <c r="BA34" s="143"/>
      <c r="BB34" s="143"/>
      <c r="BC34" s="143"/>
      <c r="BD34" s="143"/>
      <c r="BE34" s="143"/>
      <c r="BF34" s="143"/>
      <c r="BG34" s="143"/>
      <c r="BH34" s="143"/>
      <c r="BI34" s="143"/>
      <c r="BJ34" s="143"/>
      <c r="BK34" s="143"/>
      <c r="BL34" s="143"/>
      <c r="BM34" s="143"/>
      <c r="BN34" s="143"/>
    </row>
    <row r="35" spans="2:66" ht="18" customHeight="1">
      <c r="B35" s="216"/>
      <c r="C35" s="217"/>
      <c r="D35" s="217"/>
      <c r="E35" s="217"/>
      <c r="F35" s="217"/>
      <c r="G35" s="217"/>
      <c r="H35" s="269"/>
      <c r="I35" s="289"/>
      <c r="J35" s="245"/>
      <c r="K35" s="246">
        <f>(IF($E$6="Male",COUNTIF($B35:$H35,"&gt;4"),COUNTIF($B35:$H35,"&gt;3")))</f>
        <v>0</v>
      </c>
      <c r="L35" s="245"/>
      <c r="M35" s="245"/>
      <c r="N35" s="293"/>
      <c r="O35" s="197"/>
      <c r="P35" s="142"/>
      <c r="Q35" s="142"/>
      <c r="AD35" s="142"/>
      <c r="AE35" s="142"/>
      <c r="AF35" s="142"/>
      <c r="AG35" s="142"/>
      <c r="AH35" s="142"/>
      <c r="AI35" s="142"/>
      <c r="AJ35" s="142"/>
      <c r="AK35" s="142"/>
      <c r="AL35" s="142"/>
      <c r="AM35" s="368" t="str">
        <f>IF(D86="","",IF(D86=0,0,1))</f>
        <v/>
      </c>
      <c r="AN35" s="378" t="str">
        <f ca="1">IF(OR(AM35="",AM35=1,AND(AM35=0,AM34=0)),"",MATCH(1,AM35:AM$145,0)-1-COUNTIF(AM35:OFFSET(AM35,MATCH(1,AM35:AM$145,0)-1,0),""))</f>
        <v/>
      </c>
      <c r="AO35" s="242"/>
      <c r="AP35" s="242"/>
      <c r="AQ35" s="242"/>
      <c r="AR35" s="142"/>
      <c r="AS35" s="242"/>
      <c r="AT35" s="142"/>
      <c r="AU35" s="142"/>
      <c r="AV35" s="142"/>
      <c r="AW35" s="143"/>
      <c r="AX35" s="143"/>
      <c r="AY35" s="143"/>
      <c r="AZ35" s="143"/>
      <c r="BA35" s="143"/>
      <c r="BB35" s="143"/>
      <c r="BC35" s="143"/>
      <c r="BD35" s="143"/>
      <c r="BE35" s="143"/>
      <c r="BF35" s="143"/>
      <c r="BG35" s="143"/>
      <c r="BH35" s="143"/>
      <c r="BI35" s="143"/>
      <c r="BJ35" s="143"/>
      <c r="BK35" s="143"/>
      <c r="BL35" s="143"/>
      <c r="BM35" s="143"/>
      <c r="BN35" s="143"/>
    </row>
    <row r="36" spans="2:66" ht="18" customHeight="1">
      <c r="B36" s="176">
        <f>+H33+1</f>
        <v>42778</v>
      </c>
      <c r="C36" s="176">
        <f t="shared" ref="C36:H36" si="8">+B36+1</f>
        <v>42779</v>
      </c>
      <c r="D36" s="176">
        <f t="shared" si="8"/>
        <v>42780</v>
      </c>
      <c r="E36" s="176">
        <f t="shared" si="8"/>
        <v>42781</v>
      </c>
      <c r="F36" s="176">
        <f t="shared" si="8"/>
        <v>42782</v>
      </c>
      <c r="G36" s="176">
        <f t="shared" si="8"/>
        <v>42783</v>
      </c>
      <c r="H36" s="278">
        <f t="shared" si="8"/>
        <v>42784</v>
      </c>
      <c r="I36" s="290">
        <v>0</v>
      </c>
      <c r="J36" s="248">
        <v>0</v>
      </c>
      <c r="K36" s="248"/>
      <c r="L36" s="248">
        <v>0</v>
      </c>
      <c r="M36" s="248">
        <v>0</v>
      </c>
      <c r="N36" s="293"/>
      <c r="O36" s="197"/>
      <c r="P36" s="142"/>
      <c r="Q36" s="142"/>
      <c r="AD36" s="142"/>
      <c r="AE36" s="142"/>
      <c r="AF36" s="142"/>
      <c r="AG36" s="142"/>
      <c r="AH36" s="142"/>
      <c r="AI36" s="142"/>
      <c r="AJ36" s="142"/>
      <c r="AK36" s="142"/>
      <c r="AL36" s="142"/>
      <c r="AM36" s="368" t="str">
        <f>IF(E86="","",IF(E86=0,0,1))</f>
        <v/>
      </c>
      <c r="AN36" s="378" t="str">
        <f ca="1">IF(OR(AM36="",AM36=1,AND(AM36=0,AM35=0)),"",MATCH(1,AM36:AM$145,0)-1-COUNTIF(AM36:OFFSET(AM36,MATCH(1,AM36:AM$145,0)-1,0),""))</f>
        <v/>
      </c>
      <c r="AO36" s="242"/>
      <c r="AP36" s="242"/>
      <c r="AQ36" s="242"/>
      <c r="AR36" s="142"/>
      <c r="AS36" s="242"/>
      <c r="AT36" s="142"/>
      <c r="AU36" s="142"/>
      <c r="AV36" s="142"/>
      <c r="AW36" s="143"/>
      <c r="AX36" s="143"/>
      <c r="AY36" s="143"/>
      <c r="AZ36" s="143"/>
      <c r="BA36" s="143"/>
      <c r="BB36" s="143"/>
      <c r="BC36" s="143"/>
      <c r="BD36" s="143"/>
      <c r="BE36" s="143"/>
      <c r="BF36" s="143"/>
      <c r="BG36" s="143"/>
      <c r="BH36" s="143"/>
      <c r="BI36" s="143"/>
      <c r="BJ36" s="143"/>
      <c r="BK36" s="143"/>
      <c r="BL36" s="143"/>
      <c r="BM36" s="143"/>
      <c r="BN36" s="143"/>
    </row>
    <row r="37" spans="2:66" ht="18" customHeight="1">
      <c r="B37" s="189"/>
      <c r="C37" s="192"/>
      <c r="D37" s="192"/>
      <c r="E37" s="192"/>
      <c r="F37" s="192"/>
      <c r="G37" s="192"/>
      <c r="H37" s="268"/>
      <c r="I37" s="352"/>
      <c r="J37" s="353"/>
      <c r="K37" s="249"/>
      <c r="L37" s="249"/>
      <c r="M37" s="353"/>
      <c r="N37" s="293"/>
      <c r="O37" s="197"/>
      <c r="P37" s="142"/>
      <c r="Q37" s="142"/>
      <c r="S37" s="109" t="s">
        <v>513</v>
      </c>
      <c r="V37" s="2"/>
      <c r="W37" s="2"/>
      <c r="Y37" s="106" t="s">
        <v>354</v>
      </c>
      <c r="Z37" s="107"/>
      <c r="AD37" s="142"/>
      <c r="AE37" s="142"/>
      <c r="AF37" s="142"/>
      <c r="AG37" s="142"/>
      <c r="AH37" s="142"/>
      <c r="AI37" s="142"/>
      <c r="AJ37" s="142"/>
      <c r="AK37" s="142"/>
      <c r="AL37" s="142"/>
      <c r="AM37" s="368" t="str">
        <f>IF(F86="","",IF(F86=0,0,1))</f>
        <v/>
      </c>
      <c r="AN37" s="378" t="str">
        <f ca="1">IF(OR(AM37="",AM37=1,AND(AM37=0,AM36=0)),"",MATCH(1,AM37:AM$145,0)-1-COUNTIF(AM37:OFFSET(AM37,MATCH(1,AM37:AM$145,0)-1,0),""))</f>
        <v/>
      </c>
      <c r="AO37" s="242"/>
      <c r="AP37" s="242"/>
      <c r="AQ37" s="242"/>
      <c r="AR37" s="142"/>
      <c r="AS37" s="242"/>
      <c r="AT37" s="142"/>
      <c r="AU37" s="142"/>
      <c r="AV37" s="142"/>
      <c r="AW37" s="143"/>
      <c r="AX37" s="143"/>
      <c r="AY37" s="143"/>
      <c r="AZ37" s="143"/>
      <c r="BA37" s="143"/>
      <c r="BB37" s="143"/>
      <c r="BC37" s="143"/>
      <c r="BD37" s="143"/>
      <c r="BE37" s="143"/>
      <c r="BF37" s="143"/>
      <c r="BG37" s="143"/>
      <c r="BH37" s="143"/>
      <c r="BI37" s="143"/>
      <c r="BJ37" s="143"/>
      <c r="BK37" s="143"/>
      <c r="BL37" s="143"/>
      <c r="BM37" s="143"/>
      <c r="BN37" s="143"/>
    </row>
    <row r="38" spans="2:66" ht="18" customHeight="1">
      <c r="B38" s="219"/>
      <c r="C38" s="220"/>
      <c r="D38" s="220"/>
      <c r="E38" s="220"/>
      <c r="F38" s="220"/>
      <c r="G38" s="220"/>
      <c r="H38" s="272"/>
      <c r="I38" s="295"/>
      <c r="J38" s="283"/>
      <c r="K38" s="283">
        <f>(IF($E$6="Male",COUNTIF($B38:$H38,"&gt;4"),COUNTIF($B38:$H38,"&gt;3")))</f>
        <v>0</v>
      </c>
      <c r="L38" s="283"/>
      <c r="M38" s="283"/>
      <c r="N38" s="293"/>
      <c r="O38" s="197"/>
      <c r="P38" s="142"/>
      <c r="Q38" s="142"/>
      <c r="R38" s="384" t="s">
        <v>129</v>
      </c>
      <c r="S38" s="385"/>
      <c r="T38" s="386" t="s">
        <v>130</v>
      </c>
      <c r="U38" s="386"/>
      <c r="V38" s="387" t="s">
        <v>342</v>
      </c>
      <c r="W38" s="386" t="s">
        <v>349</v>
      </c>
      <c r="Y38" s="388">
        <f>B69</f>
        <v>42705</v>
      </c>
      <c r="Z38" s="167">
        <f>SUM(I58:I68)</f>
        <v>0</v>
      </c>
      <c r="AD38" s="142"/>
      <c r="AE38" s="142"/>
      <c r="AF38" s="142"/>
      <c r="AG38" s="142"/>
      <c r="AH38" s="142"/>
      <c r="AI38" s="142"/>
      <c r="AJ38" s="142"/>
      <c r="AK38" s="142"/>
      <c r="AL38" s="142"/>
      <c r="AM38" s="368" t="str">
        <f>IF(G86="","",IF(G86=0,0,1))</f>
        <v/>
      </c>
      <c r="AN38" s="378" t="str">
        <f ca="1">IF(OR(AM38="",AM38=1,AND(AM38=0,AM37=0)),"",MATCH(1,AM38:AM$145,0)-1-COUNTIF(AM38:OFFSET(AM38,MATCH(1,AM38:AM$145,0)-1,0),""))</f>
        <v/>
      </c>
      <c r="AO38" s="242"/>
      <c r="AP38" s="242"/>
      <c r="AQ38" s="242"/>
      <c r="AR38" s="142"/>
      <c r="AS38" s="242"/>
      <c r="AT38" s="142"/>
      <c r="AU38" s="142"/>
      <c r="AV38" s="142"/>
      <c r="AW38" s="143"/>
      <c r="AX38" s="143"/>
      <c r="AY38" s="143"/>
      <c r="AZ38" s="143"/>
      <c r="BA38" s="143"/>
      <c r="BB38" s="143"/>
      <c r="BC38" s="143"/>
      <c r="BD38" s="143"/>
      <c r="BE38" s="143"/>
      <c r="BF38" s="143"/>
      <c r="BG38" s="143"/>
      <c r="BH38" s="143"/>
      <c r="BI38" s="143"/>
      <c r="BJ38" s="143"/>
      <c r="BK38" s="143"/>
      <c r="BL38" s="143"/>
      <c r="BM38" s="143"/>
      <c r="BN38" s="143"/>
    </row>
    <row r="39" spans="2:66" ht="18" customHeight="1">
      <c r="B39" s="176">
        <f>+H36+1</f>
        <v>42785</v>
      </c>
      <c r="C39" s="5">
        <f t="shared" ref="C39:H39" si="9">+B39+1</f>
        <v>42786</v>
      </c>
      <c r="D39" s="5">
        <f t="shared" si="9"/>
        <v>42787</v>
      </c>
      <c r="E39" s="5">
        <f t="shared" si="9"/>
        <v>42788</v>
      </c>
      <c r="F39" s="5">
        <f t="shared" si="9"/>
        <v>42789</v>
      </c>
      <c r="G39" s="5">
        <f t="shared" si="9"/>
        <v>42790</v>
      </c>
      <c r="H39" s="271">
        <f t="shared" si="9"/>
        <v>42791</v>
      </c>
      <c r="I39" s="294"/>
      <c r="J39" s="283"/>
      <c r="K39" s="283"/>
      <c r="L39" s="283"/>
      <c r="M39" s="283"/>
      <c r="N39" s="293"/>
      <c r="O39" s="111"/>
      <c r="R39" s="494" t="s">
        <v>125</v>
      </c>
      <c r="S39" s="495"/>
      <c r="T39" s="389">
        <v>0</v>
      </c>
      <c r="U39" s="389"/>
      <c r="V39" s="389">
        <f>$AG104</f>
        <v>0</v>
      </c>
      <c r="W39" s="390">
        <f>$V39/90</f>
        <v>0</v>
      </c>
      <c r="Y39" s="388">
        <f>B48</f>
        <v>42736</v>
      </c>
      <c r="Z39" s="167">
        <f>SUM(I42:I52)</f>
        <v>0</v>
      </c>
      <c r="AD39" s="142"/>
      <c r="AE39" s="142"/>
      <c r="AF39" s="142"/>
      <c r="AG39" s="142"/>
      <c r="AH39" s="142"/>
      <c r="AI39" s="142"/>
      <c r="AJ39" s="142"/>
      <c r="AK39" s="142"/>
      <c r="AL39" s="142"/>
      <c r="AM39" s="368" t="str">
        <f>IF(H86="","",IF(H86=0,0,1))</f>
        <v/>
      </c>
      <c r="AN39" s="378" t="str">
        <f ca="1">IF(OR(AM39="",AM39=1,AND(AM39=0,AM38=0)),"",MATCH(1,AM39:AM$145,0)-1-COUNTIF(AM39:OFFSET(AM39,MATCH(1,AM39:AM$145,0)-1,0),""))</f>
        <v/>
      </c>
      <c r="AO39" s="242"/>
      <c r="AP39" s="242"/>
      <c r="AQ39" s="242"/>
      <c r="AR39" s="142"/>
      <c r="AS39" s="242"/>
      <c r="AT39" s="142"/>
      <c r="AU39" s="142"/>
      <c r="AV39" s="142"/>
      <c r="AW39" s="143"/>
      <c r="AX39" s="143"/>
      <c r="AY39" s="143"/>
      <c r="AZ39" s="143"/>
      <c r="BA39" s="143"/>
      <c r="BB39" s="143"/>
      <c r="BC39" s="143"/>
      <c r="BD39" s="143"/>
      <c r="BE39" s="143"/>
      <c r="BF39" s="143"/>
      <c r="BG39" s="143"/>
      <c r="BH39" s="143"/>
      <c r="BI39" s="143"/>
      <c r="BJ39" s="143"/>
      <c r="BK39" s="143"/>
      <c r="BL39" s="143"/>
      <c r="BM39" s="143"/>
      <c r="BN39" s="143"/>
    </row>
    <row r="40" spans="2:66" ht="18" customHeight="1">
      <c r="B40" s="189"/>
      <c r="C40" s="192"/>
      <c r="D40" s="192"/>
      <c r="E40" s="192"/>
      <c r="F40" s="192"/>
      <c r="G40" s="192"/>
      <c r="H40" s="268"/>
      <c r="I40" s="282">
        <f>B48</f>
        <v>42736</v>
      </c>
      <c r="J40" s="283"/>
      <c r="K40" s="283"/>
      <c r="L40" s="283"/>
      <c r="M40" s="283"/>
      <c r="N40" s="293"/>
      <c r="O40" s="111"/>
      <c r="R40" s="494" t="s">
        <v>126</v>
      </c>
      <c r="S40" s="495"/>
      <c r="T40" s="389" t="s">
        <v>131</v>
      </c>
      <c r="U40" s="389"/>
      <c r="V40" s="389">
        <f>SUM($AG106,$AG108,$AG110)</f>
        <v>0</v>
      </c>
      <c r="W40" s="390">
        <f>$V40/90</f>
        <v>0</v>
      </c>
      <c r="Y40" s="388">
        <f>B27</f>
        <v>42767</v>
      </c>
      <c r="Z40" s="167">
        <f>SUM(I26:I36)</f>
        <v>0</v>
      </c>
      <c r="AD40" s="142"/>
      <c r="AE40" s="142"/>
      <c r="AF40" s="142"/>
      <c r="AG40" s="142"/>
      <c r="AH40" s="142"/>
      <c r="AI40" s="142"/>
      <c r="AJ40" s="142"/>
      <c r="AK40" s="142"/>
      <c r="AL40" s="391">
        <f>$B$48</f>
        <v>42736</v>
      </c>
      <c r="AM40" s="368" t="str">
        <f>IF(B53="","",IF(B53=0,0,1))</f>
        <v/>
      </c>
      <c r="AN40" s="378" t="str">
        <f ca="1">IF(OR(AM40="",AM40=1,AND(AM40=0,AM39=0)),"",MATCH(1,AM40:AM$145,0)-1-COUNTIF(AM40:OFFSET(AM40,MATCH(1,AM40:AM$145,0)-1,0),""))</f>
        <v/>
      </c>
      <c r="AO40" s="242"/>
      <c r="AP40" s="242"/>
      <c r="AQ40" s="242"/>
      <c r="AR40" s="142"/>
      <c r="AS40" s="242"/>
      <c r="AT40" s="142"/>
      <c r="AU40" s="142"/>
      <c r="AV40" s="142"/>
      <c r="AW40" s="143"/>
      <c r="AX40" s="143"/>
      <c r="AY40" s="143"/>
      <c r="AZ40" s="143"/>
      <c r="BA40" s="143"/>
      <c r="BB40" s="143"/>
      <c r="BC40" s="143"/>
      <c r="BD40" s="143"/>
      <c r="BE40" s="143"/>
      <c r="BF40" s="143"/>
      <c r="BG40" s="143"/>
      <c r="BH40" s="143"/>
      <c r="BI40" s="143"/>
      <c r="BJ40" s="143"/>
      <c r="BK40" s="143"/>
      <c r="BL40" s="143"/>
      <c r="BM40" s="143"/>
      <c r="BN40" s="143"/>
    </row>
    <row r="41" spans="2:66" ht="18" customHeight="1">
      <c r="B41" s="219"/>
      <c r="C41" s="220"/>
      <c r="D41" s="220"/>
      <c r="E41" s="220"/>
      <c r="F41" s="220"/>
      <c r="G41" s="220"/>
      <c r="H41" s="272"/>
      <c r="I41" s="285" t="s">
        <v>240</v>
      </c>
      <c r="J41" s="245" t="s">
        <v>242</v>
      </c>
      <c r="K41" s="246">
        <f>(IF($E$6="Male",COUNTIF($B41:$H41,"&gt;4"),COUNTIF($B41:$H41,"&gt;3")))</f>
        <v>0</v>
      </c>
      <c r="L41" s="245" t="s">
        <v>241</v>
      </c>
      <c r="M41" s="245" t="s">
        <v>243</v>
      </c>
      <c r="N41" s="293"/>
      <c r="O41" s="111"/>
      <c r="R41" s="494" t="s">
        <v>127</v>
      </c>
      <c r="S41" s="495"/>
      <c r="T41" s="389" t="s">
        <v>132</v>
      </c>
      <c r="U41" s="389"/>
      <c r="V41" s="389">
        <f>SUM($AG112,AA30,$AG116,$AG118,$AG120,$AG122)</f>
        <v>0</v>
      </c>
      <c r="W41" s="390">
        <f>$V41/90</f>
        <v>0</v>
      </c>
      <c r="Y41" s="388" t="str">
        <f>B6</f>
        <v>3/2017</v>
      </c>
      <c r="Z41" s="167">
        <f>SUM(I10:I20)</f>
        <v>0</v>
      </c>
      <c r="AD41" s="142"/>
      <c r="AE41" s="142"/>
      <c r="AF41" s="142"/>
      <c r="AG41" s="142"/>
      <c r="AH41" s="142"/>
      <c r="AI41" s="142"/>
      <c r="AJ41" s="142"/>
      <c r="AK41" s="142"/>
      <c r="AL41" s="142"/>
      <c r="AM41" s="368" t="str">
        <f>IF(C53="","",IF(C53=0,0,1))</f>
        <v/>
      </c>
      <c r="AN41" s="378" t="str">
        <f ca="1">IF(OR(AM41="",AM41=1,AND(AM41=0,AM40=0)),"",MATCH(1,AM41:AM$145,0)-1-COUNTIF(AM41:OFFSET(AM41,MATCH(1,AM41:AM$145,0)-1,0),""))</f>
        <v/>
      </c>
      <c r="AO41" s="242"/>
      <c r="AP41" s="242"/>
      <c r="AQ41" s="242"/>
      <c r="AR41" s="142"/>
      <c r="AS41" s="242"/>
      <c r="AT41" s="142"/>
      <c r="AU41" s="142"/>
      <c r="AV41" s="142"/>
      <c r="AW41" s="143"/>
      <c r="AX41" s="143"/>
      <c r="AY41" s="143"/>
      <c r="AZ41" s="143"/>
      <c r="BA41" s="143"/>
      <c r="BB41" s="143"/>
      <c r="BC41" s="143"/>
      <c r="BD41" s="143"/>
      <c r="BE41" s="143"/>
      <c r="BF41" s="143"/>
      <c r="BG41" s="143"/>
      <c r="BH41" s="143"/>
      <c r="BI41" s="143"/>
      <c r="BJ41" s="143"/>
      <c r="BK41" s="143"/>
      <c r="BL41" s="143"/>
      <c r="BM41" s="143"/>
      <c r="BN41" s="143"/>
    </row>
    <row r="42" spans="2:66" ht="18" customHeight="1">
      <c r="B42" s="5">
        <f>(MONTH($B39+7)=MONTH($B27))*($B39+7)</f>
        <v>42792</v>
      </c>
      <c r="C42" s="5">
        <f t="shared" ref="C42:H42" si="10">(MONTH(C39+7)=MONTH($B27))*(C39+7)</f>
        <v>42793</v>
      </c>
      <c r="D42" s="5">
        <f t="shared" si="10"/>
        <v>42794</v>
      </c>
      <c r="E42" s="5">
        <f t="shared" si="10"/>
        <v>0</v>
      </c>
      <c r="F42" s="5">
        <f t="shared" si="10"/>
        <v>0</v>
      </c>
      <c r="G42" s="5">
        <f t="shared" si="10"/>
        <v>0</v>
      </c>
      <c r="H42" s="273">
        <f t="shared" si="10"/>
        <v>0</v>
      </c>
      <c r="I42" s="286">
        <f>SUM($B53:$H53)</f>
        <v>0</v>
      </c>
      <c r="J42" s="247">
        <f>COUNTIF($B53:$H53,"0")</f>
        <v>0</v>
      </c>
      <c r="K42" s="247"/>
      <c r="L42" s="247">
        <f>COUNTIF($B53:$H53,"&gt;0")</f>
        <v>0</v>
      </c>
      <c r="M42" s="288">
        <f>J42+L42</f>
        <v>0</v>
      </c>
      <c r="N42" s="293"/>
      <c r="O42" s="111"/>
      <c r="R42" s="494" t="s">
        <v>128</v>
      </c>
      <c r="S42" s="495"/>
      <c r="T42" s="389" t="s">
        <v>133</v>
      </c>
      <c r="U42" s="389"/>
      <c r="V42" s="389">
        <f>SUM($AG124,$AG126,$AG128,$AG130,$AG132,$AG134,$AG136,$AG138,$AG140,$AG142,$AG144,$AG146,$AG148,$AG152,$AG154,$AG156,$AG158,$AG160,$AG162,$AG164,$AG166,$AG168,$AG170,$AG172,$AG174,$AG176,$AG178,$AG180,$AG182,$AG150,$AG184,$AG186,$AG184,$AG190,$AG192,$AG194)</f>
        <v>0</v>
      </c>
      <c r="W42" s="390">
        <f>$V42/90</f>
        <v>0</v>
      </c>
      <c r="Y42" s="392" t="s">
        <v>135</v>
      </c>
      <c r="Z42" s="393">
        <f>SUM(Z38:Z41)</f>
        <v>0</v>
      </c>
      <c r="AD42" s="142"/>
      <c r="AE42" s="142"/>
      <c r="AF42" s="142"/>
      <c r="AG42" s="142"/>
      <c r="AH42" s="142"/>
      <c r="AI42" s="142"/>
      <c r="AJ42" s="142"/>
      <c r="AK42" s="142"/>
      <c r="AL42" s="142"/>
      <c r="AM42" s="368" t="str">
        <f>IF(D53="","",IF(D53=0,0,1))</f>
        <v/>
      </c>
      <c r="AN42" s="378" t="str">
        <f ca="1">IF(OR(AM42="",AM42=1,AND(AM42=0,AM41=0)),"",MATCH(1,AM42:AM$145,0)-1-COUNTIF(AM42:OFFSET(AM42,MATCH(1,AM42:AM$145,0)-1,0),""))</f>
        <v/>
      </c>
      <c r="AO42" s="242"/>
      <c r="AP42" s="242"/>
      <c r="AQ42" s="242"/>
      <c r="AR42" s="142"/>
      <c r="AS42" s="242"/>
      <c r="AT42" s="142"/>
      <c r="AU42" s="142"/>
      <c r="AV42" s="142"/>
      <c r="AW42" s="143"/>
      <c r="AX42" s="143"/>
      <c r="AY42" s="143"/>
      <c r="AZ42" s="143"/>
      <c r="BA42" s="143"/>
      <c r="BB42" s="143"/>
      <c r="BC42" s="143"/>
      <c r="BD42" s="143"/>
      <c r="BE42" s="143"/>
      <c r="BF42" s="143"/>
      <c r="BG42" s="143"/>
      <c r="BH42" s="143"/>
      <c r="BI42" s="143"/>
      <c r="BJ42" s="143"/>
      <c r="BK42" s="143"/>
      <c r="BL42" s="143"/>
      <c r="BM42" s="143"/>
      <c r="BN42" s="143"/>
    </row>
    <row r="43" spans="2:66" ht="18" customHeight="1">
      <c r="B43" s="192"/>
      <c r="C43" s="192"/>
      <c r="D43" s="192"/>
      <c r="E43" s="192"/>
      <c r="F43" s="192"/>
      <c r="G43" s="192"/>
      <c r="H43" s="268"/>
      <c r="I43" s="289"/>
      <c r="J43" s="245"/>
      <c r="K43" s="245"/>
      <c r="L43" s="245"/>
      <c r="M43" s="245"/>
      <c r="N43" s="293"/>
      <c r="O43" s="111"/>
      <c r="Y43" s="58"/>
      <c r="AD43" s="142"/>
      <c r="AE43" s="142"/>
      <c r="AF43" s="142"/>
      <c r="AG43" s="142"/>
      <c r="AH43" s="142"/>
      <c r="AI43" s="142"/>
      <c r="AJ43" s="142"/>
      <c r="AK43" s="142"/>
      <c r="AL43" s="142"/>
      <c r="AM43" s="368" t="str">
        <f>IF(E53="","",IF(E53=0,0,1))</f>
        <v/>
      </c>
      <c r="AN43" s="378" t="str">
        <f ca="1">IF(OR(AM43="",AM43=1,AND(AM43=0,AM42=0)),"",MATCH(1,AM43:AM$145,0)-1-COUNTIF(AM43:OFFSET(AM43,MATCH(1,AM43:AM$145,0)-1,0),""))</f>
        <v/>
      </c>
      <c r="AO43" s="242"/>
      <c r="AP43" s="242"/>
      <c r="AQ43" s="242"/>
      <c r="AR43" s="142"/>
      <c r="AS43" s="242"/>
      <c r="AT43" s="142"/>
      <c r="AU43" s="142"/>
      <c r="AV43" s="142"/>
      <c r="AW43" s="143"/>
      <c r="AX43" s="143"/>
      <c r="AY43" s="143"/>
      <c r="AZ43" s="143"/>
      <c r="BA43" s="143"/>
      <c r="BB43" s="143"/>
      <c r="BC43" s="143"/>
      <c r="BD43" s="143"/>
      <c r="BE43" s="143"/>
      <c r="BF43" s="143"/>
      <c r="BG43" s="143"/>
      <c r="BH43" s="143"/>
      <c r="BI43" s="143"/>
      <c r="BJ43" s="143"/>
      <c r="BK43" s="143"/>
      <c r="BL43" s="143"/>
      <c r="BM43" s="143"/>
      <c r="BN43" s="143"/>
    </row>
    <row r="44" spans="2:66" ht="18" customHeight="1">
      <c r="B44" s="220"/>
      <c r="C44" s="220"/>
      <c r="D44" s="220"/>
      <c r="E44" s="220"/>
      <c r="F44" s="220"/>
      <c r="G44" s="220"/>
      <c r="H44" s="272"/>
      <c r="I44" s="286">
        <f>SUM($B56:$H56)</f>
        <v>0</v>
      </c>
      <c r="J44" s="247">
        <f>COUNTIF($B56:$H56,"0")</f>
        <v>0</v>
      </c>
      <c r="K44" s="247">
        <f>(IF($E$6="Male",COUNTIF($B44:$H44,"&gt;4"),COUNTIF($B44:$H44,"&gt;3")))</f>
        <v>0</v>
      </c>
      <c r="L44" s="247">
        <f>COUNTIF($B56:$H56,"&gt;0")</f>
        <v>0</v>
      </c>
      <c r="M44" s="288">
        <f>J44+L44</f>
        <v>0</v>
      </c>
      <c r="N44" s="293"/>
      <c r="O44" s="111"/>
      <c r="Q44" s="351"/>
      <c r="X44" s="142"/>
      <c r="Y44" s="394"/>
      <c r="Z44" s="142"/>
      <c r="AB44" s="142"/>
      <c r="AC44" s="142"/>
      <c r="AD44" s="142"/>
      <c r="AE44" s="142"/>
      <c r="AF44" s="142"/>
      <c r="AG44" s="142"/>
      <c r="AH44" s="142"/>
      <c r="AI44" s="142"/>
      <c r="AJ44" s="142"/>
      <c r="AK44" s="142"/>
      <c r="AL44" s="142"/>
      <c r="AM44" s="368" t="str">
        <f>IF(F53="","",IF(F53=0,0,1))</f>
        <v/>
      </c>
      <c r="AN44" s="378" t="str">
        <f ca="1">IF(OR(AM44="",AM44=1,AND(AM44=0,AM43=0)),"",MATCH(1,AM44:AM$145,0)-1-COUNTIF(AM44:OFFSET(AM44,MATCH(1,AM44:AM$145,0)-1,0),""))</f>
        <v/>
      </c>
      <c r="AO44" s="242"/>
      <c r="AP44" s="242"/>
      <c r="AQ44" s="242"/>
      <c r="AR44" s="142"/>
      <c r="AS44" s="242"/>
      <c r="AT44" s="142"/>
      <c r="AU44" s="142"/>
      <c r="AV44" s="142"/>
      <c r="AW44" s="143"/>
      <c r="AX44" s="143"/>
      <c r="AY44" s="143"/>
      <c r="AZ44" s="143"/>
      <c r="BA44" s="143"/>
      <c r="BB44" s="143"/>
      <c r="BC44" s="143"/>
      <c r="BD44" s="143"/>
      <c r="BE44" s="143"/>
      <c r="BF44" s="143"/>
      <c r="BG44" s="143"/>
      <c r="BH44" s="143"/>
      <c r="BI44" s="143"/>
      <c r="BJ44" s="143"/>
      <c r="BK44" s="143"/>
      <c r="BL44" s="143"/>
      <c r="BM44" s="143"/>
      <c r="BN44" s="143"/>
    </row>
    <row r="45" spans="2:66" ht="18" customHeight="1">
      <c r="B45" s="191">
        <f>(MONTH($B39+14)=MONTH($B27))*($B39+14)</f>
        <v>0</v>
      </c>
      <c r="C45" s="191">
        <f t="shared" ref="C45:H45" si="11">(MONTH(C39+14)=MONTH($B27))*(C39+14)</f>
        <v>0</v>
      </c>
      <c r="D45" s="191">
        <f t="shared" si="11"/>
        <v>0</v>
      </c>
      <c r="E45" s="191">
        <f t="shared" si="11"/>
        <v>0</v>
      </c>
      <c r="F45" s="191">
        <f t="shared" si="11"/>
        <v>0</v>
      </c>
      <c r="G45" s="191">
        <f t="shared" si="11"/>
        <v>0</v>
      </c>
      <c r="H45" s="274">
        <f t="shared" si="11"/>
        <v>0</v>
      </c>
      <c r="I45" s="289"/>
      <c r="J45" s="245"/>
      <c r="K45" s="245"/>
      <c r="L45" s="245"/>
      <c r="M45" s="245"/>
      <c r="N45" s="293"/>
      <c r="O45" s="111"/>
      <c r="Q45" s="351"/>
      <c r="V45" s="142"/>
      <c r="W45" s="142"/>
      <c r="X45" s="142"/>
      <c r="Y45" s="394"/>
      <c r="Z45" s="142"/>
      <c r="AB45" s="142"/>
      <c r="AC45" s="142"/>
      <c r="AD45" s="142"/>
      <c r="AE45" s="142"/>
      <c r="AF45" s="142"/>
      <c r="AG45" s="142"/>
      <c r="AH45" s="142"/>
      <c r="AI45" s="142"/>
      <c r="AJ45" s="142"/>
      <c r="AK45" s="142"/>
      <c r="AL45" s="142"/>
      <c r="AM45" s="368" t="str">
        <f>IF(G53="","",IF(G53=0,0,1))</f>
        <v/>
      </c>
      <c r="AN45" s="378" t="str">
        <f ca="1">IF(OR(AM45="",AM45=1,AND(AM45=0,AM44=0)),"",MATCH(1,AM45:AM$145,0)-1-COUNTIF(AM45:OFFSET(AM45,MATCH(1,AM45:AM$145,0)-1,0),""))</f>
        <v/>
      </c>
      <c r="AO45" s="242"/>
      <c r="AP45" s="242"/>
      <c r="AQ45" s="242"/>
      <c r="AR45" s="142"/>
      <c r="AS45" s="242"/>
      <c r="AT45" s="142"/>
      <c r="AU45" s="142"/>
      <c r="AV45" s="142"/>
      <c r="AW45" s="143"/>
      <c r="AX45" s="143"/>
      <c r="AY45" s="143"/>
      <c r="AZ45" s="143"/>
      <c r="BA45" s="143"/>
      <c r="BB45" s="143"/>
      <c r="BC45" s="143"/>
      <c r="BD45" s="143"/>
      <c r="BE45" s="143"/>
      <c r="BF45" s="143"/>
      <c r="BG45" s="143"/>
      <c r="BH45" s="143"/>
      <c r="BI45" s="143"/>
      <c r="BJ45" s="143"/>
      <c r="BK45" s="143"/>
      <c r="BL45" s="143"/>
      <c r="BM45" s="143"/>
      <c r="BN45" s="143"/>
    </row>
    <row r="46" spans="2:66" ht="18" customHeight="1">
      <c r="B46" s="190"/>
      <c r="C46" s="190"/>
      <c r="D46" s="190"/>
      <c r="E46" s="190"/>
      <c r="F46" s="190"/>
      <c r="G46" s="190"/>
      <c r="H46" s="275"/>
      <c r="I46" s="286">
        <f>SUM($B59:$H59)</f>
        <v>0</v>
      </c>
      <c r="J46" s="247">
        <f>COUNTIF($B59:$H59,"0")</f>
        <v>0</v>
      </c>
      <c r="K46" s="247"/>
      <c r="L46" s="247">
        <f>COUNTIF($B59:$H59,"&gt;0")</f>
        <v>0</v>
      </c>
      <c r="M46" s="288">
        <f>J46+L46</f>
        <v>0</v>
      </c>
      <c r="N46" s="293"/>
      <c r="O46" s="111"/>
      <c r="Q46" s="351"/>
      <c r="V46" s="142"/>
      <c r="W46" s="142"/>
      <c r="X46" s="142"/>
      <c r="Y46" s="394"/>
      <c r="Z46" s="142"/>
      <c r="AB46" s="142"/>
      <c r="AC46" s="142"/>
      <c r="AD46" s="142"/>
      <c r="AE46" s="142"/>
      <c r="AF46" s="142"/>
      <c r="AG46" s="142"/>
      <c r="AH46" s="142"/>
      <c r="AI46" s="142"/>
      <c r="AJ46" s="142"/>
      <c r="AK46" s="142"/>
      <c r="AL46" s="142"/>
      <c r="AM46" s="368" t="str">
        <f>IF(H53="","",IF(H53=0,0,1))</f>
        <v/>
      </c>
      <c r="AN46" s="378" t="str">
        <f ca="1">IF(OR(AM46="",AM46=1,AND(AM46=0,AM45=0)),"",MATCH(1,AM46:AM$145,0)-1-COUNTIF(AM46:OFFSET(AM46,MATCH(1,AM46:AM$145,0)-1,0),""))</f>
        <v/>
      </c>
      <c r="AO46" s="242"/>
      <c r="AP46" s="242"/>
      <c r="AQ46" s="242"/>
      <c r="AR46" s="142"/>
      <c r="AS46" s="242"/>
      <c r="AT46" s="142"/>
      <c r="AU46" s="142"/>
      <c r="AV46" s="142"/>
      <c r="AW46" s="143"/>
      <c r="AX46" s="143"/>
      <c r="AY46" s="143"/>
      <c r="AZ46" s="143"/>
      <c r="BA46" s="143"/>
      <c r="BB46" s="143"/>
      <c r="BC46" s="143"/>
      <c r="BD46" s="143"/>
      <c r="BE46" s="143"/>
      <c r="BF46" s="143"/>
      <c r="BG46" s="143"/>
      <c r="BH46" s="143"/>
      <c r="BI46" s="143"/>
      <c r="BJ46" s="143"/>
      <c r="BK46" s="143"/>
      <c r="BL46" s="143"/>
      <c r="BM46" s="143"/>
      <c r="BN46" s="143"/>
    </row>
    <row r="47" spans="2:66">
      <c r="B47" s="154"/>
      <c r="C47" s="154"/>
      <c r="D47" s="154"/>
      <c r="E47" s="154"/>
      <c r="F47" s="154"/>
      <c r="G47" s="154"/>
      <c r="H47" s="154"/>
      <c r="I47" s="289"/>
      <c r="J47" s="245"/>
      <c r="K47" s="245"/>
      <c r="L47" s="245"/>
      <c r="M47" s="245"/>
      <c r="N47" s="293"/>
      <c r="O47" s="197"/>
      <c r="Q47" s="351"/>
      <c r="V47" s="142"/>
      <c r="W47" s="142"/>
      <c r="X47" s="142"/>
      <c r="Y47" s="394"/>
      <c r="Z47" s="142"/>
      <c r="AB47" s="142"/>
      <c r="AC47" s="142"/>
      <c r="AD47" s="142"/>
      <c r="AE47" s="142"/>
      <c r="AF47" s="142"/>
      <c r="AG47" s="142"/>
      <c r="AH47" s="142"/>
      <c r="AI47" s="142"/>
      <c r="AJ47" s="142"/>
      <c r="AK47" s="142"/>
      <c r="AL47" s="142"/>
      <c r="AM47" s="368" t="str">
        <f>IF(B56="","",IF(B56=0,0,1))</f>
        <v/>
      </c>
      <c r="AN47" s="378" t="str">
        <f ca="1">IF(OR(AM47="",AM47=1,AND(AM47=0,AM46=0)),"",MATCH(1,AM47:AM$145,0)-1-COUNTIF(AM47:OFFSET(AM47,MATCH(1,AM47:AM$145,0)-1,0),""))</f>
        <v/>
      </c>
      <c r="AO47" s="242"/>
      <c r="AP47" s="242"/>
      <c r="AQ47" s="242"/>
      <c r="AR47" s="142"/>
      <c r="AS47" s="242"/>
      <c r="AT47" s="142"/>
      <c r="AU47" s="142"/>
      <c r="AV47" s="142"/>
      <c r="AW47" s="143"/>
      <c r="AX47" s="143"/>
      <c r="AY47" s="143"/>
      <c r="AZ47" s="143"/>
      <c r="BA47" s="143"/>
      <c r="BB47" s="143"/>
      <c r="BC47" s="143"/>
      <c r="BD47" s="143"/>
      <c r="BE47" s="143"/>
      <c r="BF47" s="143"/>
      <c r="BG47" s="143"/>
      <c r="BH47" s="143"/>
      <c r="BI47" s="143"/>
      <c r="BJ47" s="143"/>
      <c r="BK47" s="143"/>
      <c r="BL47" s="143"/>
      <c r="BM47" s="143"/>
      <c r="BN47" s="143"/>
    </row>
    <row r="48" spans="2:66" ht="24.75">
      <c r="B48" s="487">
        <f>DATE(YEAR($B27),MONTH($B27)-1,1)</f>
        <v>42736</v>
      </c>
      <c r="C48" s="488"/>
      <c r="D48" s="489"/>
      <c r="E48" s="146"/>
      <c r="F48" s="146"/>
      <c r="G48" s="146"/>
      <c r="H48" s="147"/>
      <c r="I48" s="286">
        <f>SUM($B62:$H62)</f>
        <v>0</v>
      </c>
      <c r="J48" s="247">
        <f>COUNTIF($B62:$H62,"0")</f>
        <v>0</v>
      </c>
      <c r="K48" s="247"/>
      <c r="L48" s="247">
        <f>COUNTIF($B62:$H62,"&gt;0")</f>
        <v>0</v>
      </c>
      <c r="M48" s="288">
        <f>J48+L48</f>
        <v>0</v>
      </c>
      <c r="N48" s="293"/>
      <c r="O48" s="197"/>
      <c r="Q48" s="351"/>
      <c r="V48" s="142"/>
      <c r="W48" s="142"/>
      <c r="X48" s="142"/>
      <c r="Y48" s="394"/>
      <c r="Z48" s="142"/>
      <c r="AB48" s="142"/>
      <c r="AC48" s="142"/>
      <c r="AD48" s="142"/>
      <c r="AE48" s="142"/>
      <c r="AF48" s="142"/>
      <c r="AG48" s="142"/>
      <c r="AH48" s="142"/>
      <c r="AI48" s="142"/>
      <c r="AJ48" s="142"/>
      <c r="AK48" s="142"/>
      <c r="AL48" s="142"/>
      <c r="AM48" s="368" t="str">
        <f>IF(C56="","",IF(C56=0,0,1))</f>
        <v/>
      </c>
      <c r="AN48" s="378" t="str">
        <f ca="1">IF(OR(AM48="",AM48=1,AND(AM48=0,AM47=0)),"",MATCH(1,AM48:AM$145,0)-1-COUNTIF(AM48:OFFSET(AM48,MATCH(1,AM48:AM$145,0)-1,0),""))</f>
        <v/>
      </c>
      <c r="AO48" s="242"/>
      <c r="AP48" s="242"/>
      <c r="AQ48" s="242"/>
      <c r="AR48" s="142"/>
      <c r="AS48" s="242"/>
      <c r="AT48" s="142"/>
      <c r="AU48" s="142"/>
      <c r="AV48" s="142"/>
      <c r="AW48" s="143"/>
      <c r="AX48" s="143"/>
      <c r="AY48" s="143"/>
      <c r="AZ48" s="143"/>
      <c r="BA48" s="143"/>
      <c r="BB48" s="143"/>
      <c r="BC48" s="143"/>
      <c r="BD48" s="143"/>
      <c r="BE48" s="143"/>
      <c r="BF48" s="143"/>
      <c r="BG48" s="143"/>
      <c r="BH48" s="143"/>
      <c r="BI48" s="143"/>
      <c r="BJ48" s="143"/>
      <c r="BK48" s="143"/>
      <c r="BL48" s="143"/>
      <c r="BM48" s="143"/>
      <c r="BN48" s="143"/>
    </row>
    <row r="49" spans="2:66" ht="13.5" thickBot="1">
      <c r="B49" s="146"/>
      <c r="C49" s="146"/>
      <c r="D49" s="146"/>
      <c r="E49" s="146"/>
      <c r="F49" s="146"/>
      <c r="G49" s="146"/>
      <c r="H49" s="146"/>
      <c r="I49" s="289"/>
      <c r="J49" s="245"/>
      <c r="K49" s="245"/>
      <c r="L49" s="245"/>
      <c r="M49" s="245"/>
      <c r="N49" s="293"/>
      <c r="O49" s="197"/>
      <c r="V49" s="142"/>
      <c r="W49" s="142"/>
      <c r="X49" s="142"/>
      <c r="Y49" s="142"/>
      <c r="Z49" s="142"/>
      <c r="AB49" s="142"/>
      <c r="AC49" s="142"/>
      <c r="AD49" s="142"/>
      <c r="AE49" s="142"/>
      <c r="AF49" s="142"/>
      <c r="AG49" s="142"/>
      <c r="AH49" s="142"/>
      <c r="AI49" s="142"/>
      <c r="AJ49" s="142"/>
      <c r="AK49" s="142"/>
      <c r="AL49" s="142"/>
      <c r="AM49" s="368" t="str">
        <f>IF(D56="","",IF(D56=0,0,1))</f>
        <v/>
      </c>
      <c r="AN49" s="378" t="str">
        <f ca="1">IF(OR(AM49="",AM49=1,AND(AM49=0,AM48=0)),"",MATCH(1,AM49:AM$145,0)-1-COUNTIF(AM49:OFFSET(AM49,MATCH(1,AM49:AM$145,0)-1,0),""))</f>
        <v/>
      </c>
      <c r="AO49" s="242"/>
      <c r="AP49" s="242"/>
      <c r="AQ49" s="242"/>
      <c r="AR49" s="142"/>
      <c r="AS49" s="242"/>
      <c r="AT49" s="142"/>
      <c r="AU49" s="142"/>
      <c r="AV49" s="142"/>
      <c r="AW49" s="143"/>
      <c r="AX49" s="143"/>
      <c r="AY49" s="143"/>
      <c r="AZ49" s="143"/>
      <c r="BA49" s="143"/>
      <c r="BB49" s="143"/>
      <c r="BC49" s="143"/>
      <c r="BD49" s="143"/>
      <c r="BE49" s="143"/>
      <c r="BF49" s="143"/>
      <c r="BG49" s="143"/>
      <c r="BH49" s="143"/>
      <c r="BI49" s="143"/>
      <c r="BJ49" s="143"/>
      <c r="BK49" s="143"/>
      <c r="BL49" s="143"/>
      <c r="BM49" s="143"/>
      <c r="BN49" s="143"/>
    </row>
    <row r="50" spans="2:66" ht="18" customHeight="1">
      <c r="B50" s="171" t="s">
        <v>23</v>
      </c>
      <c r="C50" s="172" t="s">
        <v>24</v>
      </c>
      <c r="D50" s="172" t="s">
        <v>25</v>
      </c>
      <c r="E50" s="172" t="s">
        <v>26</v>
      </c>
      <c r="F50" s="172" t="s">
        <v>27</v>
      </c>
      <c r="G50" s="172" t="s">
        <v>28</v>
      </c>
      <c r="H50" s="276" t="s">
        <v>29</v>
      </c>
      <c r="I50" s="286">
        <f>SUM($B65:$H65)</f>
        <v>0</v>
      </c>
      <c r="J50" s="247">
        <f>COUNTIF($B65:$H65,"0")</f>
        <v>0</v>
      </c>
      <c r="K50" s="247"/>
      <c r="L50" s="247">
        <f>COUNTIF($B65:$H65,"&gt;0")</f>
        <v>0</v>
      </c>
      <c r="M50" s="288">
        <f>J50+L50</f>
        <v>0</v>
      </c>
      <c r="N50" s="293"/>
      <c r="O50" s="197"/>
      <c r="R50" s="109"/>
      <c r="T50" s="395"/>
      <c r="U50" s="395"/>
      <c r="V50" s="142"/>
      <c r="W50" s="142"/>
      <c r="X50" s="142"/>
      <c r="Y50" s="142"/>
      <c r="Z50" s="142"/>
      <c r="AB50" s="142"/>
      <c r="AC50" s="142"/>
      <c r="AD50" s="142"/>
      <c r="AE50" s="142"/>
      <c r="AF50" s="142"/>
      <c r="AG50" s="142"/>
      <c r="AH50" s="142"/>
      <c r="AI50" s="142"/>
      <c r="AJ50" s="142"/>
      <c r="AK50" s="142"/>
      <c r="AL50" s="142"/>
      <c r="AM50" s="368" t="str">
        <f>IF(E56="","",IF(E56=0,0,1))</f>
        <v/>
      </c>
      <c r="AN50" s="378" t="str">
        <f ca="1">IF(OR(AM50="",AM50=1,AND(AM50=0,AM49=0)),"",MATCH(1,AM50:AM$145,0)-1-COUNTIF(AM50:OFFSET(AM50,MATCH(1,AM50:AM$145,0)-1,0),""))</f>
        <v/>
      </c>
      <c r="AO50" s="242"/>
      <c r="AP50" s="242"/>
      <c r="AQ50" s="242"/>
      <c r="AR50" s="142"/>
      <c r="AS50" s="242"/>
      <c r="AT50" s="142"/>
      <c r="AU50" s="142"/>
      <c r="AV50" s="142"/>
      <c r="AW50" s="143"/>
      <c r="AX50" s="143"/>
      <c r="AY50" s="143"/>
      <c r="AZ50" s="143"/>
      <c r="BA50" s="143"/>
      <c r="BB50" s="143"/>
      <c r="BC50" s="143"/>
      <c r="BD50" s="143"/>
      <c r="BE50" s="143"/>
      <c r="BF50" s="143"/>
      <c r="BG50" s="143"/>
      <c r="BH50" s="143"/>
      <c r="BI50" s="143"/>
      <c r="BJ50" s="143"/>
      <c r="BK50" s="143"/>
      <c r="BL50" s="143"/>
      <c r="BM50" s="143"/>
      <c r="BN50" s="143"/>
    </row>
    <row r="51" spans="2:66" ht="18" customHeight="1">
      <c r="B51" s="174">
        <f>(WEEKDAY($B48)=1)*B48</f>
        <v>42736</v>
      </c>
      <c r="C51" s="174">
        <f>(WEEKDAY($B48)=2)*B48+($B51&gt;0)+B51</f>
        <v>42737</v>
      </c>
      <c r="D51" s="174">
        <f>(WEEKDAY($B48)=3)*B48+(C51&gt;0)+C51</f>
        <v>42738</v>
      </c>
      <c r="E51" s="174">
        <f>(WEEKDAY($B48)=4)*B48+(D51&gt;0)+D51</f>
        <v>42739</v>
      </c>
      <c r="F51" s="174">
        <f>(WEEKDAY($B48)=5)*B48+(E51&gt;0)+E51</f>
        <v>42740</v>
      </c>
      <c r="G51" s="174">
        <f>(WEEKDAY($B48)=6)*B48+(F51&gt;0)+F51</f>
        <v>42741</v>
      </c>
      <c r="H51" s="174">
        <f>(WEEKDAY($B48)=7)*B48+(G51&gt;0)+G51</f>
        <v>42742</v>
      </c>
      <c r="I51" s="289"/>
      <c r="J51" s="245"/>
      <c r="K51" s="245" t="str">
        <f>IF($E$6="Male","heavydrinkdays (&gt;4)","heavydrinkdays (&gt;3)")</f>
        <v>heavydrinkdays (&gt;4)</v>
      </c>
      <c r="L51" s="245"/>
      <c r="M51" s="245"/>
      <c r="N51" s="293"/>
      <c r="O51" s="197"/>
      <c r="V51" s="142"/>
      <c r="W51" s="142"/>
      <c r="X51" s="142"/>
      <c r="Y51" s="142"/>
      <c r="Z51" s="142"/>
      <c r="AB51" s="142"/>
      <c r="AC51" s="142"/>
      <c r="AD51" s="142"/>
      <c r="AE51" s="142"/>
      <c r="AF51" s="142"/>
      <c r="AG51" s="142"/>
      <c r="AH51" s="142"/>
      <c r="AI51" s="142"/>
      <c r="AJ51" s="142"/>
      <c r="AK51" s="142"/>
      <c r="AL51" s="391">
        <f>$B$69</f>
        <v>42705</v>
      </c>
      <c r="AM51" s="368" t="str">
        <f>IF(F56="","",IF(F56=0,0,1))</f>
        <v/>
      </c>
      <c r="AN51" s="378" t="str">
        <f ca="1">IF(OR(AM51="",AM51=1,AND(AM51=0,AM50=0)),"",MATCH(1,AM51:AM$145,0)-1-COUNTIF(AM51:OFFSET(AM51,MATCH(1,AM51:AM$145,0)-1,0),""))</f>
        <v/>
      </c>
      <c r="AO51" s="242"/>
      <c r="AP51" s="242"/>
      <c r="AQ51" s="242"/>
      <c r="AR51" s="142"/>
      <c r="AS51" s="242"/>
      <c r="AT51" s="142"/>
      <c r="AU51" s="142"/>
      <c r="AV51" s="142"/>
      <c r="AW51" s="143"/>
      <c r="AX51" s="143"/>
      <c r="AY51" s="143"/>
      <c r="AZ51" s="143"/>
      <c r="BA51" s="143"/>
      <c r="BB51" s="143"/>
      <c r="BC51" s="143"/>
      <c r="BD51" s="143"/>
      <c r="BE51" s="143"/>
      <c r="BF51" s="143"/>
      <c r="BG51" s="143"/>
      <c r="BH51" s="143"/>
      <c r="BI51" s="143"/>
      <c r="BJ51" s="143"/>
      <c r="BK51" s="143"/>
      <c r="BL51" s="143"/>
      <c r="BM51" s="143"/>
      <c r="BN51" s="143"/>
    </row>
    <row r="52" spans="2:66" ht="18" customHeight="1">
      <c r="B52" s="189"/>
      <c r="C52" s="189"/>
      <c r="D52" s="189"/>
      <c r="E52" s="189"/>
      <c r="F52" s="189"/>
      <c r="G52" s="189"/>
      <c r="H52" s="189"/>
      <c r="I52" s="290">
        <v>0</v>
      </c>
      <c r="J52" s="248">
        <v>0</v>
      </c>
      <c r="K52" s="248">
        <v>0</v>
      </c>
      <c r="L52" s="248">
        <v>0</v>
      </c>
      <c r="M52" s="248">
        <v>0</v>
      </c>
      <c r="N52" s="293"/>
      <c r="O52" s="197"/>
      <c r="R52" s="498"/>
      <c r="S52" s="498"/>
      <c r="T52" s="498"/>
      <c r="U52" s="346"/>
      <c r="V52" s="142"/>
      <c r="W52" s="142"/>
      <c r="X52" s="142"/>
      <c r="Y52" s="142"/>
      <c r="Z52" s="142"/>
      <c r="AB52" s="142"/>
      <c r="AC52" s="142"/>
      <c r="AD52" s="142"/>
      <c r="AE52" s="142"/>
      <c r="AF52" s="142"/>
      <c r="AG52" s="142"/>
      <c r="AH52" s="142"/>
      <c r="AI52" s="142"/>
      <c r="AJ52" s="142"/>
      <c r="AK52" s="142"/>
      <c r="AL52" s="142"/>
      <c r="AM52" s="368" t="str">
        <f>IF(G56="","",IF(G56=0,0,1))</f>
        <v/>
      </c>
      <c r="AN52" s="378" t="str">
        <f ca="1">IF(OR(AM52="",AM52=1,AND(AM52=0,AM51=0)),"",MATCH(1,AM52:AM$145,0)-1-COUNTIF(AM52:OFFSET(AM52,MATCH(1,AM52:AM$145,0)-1,0),""))</f>
        <v/>
      </c>
      <c r="AO52" s="242"/>
      <c r="AP52" s="242"/>
      <c r="AQ52" s="242"/>
      <c r="AR52" s="142"/>
      <c r="AS52" s="242"/>
      <c r="AT52" s="142"/>
      <c r="AU52" s="142"/>
      <c r="AV52" s="142"/>
      <c r="AW52" s="143"/>
      <c r="AX52" s="143"/>
      <c r="AY52" s="143"/>
      <c r="AZ52" s="143"/>
      <c r="BA52" s="143"/>
      <c r="BB52" s="143"/>
      <c r="BC52" s="143"/>
      <c r="BD52" s="143"/>
      <c r="BE52" s="143"/>
      <c r="BF52" s="143"/>
      <c r="BG52" s="143"/>
      <c r="BH52" s="143"/>
      <c r="BI52" s="143"/>
      <c r="BJ52" s="143"/>
      <c r="BK52" s="143"/>
      <c r="BL52" s="143"/>
      <c r="BM52" s="143"/>
      <c r="BN52" s="143"/>
    </row>
    <row r="53" spans="2:66" ht="18" customHeight="1">
      <c r="B53" s="216"/>
      <c r="C53" s="216"/>
      <c r="D53" s="216"/>
      <c r="E53" s="216"/>
      <c r="F53" s="216"/>
      <c r="G53" s="216"/>
      <c r="H53" s="216"/>
      <c r="I53" s="354"/>
      <c r="J53" s="353"/>
      <c r="K53" s="249">
        <f>(IF($E$6="Male",COUNTIF($B53:$H53,"&gt;4"),COUNTIF($B53:$H53,"&gt;3")))</f>
        <v>0</v>
      </c>
      <c r="L53" s="249"/>
      <c r="M53" s="353"/>
      <c r="N53" s="293"/>
      <c r="O53" s="197"/>
      <c r="R53" s="14"/>
      <c r="S53" s="14"/>
      <c r="T53" s="15"/>
      <c r="U53" s="15"/>
      <c r="V53" s="142"/>
      <c r="W53" s="142"/>
      <c r="X53" s="142"/>
      <c r="Y53" s="142"/>
      <c r="Z53" s="142"/>
      <c r="AB53" s="142"/>
      <c r="AC53" s="142"/>
      <c r="AD53" s="142"/>
      <c r="AE53" s="142"/>
      <c r="AF53" s="142"/>
      <c r="AG53" s="142"/>
      <c r="AH53" s="142"/>
      <c r="AI53" s="142"/>
      <c r="AJ53" s="142"/>
      <c r="AK53" s="142"/>
      <c r="AL53" s="142"/>
      <c r="AM53" s="368" t="str">
        <f>IF(H56="","",IF(H56=0,0,1))</f>
        <v/>
      </c>
      <c r="AN53" s="378" t="str">
        <f ca="1">IF(OR(AM53="",AM53=1,AND(AM53=0,AM52=0)),"",MATCH(1,AM53:AM$145,0)-1-COUNTIF(AM53:OFFSET(AM53,MATCH(1,AM53:AM$145,0)-1,0),""))</f>
        <v/>
      </c>
      <c r="AO53" s="242"/>
      <c r="AP53" s="242"/>
      <c r="AQ53" s="242"/>
      <c r="AR53" s="142"/>
      <c r="AS53" s="242"/>
      <c r="AT53" s="142"/>
      <c r="AU53" s="142"/>
      <c r="AV53" s="142"/>
      <c r="AW53" s="143"/>
      <c r="AX53" s="143"/>
      <c r="AY53" s="143"/>
      <c r="AZ53" s="143"/>
      <c r="BA53" s="143"/>
      <c r="BB53" s="143"/>
      <c r="BC53" s="143"/>
      <c r="BD53" s="143"/>
      <c r="BE53" s="143"/>
      <c r="BF53" s="143"/>
      <c r="BG53" s="143"/>
      <c r="BH53" s="143"/>
      <c r="BI53" s="143"/>
      <c r="BJ53" s="143"/>
      <c r="BK53" s="143"/>
      <c r="BL53" s="143"/>
      <c r="BM53" s="143"/>
      <c r="BN53" s="143"/>
    </row>
    <row r="54" spans="2:66" ht="18" customHeight="1">
      <c r="B54" s="176">
        <f>+H51+1</f>
        <v>42743</v>
      </c>
      <c r="C54" s="5">
        <f t="shared" ref="C54" si="12">+B54+1</f>
        <v>42744</v>
      </c>
      <c r="D54" s="5">
        <f t="shared" ref="D54" si="13">+C54+1</f>
        <v>42745</v>
      </c>
      <c r="E54" s="5">
        <f t="shared" ref="E54" si="14">+D54+1</f>
        <v>42746</v>
      </c>
      <c r="F54" s="5">
        <f t="shared" ref="F54" si="15">+E54+1</f>
        <v>42747</v>
      </c>
      <c r="G54" s="5">
        <f t="shared" ref="G54" si="16">+F54+1</f>
        <v>42748</v>
      </c>
      <c r="H54" s="271">
        <f t="shared" ref="H54" si="17">+G54+1</f>
        <v>42749</v>
      </c>
      <c r="I54" s="295"/>
      <c r="J54" s="283"/>
      <c r="K54" s="283"/>
      <c r="L54" s="283"/>
      <c r="M54" s="283"/>
      <c r="N54" s="293"/>
      <c r="O54" s="197"/>
      <c r="R54" s="17"/>
      <c r="S54" s="16"/>
      <c r="T54" s="18"/>
      <c r="U54" s="18"/>
      <c r="V54" s="142"/>
      <c r="W54" s="142"/>
      <c r="X54" s="142"/>
      <c r="Y54" s="142"/>
      <c r="Z54" s="142"/>
      <c r="AB54" s="142"/>
      <c r="AC54" s="142"/>
      <c r="AD54" s="142"/>
      <c r="AE54" s="142"/>
      <c r="AF54" s="142"/>
      <c r="AG54" s="142"/>
      <c r="AH54" s="142"/>
      <c r="AI54" s="142"/>
      <c r="AJ54" s="142"/>
      <c r="AK54" s="142"/>
      <c r="AL54" s="142"/>
      <c r="AM54" s="368" t="str">
        <f>IF(B59="","",IF(B59=0,0,1))</f>
        <v/>
      </c>
      <c r="AN54" s="378" t="str">
        <f ca="1">IF(OR(AM54="",AM54=1,AND(AM54=0,AM53=0)),"",MATCH(1,AM54:AM$145,0)-1-COUNTIF(AM54:OFFSET(AM54,MATCH(1,AM54:AM$145,0)-1,0),""))</f>
        <v/>
      </c>
      <c r="AO54" s="242"/>
      <c r="AP54" s="242"/>
      <c r="AQ54" s="242"/>
      <c r="AR54" s="142"/>
      <c r="AS54" s="242"/>
      <c r="AT54" s="142"/>
      <c r="AU54" s="142"/>
      <c r="AV54" s="142"/>
      <c r="AW54" s="143"/>
      <c r="AX54" s="143"/>
      <c r="AY54" s="143"/>
      <c r="AZ54" s="143"/>
      <c r="BA54" s="143"/>
      <c r="BB54" s="143"/>
      <c r="BC54" s="143"/>
      <c r="BD54" s="143"/>
      <c r="BE54" s="143"/>
      <c r="BF54" s="143"/>
      <c r="BG54" s="143"/>
      <c r="BH54" s="143"/>
      <c r="BI54" s="143"/>
      <c r="BJ54" s="143"/>
      <c r="BK54" s="143"/>
      <c r="BL54" s="143"/>
      <c r="BM54" s="143"/>
      <c r="BN54" s="143"/>
    </row>
    <row r="55" spans="2:66" ht="18" customHeight="1">
      <c r="B55" s="189"/>
      <c r="C55" s="192"/>
      <c r="D55" s="192"/>
      <c r="E55" s="192"/>
      <c r="F55" s="192"/>
      <c r="G55" s="192"/>
      <c r="H55" s="268"/>
      <c r="I55" s="294"/>
      <c r="J55" s="283"/>
      <c r="K55" s="283"/>
      <c r="L55" s="283"/>
      <c r="M55" s="283"/>
      <c r="N55" s="293"/>
      <c r="O55" s="197"/>
      <c r="R55" s="19"/>
      <c r="S55" s="14"/>
      <c r="T55" s="20"/>
      <c r="U55" s="20"/>
      <c r="V55" s="142"/>
      <c r="W55" s="142"/>
      <c r="X55" s="142"/>
      <c r="Y55" s="142"/>
      <c r="Z55" s="142"/>
      <c r="AB55" s="142"/>
      <c r="AC55" s="142"/>
      <c r="AD55" s="142"/>
      <c r="AE55" s="142"/>
      <c r="AF55" s="142"/>
      <c r="AG55" s="142"/>
      <c r="AH55" s="142"/>
      <c r="AI55" s="142"/>
      <c r="AJ55" s="142"/>
      <c r="AK55" s="142"/>
      <c r="AL55" s="142"/>
      <c r="AM55" s="368" t="str">
        <f>IF(C59="","",IF(C59=0,0,1))</f>
        <v/>
      </c>
      <c r="AN55" s="378" t="str">
        <f ca="1">IF(OR(AM55="",AM55=1,AND(AM55=0,AM54=0)),"",MATCH(1,AM55:AM$145,0)-1-COUNTIF(AM55:OFFSET(AM55,MATCH(1,AM55:AM$145,0)-1,0),""))</f>
        <v/>
      </c>
      <c r="AO55" s="242"/>
      <c r="AP55" s="242"/>
      <c r="AQ55" s="242"/>
      <c r="AR55" s="142"/>
      <c r="AS55" s="242"/>
      <c r="AT55" s="142"/>
      <c r="AU55" s="142"/>
      <c r="AV55" s="142"/>
      <c r="AW55" s="143"/>
      <c r="AX55" s="143"/>
      <c r="AY55" s="143"/>
      <c r="AZ55" s="143"/>
      <c r="BA55" s="143"/>
      <c r="BB55" s="143"/>
      <c r="BC55" s="143"/>
      <c r="BD55" s="143"/>
      <c r="BE55" s="143"/>
      <c r="BF55" s="143"/>
      <c r="BG55" s="143"/>
      <c r="BH55" s="143"/>
      <c r="BI55" s="143"/>
      <c r="BJ55" s="143"/>
      <c r="BK55" s="143"/>
      <c r="BL55" s="143"/>
      <c r="BM55" s="143"/>
      <c r="BN55" s="143"/>
    </row>
    <row r="56" spans="2:66" ht="18" customHeight="1">
      <c r="B56" s="219"/>
      <c r="C56" s="220"/>
      <c r="D56" s="220"/>
      <c r="E56" s="220"/>
      <c r="F56" s="220"/>
      <c r="G56" s="220"/>
      <c r="H56" s="272"/>
      <c r="I56" s="282">
        <f>B69</f>
        <v>42705</v>
      </c>
      <c r="J56" s="283"/>
      <c r="K56" s="283">
        <f>(IF($E$6="Male",COUNTIF($B56:$H56,"&gt;4"),COUNTIF($B56:$H56,"&gt;3")))</f>
        <v>0</v>
      </c>
      <c r="L56" s="283"/>
      <c r="M56" s="283"/>
      <c r="N56" s="293"/>
      <c r="O56" s="197"/>
      <c r="R56" s="17"/>
      <c r="S56" s="16"/>
      <c r="T56" s="18"/>
      <c r="U56" s="18"/>
      <c r="V56" s="142"/>
      <c r="W56" s="142"/>
      <c r="X56" s="142"/>
      <c r="Y56" s="142"/>
      <c r="Z56" s="142"/>
      <c r="AB56" s="142"/>
      <c r="AC56" s="142"/>
      <c r="AD56" s="142"/>
      <c r="AE56" s="142"/>
      <c r="AF56" s="142"/>
      <c r="AG56" s="142"/>
      <c r="AH56" s="142"/>
      <c r="AI56" s="142"/>
      <c r="AJ56" s="142"/>
      <c r="AK56" s="142"/>
      <c r="AL56" s="142"/>
      <c r="AM56" s="368" t="str">
        <f>IF(D59="","",IF(D59=0,0,1))</f>
        <v/>
      </c>
      <c r="AN56" s="378" t="str">
        <f ca="1">IF(OR(AM56="",AM56=1,AND(AM56=0,AM55=0)),"",MATCH(1,AM56:AM$145,0)-1-COUNTIF(AM56:OFFSET(AM56,MATCH(1,AM56:AM$145,0)-1,0),""))</f>
        <v/>
      </c>
      <c r="AO56" s="242"/>
      <c r="AP56" s="242"/>
      <c r="AQ56" s="242"/>
      <c r="AR56" s="142"/>
      <c r="AS56" s="242"/>
      <c r="AT56" s="142"/>
      <c r="AU56" s="142"/>
      <c r="AV56" s="142"/>
      <c r="AW56" s="143"/>
      <c r="AX56" s="143"/>
      <c r="AY56" s="143"/>
      <c r="AZ56" s="143"/>
      <c r="BA56" s="143"/>
      <c r="BB56" s="143"/>
      <c r="BC56" s="143"/>
      <c r="BD56" s="143"/>
      <c r="BE56" s="143"/>
      <c r="BF56" s="143"/>
      <c r="BG56" s="143"/>
      <c r="BH56" s="143"/>
      <c r="BI56" s="143"/>
      <c r="BJ56" s="143"/>
      <c r="BK56" s="143"/>
      <c r="BL56" s="143"/>
      <c r="BM56" s="143"/>
      <c r="BN56" s="143"/>
    </row>
    <row r="57" spans="2:66" ht="18" customHeight="1">
      <c r="B57" s="176">
        <f>+H54+1</f>
        <v>42750</v>
      </c>
      <c r="C57" s="5">
        <f t="shared" ref="C57" si="18">+B57+1</f>
        <v>42751</v>
      </c>
      <c r="D57" s="5">
        <f t="shared" ref="D57" si="19">+C57+1</f>
        <v>42752</v>
      </c>
      <c r="E57" s="5">
        <f t="shared" ref="E57" si="20">+D57+1</f>
        <v>42753</v>
      </c>
      <c r="F57" s="5">
        <f t="shared" ref="F57" si="21">+E57+1</f>
        <v>42754</v>
      </c>
      <c r="G57" s="5">
        <f t="shared" ref="G57" si="22">+F57+1</f>
        <v>42755</v>
      </c>
      <c r="H57" s="271">
        <f t="shared" ref="H57" si="23">+G57+1</f>
        <v>42756</v>
      </c>
      <c r="I57" s="285" t="s">
        <v>240</v>
      </c>
      <c r="J57" s="245" t="s">
        <v>242</v>
      </c>
      <c r="K57" s="246"/>
      <c r="L57" s="245" t="s">
        <v>241</v>
      </c>
      <c r="M57" s="245" t="s">
        <v>243</v>
      </c>
      <c r="N57" s="293"/>
      <c r="O57" s="197"/>
      <c r="R57" s="19"/>
      <c r="S57" s="14"/>
      <c r="T57" s="20"/>
      <c r="U57" s="20"/>
      <c r="V57" s="142"/>
      <c r="W57" s="142"/>
      <c r="X57" s="142"/>
      <c r="Y57" s="142"/>
      <c r="Z57" s="142"/>
      <c r="AB57" s="142"/>
      <c r="AC57" s="142"/>
      <c r="AD57" s="142"/>
      <c r="AE57" s="142"/>
      <c r="AF57" s="142"/>
      <c r="AG57" s="142"/>
      <c r="AH57" s="142"/>
      <c r="AI57" s="142"/>
      <c r="AJ57" s="142"/>
      <c r="AK57" s="142"/>
      <c r="AL57" s="142"/>
      <c r="AM57" s="368" t="str">
        <f>IF(E59="","",IF(E59=0,0,1))</f>
        <v/>
      </c>
      <c r="AN57" s="378" t="str">
        <f ca="1">IF(OR(AM57="",AM57=1,AND(AM57=0,AM56=0)),"",MATCH(1,AM57:AM$145,0)-1-COUNTIF(AM57:OFFSET(AM57,MATCH(1,AM57:AM$145,0)-1,0),""))</f>
        <v/>
      </c>
      <c r="AO57" s="242"/>
      <c r="AP57" s="242"/>
      <c r="AQ57" s="242"/>
      <c r="AR57" s="142"/>
      <c r="AS57" s="242"/>
      <c r="AT57" s="142"/>
      <c r="AU57" s="142"/>
      <c r="AV57" s="142"/>
      <c r="AW57" s="143"/>
      <c r="AX57" s="143"/>
      <c r="AY57" s="143"/>
      <c r="AZ57" s="143"/>
      <c r="BA57" s="143"/>
      <c r="BB57" s="143"/>
      <c r="BC57" s="143"/>
      <c r="BD57" s="143"/>
      <c r="BE57" s="143"/>
      <c r="BF57" s="143"/>
      <c r="BG57" s="143"/>
      <c r="BH57" s="143"/>
      <c r="BI57" s="143"/>
      <c r="BJ57" s="143"/>
      <c r="BK57" s="143"/>
      <c r="BL57" s="143"/>
      <c r="BM57" s="143"/>
      <c r="BN57" s="143"/>
    </row>
    <row r="58" spans="2:66" ht="18" customHeight="1">
      <c r="B58" s="189"/>
      <c r="C58" s="192"/>
      <c r="D58" s="192"/>
      <c r="E58" s="192"/>
      <c r="F58" s="192"/>
      <c r="G58" s="192"/>
      <c r="H58" s="268"/>
      <c r="I58" s="286">
        <f>SUM($B74:$H74)</f>
        <v>0</v>
      </c>
      <c r="J58" s="247">
        <f>COUNTIF($B74:$H74,"0")</f>
        <v>0</v>
      </c>
      <c r="K58" s="247"/>
      <c r="L58" s="247">
        <f>COUNTIF($B74:$H74,"&gt;0")</f>
        <v>0</v>
      </c>
      <c r="M58" s="288">
        <f>J58+L58</f>
        <v>0</v>
      </c>
      <c r="N58" s="293"/>
      <c r="O58" s="197"/>
      <c r="R58" s="17"/>
      <c r="S58" s="16"/>
      <c r="T58" s="18"/>
      <c r="U58" s="18"/>
      <c r="V58" s="142"/>
      <c r="W58" s="142"/>
      <c r="X58" s="142"/>
      <c r="Y58" s="142"/>
      <c r="Z58" s="142"/>
      <c r="AB58" s="142"/>
      <c r="AC58" s="142"/>
      <c r="AD58" s="142"/>
      <c r="AE58" s="142"/>
      <c r="AF58" s="142"/>
      <c r="AG58" s="142"/>
      <c r="AH58" s="142"/>
      <c r="AI58" s="142"/>
      <c r="AJ58" s="142"/>
      <c r="AK58" s="142"/>
      <c r="AL58" s="142"/>
      <c r="AM58" s="368" t="str">
        <f>IF(F59="","",IF(F59=0,0,1))</f>
        <v/>
      </c>
      <c r="AN58" s="378" t="str">
        <f ca="1">IF(OR(AM58="",AM58=1,AND(AM58=0,AM57=0)),"",MATCH(1,AM58:AM$145,0)-1-COUNTIF(AM58:OFFSET(AM58,MATCH(1,AM58:AM$145,0)-1,0),""))</f>
        <v/>
      </c>
      <c r="AO58" s="242"/>
      <c r="AP58" s="242"/>
      <c r="AQ58" s="242"/>
      <c r="AR58" s="142"/>
      <c r="AS58" s="242"/>
      <c r="AT58" s="142"/>
      <c r="AU58" s="142"/>
      <c r="AV58" s="142"/>
      <c r="AW58" s="143"/>
      <c r="AX58" s="143"/>
      <c r="AY58" s="143"/>
      <c r="AZ58" s="143"/>
      <c r="BA58" s="143"/>
      <c r="BB58" s="143"/>
      <c r="BC58" s="143"/>
      <c r="BD58" s="143"/>
      <c r="BE58" s="143"/>
      <c r="BF58" s="143"/>
      <c r="BG58" s="143"/>
      <c r="BH58" s="143"/>
      <c r="BI58" s="143"/>
      <c r="BJ58" s="143"/>
      <c r="BK58" s="143"/>
      <c r="BL58" s="143"/>
      <c r="BM58" s="143"/>
      <c r="BN58" s="143"/>
    </row>
    <row r="59" spans="2:66" ht="18" customHeight="1">
      <c r="B59" s="219"/>
      <c r="C59" s="220"/>
      <c r="D59" s="220"/>
      <c r="E59" s="220"/>
      <c r="F59" s="220"/>
      <c r="G59" s="220"/>
      <c r="H59" s="272"/>
      <c r="I59" s="289"/>
      <c r="J59" s="245"/>
      <c r="K59" s="245">
        <f>(IF($E$6="Male",COUNTIF($B59:$H59,"&gt;4"),COUNTIF($B59:$H59,"&gt;3")))</f>
        <v>0</v>
      </c>
      <c r="L59" s="245"/>
      <c r="M59" s="245"/>
      <c r="N59" s="293"/>
      <c r="O59" s="197"/>
      <c r="R59" s="19"/>
      <c r="S59" s="14"/>
      <c r="T59" s="20"/>
      <c r="U59" s="20"/>
      <c r="V59" s="142"/>
      <c r="W59" s="142"/>
      <c r="X59" s="142"/>
      <c r="Y59" s="142"/>
      <c r="Z59" s="142"/>
      <c r="AB59" s="142"/>
      <c r="AC59" s="142"/>
      <c r="AD59" s="142"/>
      <c r="AE59" s="142"/>
      <c r="AF59" s="142"/>
      <c r="AG59" s="142"/>
      <c r="AH59" s="142"/>
      <c r="AI59" s="142"/>
      <c r="AJ59" s="142"/>
      <c r="AK59" s="142"/>
      <c r="AL59" s="142"/>
      <c r="AM59" s="368" t="str">
        <f>IF(G59="","",IF(G59=0,0,1))</f>
        <v/>
      </c>
      <c r="AN59" s="378" t="str">
        <f ca="1">IF(OR(AM59="",AM59=1,AND(AM59=0,AM58=0)),"",MATCH(1,AM59:AM$145,0)-1-COUNTIF(AM59:OFFSET(AM59,MATCH(1,AM59:AM$145,0)-1,0),""))</f>
        <v/>
      </c>
      <c r="AO59" s="242"/>
      <c r="AP59" s="242"/>
      <c r="AQ59" s="242"/>
      <c r="AR59" s="142"/>
      <c r="AS59" s="242"/>
      <c r="AT59" s="142"/>
      <c r="AU59" s="142"/>
      <c r="AV59" s="142"/>
      <c r="AW59" s="143"/>
      <c r="AX59" s="143"/>
      <c r="AY59" s="143"/>
      <c r="AZ59" s="143"/>
      <c r="BA59" s="143"/>
      <c r="BB59" s="143"/>
      <c r="BC59" s="143"/>
      <c r="BD59" s="143"/>
      <c r="BE59" s="143"/>
      <c r="BF59" s="143"/>
      <c r="BG59" s="143"/>
      <c r="BH59" s="143"/>
      <c r="BI59" s="143"/>
      <c r="BJ59" s="143"/>
      <c r="BK59" s="143"/>
      <c r="BL59" s="143"/>
      <c r="BM59" s="143"/>
      <c r="BN59" s="143"/>
    </row>
    <row r="60" spans="2:66" ht="18" customHeight="1">
      <c r="B60" s="176">
        <f>+H57+1</f>
        <v>42757</v>
      </c>
      <c r="C60" s="5">
        <f t="shared" ref="C60" si="24">+B60+1</f>
        <v>42758</v>
      </c>
      <c r="D60" s="5">
        <f t="shared" ref="D60" si="25">+C60+1</f>
        <v>42759</v>
      </c>
      <c r="E60" s="5">
        <f t="shared" ref="E60" si="26">+D60+1</f>
        <v>42760</v>
      </c>
      <c r="F60" s="5">
        <f t="shared" ref="F60" si="27">+E60+1</f>
        <v>42761</v>
      </c>
      <c r="G60" s="5">
        <f t="shared" ref="G60" si="28">+F60+1</f>
        <v>42762</v>
      </c>
      <c r="H60" s="271">
        <f t="shared" ref="H60" si="29">+G60+1</f>
        <v>42763</v>
      </c>
      <c r="I60" s="286">
        <f>SUM($B77:$H77)</f>
        <v>0</v>
      </c>
      <c r="J60" s="247">
        <f>COUNTIF($B77:$H77,"0")</f>
        <v>0</v>
      </c>
      <c r="K60" s="247"/>
      <c r="L60" s="247">
        <f>COUNTIF($B77:$H77,"&gt;0")</f>
        <v>0</v>
      </c>
      <c r="M60" s="288">
        <f>J60+L60</f>
        <v>0</v>
      </c>
      <c r="N60" s="293"/>
      <c r="O60" s="197"/>
      <c r="R60" s="17"/>
      <c r="S60" s="16"/>
      <c r="T60" s="18"/>
      <c r="U60" s="18"/>
      <c r="V60" s="142"/>
      <c r="W60" s="142"/>
      <c r="X60" s="142"/>
      <c r="Y60" s="142"/>
      <c r="Z60" s="396"/>
      <c r="AB60" s="396"/>
      <c r="AC60" s="142"/>
      <c r="AD60" s="142"/>
      <c r="AE60" s="142"/>
      <c r="AF60" s="142"/>
      <c r="AG60" s="142"/>
      <c r="AH60" s="142"/>
      <c r="AI60" s="142"/>
      <c r="AJ60" s="142"/>
      <c r="AK60" s="142"/>
      <c r="AL60" s="142"/>
      <c r="AM60" s="368" t="str">
        <f>IF(H59="","",IF(H59=0,0,1))</f>
        <v/>
      </c>
      <c r="AN60" s="378" t="str">
        <f ca="1">IF(OR(AM60="",AM60=1,AND(AM60=0,AM59=0)),"",MATCH(1,AM60:AM$145,0)-1-COUNTIF(AM60:OFFSET(AM60,MATCH(1,AM60:AM$145,0)-1,0),""))</f>
        <v/>
      </c>
      <c r="AO60" s="242"/>
      <c r="AP60" s="242"/>
      <c r="AQ60" s="242"/>
      <c r="AR60" s="142"/>
      <c r="AS60" s="242"/>
      <c r="AT60" s="142"/>
      <c r="AU60" s="142"/>
      <c r="AV60" s="142"/>
      <c r="AW60" s="143"/>
      <c r="AX60" s="143"/>
      <c r="AY60" s="143"/>
      <c r="AZ60" s="143"/>
      <c r="BA60" s="143"/>
      <c r="BB60" s="143"/>
      <c r="BC60" s="143"/>
      <c r="BD60" s="143"/>
      <c r="BE60" s="143"/>
      <c r="BF60" s="143"/>
      <c r="BG60" s="143"/>
      <c r="BH60" s="143"/>
      <c r="BI60" s="143"/>
      <c r="BJ60" s="143"/>
      <c r="BK60" s="143"/>
      <c r="BL60" s="143"/>
      <c r="BM60" s="143"/>
      <c r="BN60" s="143"/>
    </row>
    <row r="61" spans="2:66" ht="18" customHeight="1">
      <c r="B61" s="189"/>
      <c r="C61" s="192"/>
      <c r="D61" s="192"/>
      <c r="E61" s="192"/>
      <c r="F61" s="192"/>
      <c r="G61" s="192"/>
      <c r="H61" s="268"/>
      <c r="I61" s="289"/>
      <c r="J61" s="245"/>
      <c r="K61" s="245"/>
      <c r="L61" s="245"/>
      <c r="M61" s="245"/>
      <c r="N61" s="293"/>
      <c r="O61" s="197"/>
      <c r="R61" s="499"/>
      <c r="S61" s="499"/>
      <c r="T61" s="499"/>
      <c r="U61" s="347"/>
      <c r="V61" s="142"/>
      <c r="W61" s="142"/>
      <c r="X61" s="142"/>
      <c r="Y61" s="142"/>
      <c r="Z61" s="396"/>
      <c r="AB61" s="396"/>
      <c r="AC61" s="142"/>
      <c r="AD61" s="142"/>
      <c r="AE61" s="142"/>
      <c r="AF61" s="142"/>
      <c r="AG61" s="142"/>
      <c r="AH61" s="142"/>
      <c r="AI61" s="142"/>
      <c r="AJ61" s="142"/>
      <c r="AK61" s="142"/>
      <c r="AL61" s="142"/>
      <c r="AM61" s="368" t="str">
        <f>IF(B62="","",IF(B62=0,0,1))</f>
        <v/>
      </c>
      <c r="AN61" s="378" t="str">
        <f ca="1">IF(OR(AM61="",AM61=1,AND(AM61=0,AM60=0)),"",MATCH(1,AM61:AM$145,0)-1-COUNTIF(AM61:OFFSET(AM61,MATCH(1,AM61:AM$145,0)-1,0),""))</f>
        <v/>
      </c>
      <c r="AO61" s="242"/>
      <c r="AP61" s="242"/>
      <c r="AQ61" s="242"/>
      <c r="AR61" s="142"/>
      <c r="AS61" s="242"/>
      <c r="AT61" s="142"/>
      <c r="AU61" s="142"/>
      <c r="AV61" s="142"/>
      <c r="AW61" s="143"/>
      <c r="AX61" s="143"/>
      <c r="AY61" s="143"/>
      <c r="AZ61" s="143"/>
      <c r="BA61" s="143"/>
      <c r="BB61" s="143"/>
      <c r="BC61" s="143"/>
      <c r="BD61" s="143"/>
      <c r="BE61" s="143"/>
      <c r="BF61" s="143"/>
      <c r="BG61" s="143"/>
      <c r="BH61" s="143"/>
      <c r="BI61" s="143"/>
      <c r="BJ61" s="143"/>
      <c r="BK61" s="143"/>
      <c r="BL61" s="143"/>
      <c r="BM61" s="143"/>
      <c r="BN61" s="143"/>
    </row>
    <row r="62" spans="2:66" ht="18" customHeight="1">
      <c r="B62" s="219"/>
      <c r="C62" s="220"/>
      <c r="D62" s="220"/>
      <c r="E62" s="220"/>
      <c r="F62" s="220"/>
      <c r="G62" s="220"/>
      <c r="H62" s="272"/>
      <c r="I62" s="286">
        <f>SUM($B80:$H80)</f>
        <v>0</v>
      </c>
      <c r="J62" s="247">
        <f>COUNTIF($B80:$H80,"0")</f>
        <v>0</v>
      </c>
      <c r="K62" s="247">
        <f>(IF($E$6="Male",COUNTIF($B62:$H62,"&gt;4"),COUNTIF($B62:$H62,"&gt;3")))</f>
        <v>0</v>
      </c>
      <c r="L62" s="247">
        <f>COUNTIF($B80:$H80,"&gt;0")</f>
        <v>0</v>
      </c>
      <c r="M62" s="288">
        <f>J62+L62</f>
        <v>0</v>
      </c>
      <c r="N62" s="293"/>
      <c r="O62" s="197"/>
      <c r="R62" s="3"/>
      <c r="S62" s="3"/>
      <c r="T62" s="6"/>
      <c r="U62" s="6"/>
      <c r="V62" s="142"/>
      <c r="W62" s="142"/>
      <c r="X62" s="142"/>
      <c r="Y62" s="142"/>
      <c r="Z62" s="396"/>
      <c r="AB62" s="396"/>
      <c r="AC62" s="142"/>
      <c r="AD62" s="142"/>
      <c r="AE62" s="142"/>
      <c r="AF62" s="142"/>
      <c r="AG62" s="142"/>
      <c r="AH62" s="142"/>
      <c r="AI62" s="142"/>
      <c r="AJ62" s="142"/>
      <c r="AK62" s="142"/>
      <c r="AL62" s="142"/>
      <c r="AM62" s="368" t="str">
        <f>IF(C62="","",IF(C62=0,0,1))</f>
        <v/>
      </c>
      <c r="AN62" s="378" t="str">
        <f ca="1">IF(OR(AM62="",AM62=1,AND(AM62=0,AM61=0)),"",MATCH(1,AM62:AM$145,0)-1-COUNTIF(AM62:OFFSET(AM62,MATCH(1,AM62:AM$145,0)-1,0),""))</f>
        <v/>
      </c>
      <c r="AO62" s="242"/>
      <c r="AP62" s="242"/>
      <c r="AQ62" s="242"/>
      <c r="AR62" s="142"/>
      <c r="AS62" s="242"/>
      <c r="AT62" s="142"/>
      <c r="AU62" s="142"/>
      <c r="AV62" s="142"/>
      <c r="AW62" s="143"/>
      <c r="AX62" s="143"/>
      <c r="AY62" s="143"/>
      <c r="AZ62" s="143"/>
      <c r="BA62" s="143"/>
      <c r="BB62" s="143"/>
      <c r="BC62" s="143"/>
      <c r="BD62" s="143"/>
      <c r="BE62" s="143"/>
      <c r="BF62" s="143"/>
      <c r="BG62" s="143"/>
      <c r="BH62" s="143"/>
      <c r="BI62" s="143"/>
      <c r="BJ62" s="143"/>
      <c r="BK62" s="143"/>
      <c r="BL62" s="143"/>
      <c r="BM62" s="143"/>
      <c r="BN62" s="143"/>
    </row>
    <row r="63" spans="2:66" ht="18" customHeight="1">
      <c r="B63" s="174">
        <f>(MONTH($B60+7)=MONTH($B48))*($B60+7)</f>
        <v>42764</v>
      </c>
      <c r="C63" s="4">
        <f t="shared" ref="C63:H63" si="30">(MONTH(C60+7)=MONTH($B48))*(C60+7)</f>
        <v>42765</v>
      </c>
      <c r="D63" s="4">
        <f t="shared" si="30"/>
        <v>42766</v>
      </c>
      <c r="E63" s="4">
        <f t="shared" si="30"/>
        <v>0</v>
      </c>
      <c r="F63" s="4">
        <f t="shared" si="30"/>
        <v>0</v>
      </c>
      <c r="G63" s="4">
        <f t="shared" si="30"/>
        <v>0</v>
      </c>
      <c r="H63" s="270">
        <f t="shared" si="30"/>
        <v>0</v>
      </c>
      <c r="I63" s="289"/>
      <c r="J63" s="245"/>
      <c r="K63" s="245"/>
      <c r="L63" s="245"/>
      <c r="M63" s="245"/>
      <c r="N63" s="293"/>
      <c r="O63" s="197"/>
      <c r="R63" s="12"/>
      <c r="S63" s="10"/>
      <c r="T63" s="9"/>
      <c r="U63" s="9"/>
      <c r="V63" s="142"/>
      <c r="W63" s="142"/>
      <c r="X63" s="142"/>
      <c r="Y63" s="142"/>
      <c r="Z63" s="396"/>
      <c r="AB63" s="396"/>
      <c r="AC63" s="142"/>
      <c r="AD63" s="142"/>
      <c r="AE63" s="142"/>
      <c r="AF63" s="142"/>
      <c r="AG63" s="142"/>
      <c r="AH63" s="142"/>
      <c r="AI63" s="142"/>
      <c r="AJ63" s="142"/>
      <c r="AK63" s="142"/>
      <c r="AL63" s="142"/>
      <c r="AM63" s="368" t="str">
        <f>IF(D62="","",IF(D62=0,0,1))</f>
        <v/>
      </c>
      <c r="AN63" s="378" t="str">
        <f ca="1">IF(OR(AM63="",AM63=1,AND(AM63=0,AM62=0)),"",MATCH(1,AM63:AM$145,0)-1-COUNTIF(AM63:OFFSET(AM63,MATCH(1,AM63:AM$145,0)-1,0),""))</f>
        <v/>
      </c>
      <c r="AO63" s="242"/>
      <c r="AP63" s="242"/>
      <c r="AQ63" s="242"/>
      <c r="AR63" s="142"/>
      <c r="AS63" s="242"/>
      <c r="AT63" s="142"/>
      <c r="AU63" s="142"/>
      <c r="AV63" s="142"/>
      <c r="AW63" s="143"/>
      <c r="AX63" s="143"/>
      <c r="AY63" s="143"/>
      <c r="AZ63" s="143"/>
      <c r="BA63" s="143"/>
      <c r="BB63" s="143"/>
      <c r="BC63" s="143"/>
      <c r="BD63" s="143"/>
      <c r="BE63" s="143"/>
      <c r="BF63" s="143"/>
      <c r="BG63" s="143"/>
      <c r="BH63" s="143"/>
      <c r="BI63" s="143"/>
      <c r="BJ63" s="143"/>
      <c r="BK63" s="143"/>
      <c r="BL63" s="143"/>
      <c r="BM63" s="143"/>
      <c r="BN63" s="143"/>
    </row>
    <row r="64" spans="2:66" ht="18" customHeight="1">
      <c r="B64" s="189"/>
      <c r="C64" s="192"/>
      <c r="D64" s="192"/>
      <c r="E64" s="192"/>
      <c r="F64" s="192"/>
      <c r="G64" s="192"/>
      <c r="H64" s="268"/>
      <c r="I64" s="286">
        <f>SUM($B83:$H83)</f>
        <v>0</v>
      </c>
      <c r="J64" s="247">
        <f>COUNTIF($B83:$H83,"0")</f>
        <v>0</v>
      </c>
      <c r="K64" s="247"/>
      <c r="L64" s="247">
        <f>COUNTIF($B83:$H83,"&gt;0")</f>
        <v>0</v>
      </c>
      <c r="M64" s="288">
        <f>J64+L64</f>
        <v>0</v>
      </c>
      <c r="N64" s="293"/>
      <c r="O64" s="197"/>
      <c r="R64" s="7"/>
      <c r="S64" s="3"/>
      <c r="T64" s="8"/>
      <c r="U64" s="8"/>
      <c r="V64" s="142"/>
      <c r="W64" s="142"/>
      <c r="X64" s="142"/>
      <c r="Y64" s="142"/>
      <c r="Z64" s="396"/>
      <c r="AB64" s="396"/>
      <c r="AC64" s="142"/>
      <c r="AD64" s="142"/>
      <c r="AE64" s="142"/>
      <c r="AF64" s="142"/>
      <c r="AG64" s="142"/>
      <c r="AH64" s="142"/>
      <c r="AI64" s="142"/>
      <c r="AJ64" s="142"/>
      <c r="AK64" s="142"/>
      <c r="AL64" s="142"/>
      <c r="AM64" s="368" t="str">
        <f>IF(E62="","",IF(E62=0,0,1))</f>
        <v/>
      </c>
      <c r="AN64" s="378" t="str">
        <f ca="1">IF(OR(AM64="",AM64=1,AND(AM64=0,AM63=0)),"",MATCH(1,AM64:AM$145,0)-1-COUNTIF(AM64:OFFSET(AM64,MATCH(1,AM64:AM$145,0)-1,0),""))</f>
        <v/>
      </c>
      <c r="AO64" s="242"/>
      <c r="AP64" s="242"/>
      <c r="AQ64" s="242"/>
      <c r="AR64" s="142"/>
      <c r="AS64" s="242"/>
      <c r="AT64" s="142"/>
      <c r="AU64" s="142"/>
      <c r="AV64" s="142"/>
      <c r="AW64" s="143"/>
      <c r="AX64" s="143"/>
      <c r="AY64" s="143"/>
      <c r="AZ64" s="143"/>
      <c r="BA64" s="143"/>
      <c r="BB64" s="143"/>
      <c r="BC64" s="143"/>
      <c r="BD64" s="143"/>
      <c r="BE64" s="143"/>
      <c r="BF64" s="143"/>
      <c r="BG64" s="143"/>
      <c r="BH64" s="143"/>
      <c r="BI64" s="143"/>
      <c r="BJ64" s="143"/>
      <c r="BK64" s="143"/>
      <c r="BL64" s="143"/>
      <c r="BM64" s="143"/>
      <c r="BN64" s="143"/>
    </row>
    <row r="65" spans="2:66" ht="18" customHeight="1" thickBot="1">
      <c r="B65" s="224"/>
      <c r="C65" s="225"/>
      <c r="D65" s="225"/>
      <c r="E65" s="225"/>
      <c r="F65" s="225"/>
      <c r="G65" s="225"/>
      <c r="H65" s="333"/>
      <c r="I65" s="289"/>
      <c r="J65" s="245"/>
      <c r="K65" s="245">
        <f>(IF($E$6="Male",COUNTIF($B65:$H65,"&gt;4"),COUNTIF($B65:$H65,"&gt;3")))</f>
        <v>0</v>
      </c>
      <c r="L65" s="245"/>
      <c r="M65" s="245"/>
      <c r="N65" s="293"/>
      <c r="O65" s="197"/>
      <c r="R65" s="12"/>
      <c r="S65" s="10"/>
      <c r="T65" s="9"/>
      <c r="U65" s="9"/>
      <c r="V65" s="142"/>
      <c r="W65" s="142"/>
      <c r="X65" s="142"/>
      <c r="Y65" s="142"/>
      <c r="Z65" s="396"/>
      <c r="AB65" s="396"/>
      <c r="AC65" s="142"/>
      <c r="AD65" s="142"/>
      <c r="AE65" s="142"/>
      <c r="AF65" s="142"/>
      <c r="AG65" s="142"/>
      <c r="AH65" s="142"/>
      <c r="AI65" s="142"/>
      <c r="AJ65" s="142"/>
      <c r="AK65" s="142"/>
      <c r="AL65" s="142"/>
      <c r="AM65" s="368" t="str">
        <f>IF(F62="","",IF(F62=0,0,1))</f>
        <v/>
      </c>
      <c r="AN65" s="378" t="str">
        <f ca="1">IF(OR(AM65="",AM65=1,AND(AM65=0,AM64=0)),"",MATCH(1,AM65:AM$145,0)-1-COUNTIF(AM65:OFFSET(AM65,MATCH(1,AM65:AM$145,0)-1,0),""))</f>
        <v/>
      </c>
      <c r="AO65" s="242"/>
      <c r="AP65" s="242"/>
      <c r="AQ65" s="242"/>
      <c r="AR65" s="142"/>
      <c r="AS65" s="242"/>
      <c r="AT65" s="142"/>
      <c r="AU65" s="142"/>
      <c r="AV65" s="142"/>
      <c r="AW65" s="143"/>
      <c r="AX65" s="143"/>
      <c r="AY65" s="143"/>
      <c r="AZ65" s="143"/>
      <c r="BA65" s="143"/>
      <c r="BB65" s="143"/>
      <c r="BC65" s="143"/>
      <c r="BD65" s="143"/>
      <c r="BE65" s="143"/>
      <c r="BF65" s="143"/>
      <c r="BG65" s="143"/>
      <c r="BH65" s="143"/>
      <c r="BI65" s="143"/>
      <c r="BJ65" s="143"/>
      <c r="BK65" s="143"/>
      <c r="BL65" s="143"/>
      <c r="BM65" s="143"/>
      <c r="BN65" s="143"/>
    </row>
    <row r="66" spans="2:66" ht="18" customHeight="1">
      <c r="B66" s="194">
        <f>(MONTH($B60+14)=MONTH($B48))*($B60+14)</f>
        <v>0</v>
      </c>
      <c r="C66" s="194">
        <f t="shared" ref="C66:H66" si="31">(MONTH(C60+14)=MONTH($B48))*(C60+14)</f>
        <v>0</v>
      </c>
      <c r="D66" s="194">
        <f t="shared" si="31"/>
        <v>0</v>
      </c>
      <c r="E66" s="194">
        <f t="shared" si="31"/>
        <v>0</v>
      </c>
      <c r="F66" s="194">
        <f t="shared" si="31"/>
        <v>0</v>
      </c>
      <c r="G66" s="194">
        <f t="shared" si="31"/>
        <v>0</v>
      </c>
      <c r="H66" s="279">
        <f t="shared" si="31"/>
        <v>0</v>
      </c>
      <c r="I66" s="286">
        <f>SUM($B86:$H86)</f>
        <v>0</v>
      </c>
      <c r="J66" s="247">
        <f>COUNTIF($B86:$H86,"0")</f>
        <v>0</v>
      </c>
      <c r="K66" s="247"/>
      <c r="L66" s="247">
        <f>COUNTIF($B86:$H86,"&gt;0")</f>
        <v>0</v>
      </c>
      <c r="M66" s="288">
        <f>J66+L66</f>
        <v>0</v>
      </c>
      <c r="N66" s="293"/>
      <c r="O66" s="197"/>
      <c r="R66" s="7"/>
      <c r="S66" s="3"/>
      <c r="T66" s="8"/>
      <c r="U66" s="8"/>
      <c r="V66" s="142"/>
      <c r="W66" s="142"/>
      <c r="X66" s="142"/>
      <c r="Y66" s="142"/>
      <c r="Z66" s="396"/>
      <c r="AB66" s="396"/>
      <c r="AC66" s="142"/>
      <c r="AD66" s="142"/>
      <c r="AE66" s="142"/>
      <c r="AF66" s="142"/>
      <c r="AG66" s="142"/>
      <c r="AH66" s="142"/>
      <c r="AI66" s="142"/>
      <c r="AJ66" s="142"/>
      <c r="AK66" s="142"/>
      <c r="AL66" s="142"/>
      <c r="AM66" s="368" t="str">
        <f>IF(G62="","",IF(G62=0,0,1))</f>
        <v/>
      </c>
      <c r="AN66" s="378" t="str">
        <f ca="1">IF(OR(AM66="",AM66=1,AND(AM66=0,AM65=0)),"",MATCH(1,AM66:AM$145,0)-1-COUNTIF(AM66:OFFSET(AM66,MATCH(1,AM66:AM$145,0)-1,0),""))</f>
        <v/>
      </c>
      <c r="AO66" s="242"/>
      <c r="AP66" s="242"/>
      <c r="AQ66" s="242"/>
      <c r="AR66" s="142"/>
      <c r="AS66" s="242"/>
      <c r="AT66" s="142"/>
      <c r="AU66" s="142"/>
      <c r="AV66" s="142"/>
      <c r="AW66" s="143"/>
      <c r="AX66" s="143"/>
      <c r="AY66" s="143"/>
      <c r="AZ66" s="143"/>
      <c r="BA66" s="143"/>
      <c r="BB66" s="143"/>
      <c r="BC66" s="143"/>
      <c r="BD66" s="143"/>
      <c r="BE66" s="143"/>
      <c r="BF66" s="143"/>
      <c r="BG66" s="143"/>
      <c r="BH66" s="143"/>
      <c r="BI66" s="143"/>
      <c r="BJ66" s="143"/>
      <c r="BK66" s="143"/>
      <c r="BL66" s="143"/>
      <c r="BM66" s="143"/>
      <c r="BN66" s="143"/>
    </row>
    <row r="67" spans="2:66" ht="18" customHeight="1">
      <c r="B67" s="190"/>
      <c r="C67" s="190"/>
      <c r="D67" s="190"/>
      <c r="E67" s="190"/>
      <c r="F67" s="190"/>
      <c r="G67" s="190"/>
      <c r="H67" s="275"/>
      <c r="I67" s="289"/>
      <c r="J67" s="245"/>
      <c r="K67" s="245"/>
      <c r="L67" s="245"/>
      <c r="M67" s="245"/>
      <c r="N67" s="293"/>
      <c r="O67" s="197"/>
      <c r="R67" s="12"/>
      <c r="S67" s="10"/>
      <c r="T67" s="9"/>
      <c r="U67" s="9"/>
      <c r="V67" s="142"/>
      <c r="W67" s="142"/>
      <c r="X67" s="142"/>
      <c r="Y67" s="142"/>
      <c r="Z67" s="396"/>
      <c r="AB67" s="396"/>
      <c r="AC67" s="142"/>
      <c r="AD67" s="142"/>
      <c r="AE67" s="142"/>
      <c r="AF67" s="142"/>
      <c r="AG67" s="142"/>
      <c r="AH67" s="142"/>
      <c r="AI67" s="142"/>
      <c r="AJ67" s="142"/>
      <c r="AK67" s="142"/>
      <c r="AL67" s="142"/>
      <c r="AM67" s="368" t="str">
        <f>IF(H62="","",IF(H62=0,0,1))</f>
        <v/>
      </c>
      <c r="AN67" s="378" t="str">
        <f ca="1">IF(OR(AM67="",AM67=1,AND(AM67=0,AM66=0)),"",MATCH(1,AM67:AM$145,0)-1-COUNTIF(AM67:OFFSET(AM67,MATCH(1,AM67:AM$145,0)-1,0),""))</f>
        <v/>
      </c>
      <c r="AO67" s="242"/>
      <c r="AP67" s="242"/>
      <c r="AQ67" s="242"/>
      <c r="AR67" s="142"/>
      <c r="AS67" s="242"/>
      <c r="AT67" s="142"/>
      <c r="AU67" s="142"/>
      <c r="AV67" s="142"/>
      <c r="AW67" s="143"/>
      <c r="AX67" s="143"/>
      <c r="AY67" s="143"/>
      <c r="AZ67" s="143"/>
      <c r="BA67" s="143"/>
      <c r="BB67" s="143"/>
      <c r="BC67" s="143"/>
      <c r="BD67" s="143"/>
      <c r="BE67" s="143"/>
      <c r="BF67" s="143"/>
      <c r="BG67" s="143"/>
      <c r="BH67" s="143"/>
      <c r="BI67" s="143"/>
      <c r="BJ67" s="143"/>
      <c r="BK67" s="143"/>
      <c r="BL67" s="143"/>
      <c r="BM67" s="143"/>
      <c r="BN67" s="143"/>
    </row>
    <row r="68" spans="2:66" ht="13.5" thickBot="1">
      <c r="B68" s="146"/>
      <c r="C68" s="146"/>
      <c r="D68" s="146"/>
      <c r="E68" s="146"/>
      <c r="F68" s="146"/>
      <c r="G68" s="146"/>
      <c r="H68" s="146"/>
      <c r="I68" s="296">
        <v>0</v>
      </c>
      <c r="J68" s="297">
        <v>0</v>
      </c>
      <c r="K68" s="297">
        <v>0</v>
      </c>
      <c r="L68" s="297">
        <v>0</v>
      </c>
      <c r="M68" s="297">
        <v>0</v>
      </c>
      <c r="N68" s="355"/>
      <c r="O68" s="197"/>
      <c r="X68" s="142"/>
      <c r="Y68" s="142"/>
      <c r="Z68" s="396"/>
      <c r="AB68" s="396"/>
      <c r="AC68" s="142"/>
      <c r="AD68" s="142"/>
      <c r="AE68" s="142"/>
      <c r="AF68" s="142"/>
      <c r="AG68" s="142"/>
      <c r="AH68" s="142"/>
      <c r="AI68" s="142"/>
      <c r="AJ68" s="142"/>
      <c r="AK68" s="142"/>
      <c r="AL68" s="142"/>
      <c r="AM68" s="368" t="str">
        <f>IF(B65="","",IF(B65=0,0,1))</f>
        <v/>
      </c>
      <c r="AN68" s="378" t="str">
        <f ca="1">IF(OR(AM68="",AM68=1,AND(AM68=0,AM67=0)),"",MATCH(1,AM68:AM$145,0)-1-COUNTIF(AM68:OFFSET(AM68,MATCH(1,AM68:AM$145,0)-1,0),""))</f>
        <v/>
      </c>
      <c r="AO68" s="242"/>
      <c r="AP68" s="242"/>
      <c r="AQ68" s="242"/>
      <c r="AR68" s="142"/>
      <c r="AS68" s="242"/>
      <c r="AT68" s="142"/>
      <c r="AU68" s="142"/>
      <c r="AV68" s="142"/>
      <c r="AW68" s="143"/>
      <c r="AX68" s="143"/>
      <c r="AY68" s="143"/>
      <c r="AZ68" s="143"/>
      <c r="BA68" s="143"/>
      <c r="BB68" s="143"/>
      <c r="BC68" s="143"/>
      <c r="BD68" s="143"/>
      <c r="BE68" s="143"/>
      <c r="BF68" s="143"/>
      <c r="BG68" s="143"/>
      <c r="BH68" s="143"/>
      <c r="BI68" s="143"/>
      <c r="BJ68" s="143"/>
      <c r="BK68" s="143"/>
      <c r="BL68" s="143"/>
      <c r="BM68" s="143"/>
      <c r="BN68" s="143"/>
    </row>
    <row r="69" spans="2:66" ht="21.6" customHeight="1">
      <c r="B69" s="487">
        <f>DATE(YEAR($B48),MONTH($B48)-1,1)</f>
        <v>42705</v>
      </c>
      <c r="C69" s="488"/>
      <c r="D69" s="489"/>
      <c r="E69" s="146"/>
      <c r="F69" s="146"/>
      <c r="G69" s="146"/>
      <c r="H69" s="147"/>
      <c r="I69" s="179"/>
      <c r="J69" s="179"/>
      <c r="K69" s="154"/>
      <c r="L69" s="154"/>
      <c r="M69" s="179"/>
      <c r="N69" s="142"/>
      <c r="O69" s="197"/>
      <c r="R69" s="346"/>
      <c r="S69" s="14"/>
      <c r="T69" s="21"/>
      <c r="U69" s="21"/>
      <c r="V69" s="21"/>
      <c r="W69" s="21"/>
      <c r="X69" s="142"/>
      <c r="Y69" s="142"/>
      <c r="Z69" s="396"/>
      <c r="AB69" s="396"/>
      <c r="AC69" s="142"/>
      <c r="AD69" s="142"/>
      <c r="AE69" s="142"/>
      <c r="AF69" s="142"/>
      <c r="AG69" s="142"/>
      <c r="AH69" s="142"/>
      <c r="AI69" s="142"/>
      <c r="AJ69" s="142"/>
      <c r="AK69" s="142"/>
      <c r="AL69" s="142"/>
      <c r="AM69" s="368" t="str">
        <f>IF(C65="","",IF(C65=0,0,1))</f>
        <v/>
      </c>
      <c r="AN69" s="378" t="str">
        <f ca="1">IF(OR(AM69="",AM69=1,AND(AM69=0,AM68=0)),"",MATCH(1,AM69:AM$145,0)-1-COUNTIF(AM69:OFFSET(AM69,MATCH(1,AM69:AM$145,0)-1,0),""))</f>
        <v/>
      </c>
      <c r="AO69" s="242"/>
      <c r="AP69" s="242"/>
      <c r="AQ69" s="242"/>
      <c r="AR69" s="142"/>
      <c r="AS69" s="242"/>
      <c r="AT69" s="142"/>
      <c r="AU69" s="142"/>
      <c r="AV69" s="142"/>
      <c r="AW69" s="143"/>
      <c r="AX69" s="143"/>
      <c r="AY69" s="143"/>
      <c r="AZ69" s="143"/>
      <c r="BA69" s="143"/>
      <c r="BB69" s="143"/>
      <c r="BC69" s="143"/>
      <c r="BD69" s="143"/>
      <c r="BE69" s="143"/>
      <c r="BF69" s="143"/>
      <c r="BG69" s="143"/>
      <c r="BH69" s="143"/>
      <c r="BI69" s="143"/>
      <c r="BJ69" s="143"/>
      <c r="BK69" s="143"/>
      <c r="BL69" s="143"/>
      <c r="BM69" s="143"/>
      <c r="BN69" s="143"/>
    </row>
    <row r="70" spans="2:66" ht="6.6" customHeight="1" thickBot="1">
      <c r="B70" s="146"/>
      <c r="C70" s="146"/>
      <c r="D70" s="146"/>
      <c r="E70" s="146"/>
      <c r="F70" s="146"/>
      <c r="G70" s="146"/>
      <c r="H70" s="146"/>
      <c r="I70" s="356"/>
      <c r="J70" s="356"/>
      <c r="K70" s="473"/>
      <c r="L70" s="473"/>
      <c r="M70" s="356"/>
      <c r="N70" s="142"/>
      <c r="O70" s="197"/>
      <c r="R70" s="346"/>
      <c r="S70" s="14"/>
      <c r="T70" s="21"/>
      <c r="U70" s="21"/>
      <c r="V70" s="21"/>
      <c r="W70" s="21"/>
      <c r="X70" s="142"/>
      <c r="Y70" s="142"/>
      <c r="Z70" s="396"/>
      <c r="AB70" s="396"/>
      <c r="AC70" s="142"/>
      <c r="AD70" s="142"/>
      <c r="AE70" s="142"/>
      <c r="AF70" s="142"/>
      <c r="AG70" s="142"/>
      <c r="AH70" s="142"/>
      <c r="AI70" s="142"/>
      <c r="AJ70" s="142"/>
      <c r="AK70" s="142"/>
      <c r="AL70" s="142"/>
      <c r="AM70" s="368" t="str">
        <f>IF(D65="","",IF(D65=0,0,1))</f>
        <v/>
      </c>
      <c r="AN70" s="378" t="str">
        <f ca="1">IF(OR(AM70="",AM70=1,AND(AM70=0,AM69=0)),"",MATCH(1,AM70:AM$145,0)-1-COUNTIF(AM70:OFFSET(AM70,MATCH(1,AM70:AM$145,0)-1,0),""))</f>
        <v/>
      </c>
      <c r="AO70" s="242"/>
      <c r="AP70" s="242"/>
      <c r="AQ70" s="242"/>
      <c r="AR70" s="142"/>
      <c r="AS70" s="242"/>
      <c r="AT70" s="142"/>
      <c r="AU70" s="142"/>
      <c r="AV70" s="142"/>
      <c r="AW70" s="143"/>
      <c r="AX70" s="143"/>
      <c r="AY70" s="143"/>
      <c r="AZ70" s="143"/>
      <c r="BA70" s="143"/>
      <c r="BB70" s="143"/>
      <c r="BC70" s="143"/>
      <c r="BD70" s="143"/>
      <c r="BE70" s="143"/>
      <c r="BF70" s="143"/>
      <c r="BG70" s="143"/>
      <c r="BH70" s="143"/>
      <c r="BI70" s="143"/>
      <c r="BJ70" s="143"/>
      <c r="BK70" s="143"/>
      <c r="BL70" s="143"/>
      <c r="BM70" s="143"/>
      <c r="BN70" s="143"/>
    </row>
    <row r="71" spans="2:66" ht="18" customHeight="1">
      <c r="B71" s="171" t="s">
        <v>23</v>
      </c>
      <c r="C71" s="172" t="s">
        <v>24</v>
      </c>
      <c r="D71" s="172" t="s">
        <v>25</v>
      </c>
      <c r="E71" s="172" t="s">
        <v>26</v>
      </c>
      <c r="F71" s="172" t="s">
        <v>27</v>
      </c>
      <c r="G71" s="172" t="s">
        <v>28</v>
      </c>
      <c r="H71" s="173" t="s">
        <v>29</v>
      </c>
      <c r="I71" s="356"/>
      <c r="J71" s="356"/>
      <c r="K71" s="473"/>
      <c r="L71" s="473"/>
      <c r="M71" s="356"/>
      <c r="N71" s="142"/>
      <c r="O71" s="197"/>
      <c r="R71" s="346"/>
      <c r="S71" s="14"/>
      <c r="T71" s="21"/>
      <c r="U71" s="21"/>
      <c r="V71" s="21"/>
      <c r="W71" s="21"/>
      <c r="X71" s="142"/>
      <c r="Y71" s="142"/>
      <c r="Z71" s="396"/>
      <c r="AB71" s="396"/>
      <c r="AC71" s="142"/>
      <c r="AD71" s="142"/>
      <c r="AE71" s="142"/>
      <c r="AF71" s="142"/>
      <c r="AG71" s="142"/>
      <c r="AH71" s="142"/>
      <c r="AI71" s="142"/>
      <c r="AJ71" s="142"/>
      <c r="AK71" s="142"/>
      <c r="AL71" s="142"/>
      <c r="AM71" s="368" t="str">
        <f>IF(E65="","",IF(E65=0,0,1))</f>
        <v/>
      </c>
      <c r="AN71" s="378" t="str">
        <f ca="1">IF(OR(AM71="",AM71=1,AND(AM71=0,AM70=0)),"",MATCH(1,AM71:AM$145,0)-1-COUNTIF(AM71:OFFSET(AM71,MATCH(1,AM71:AM$145,0)-1,0),""))</f>
        <v/>
      </c>
      <c r="AO71" s="242"/>
      <c r="AP71" s="242"/>
      <c r="AQ71" s="242"/>
      <c r="AR71" s="142"/>
      <c r="AS71" s="242"/>
      <c r="AT71" s="142"/>
      <c r="AU71" s="142"/>
      <c r="AV71" s="142"/>
      <c r="AW71" s="143"/>
      <c r="AX71" s="143"/>
      <c r="AY71" s="143"/>
      <c r="AZ71" s="143"/>
      <c r="BA71" s="143"/>
      <c r="BB71" s="143"/>
      <c r="BC71" s="143"/>
      <c r="BD71" s="143"/>
      <c r="BE71" s="143"/>
      <c r="BF71" s="143"/>
      <c r="BG71" s="143"/>
      <c r="BH71" s="143"/>
      <c r="BI71" s="143"/>
      <c r="BJ71" s="143"/>
      <c r="BK71" s="143"/>
      <c r="BL71" s="143"/>
      <c r="BM71" s="143"/>
      <c r="BN71" s="143"/>
    </row>
    <row r="72" spans="2:66" ht="18" customHeight="1">
      <c r="B72" s="174">
        <f>(WEEKDAY($B69)=1)*B69</f>
        <v>0</v>
      </c>
      <c r="C72" s="4">
        <f>(WEEKDAY($B69)=2)*B69+($B72&gt;0)+B72</f>
        <v>0</v>
      </c>
      <c r="D72" s="4">
        <f>(WEEKDAY($B69)=3)*B69+(C72&gt;0)+C72</f>
        <v>0</v>
      </c>
      <c r="E72" s="4">
        <f>(WEEKDAY($B69)=4)*B69+(D72&gt;0)+D72</f>
        <v>0</v>
      </c>
      <c r="F72" s="4">
        <f>(WEEKDAY($B69)=5)*B69+(E72&gt;0)+E72</f>
        <v>42705</v>
      </c>
      <c r="G72" s="4">
        <f>(WEEKDAY($B69)=6)*B69+(F72&gt;0)+F72</f>
        <v>42706</v>
      </c>
      <c r="H72" s="175">
        <f>(WEEKDAY($B69)=7)*B69+(G72&gt;0)+G72</f>
        <v>42707</v>
      </c>
      <c r="I72" s="356"/>
      <c r="J72" s="356"/>
      <c r="K72" s="473" t="str">
        <f>IF($E$6="Male","heavydrinkdays (&gt;4)","heavydrinkdays (&gt;3)")</f>
        <v>heavydrinkdays (&gt;4)</v>
      </c>
      <c r="L72" s="473"/>
      <c r="M72" s="356"/>
      <c r="N72" s="142"/>
      <c r="O72" s="197"/>
      <c r="R72" s="346"/>
      <c r="S72" s="14"/>
      <c r="T72" s="21"/>
      <c r="U72" s="21"/>
      <c r="V72" s="21"/>
      <c r="W72" s="21"/>
      <c r="X72" s="142"/>
      <c r="Y72" s="142"/>
      <c r="Z72" s="396"/>
      <c r="AB72" s="396"/>
      <c r="AC72" s="142"/>
      <c r="AD72" s="142"/>
      <c r="AE72" s="142"/>
      <c r="AF72" s="142"/>
      <c r="AG72" s="142"/>
      <c r="AH72" s="142"/>
      <c r="AI72" s="142"/>
      <c r="AJ72" s="142"/>
      <c r="AK72" s="142"/>
      <c r="AL72" s="142"/>
      <c r="AM72" s="368" t="str">
        <f>IF(F65="","",IF(F65=0,0,1))</f>
        <v/>
      </c>
      <c r="AN72" s="378" t="str">
        <f ca="1">IF(OR(AM72="",AM72=1,AND(AM72=0,AM71=0)),"",MATCH(1,AM72:AM$145,0)-1-COUNTIF(AM72:OFFSET(AM72,MATCH(1,AM72:AM$145,0)-1,0),""))</f>
        <v/>
      </c>
      <c r="AO72" s="242"/>
      <c r="AP72" s="242"/>
      <c r="AQ72" s="242"/>
      <c r="AR72" s="142"/>
      <c r="AS72" s="242"/>
      <c r="AT72" s="142"/>
      <c r="AU72" s="142"/>
      <c r="AV72" s="142"/>
      <c r="AW72" s="143"/>
      <c r="AX72" s="143"/>
      <c r="AY72" s="143"/>
      <c r="AZ72" s="143"/>
      <c r="BA72" s="143"/>
      <c r="BB72" s="143"/>
      <c r="BC72" s="143"/>
      <c r="BD72" s="143"/>
      <c r="BE72" s="143"/>
      <c r="BF72" s="143"/>
      <c r="BG72" s="143"/>
      <c r="BH72" s="143"/>
      <c r="BI72" s="143"/>
      <c r="BJ72" s="143"/>
      <c r="BK72" s="143"/>
      <c r="BL72" s="143"/>
      <c r="BM72" s="143"/>
      <c r="BN72" s="143"/>
    </row>
    <row r="73" spans="2:66" ht="18" customHeight="1">
      <c r="B73" s="189"/>
      <c r="C73" s="192"/>
      <c r="D73" s="192"/>
      <c r="E73" s="192"/>
      <c r="F73" s="192"/>
      <c r="G73" s="192"/>
      <c r="H73" s="193"/>
      <c r="I73" s="356"/>
      <c r="J73" s="356"/>
      <c r="K73" s="473"/>
      <c r="L73" s="473"/>
      <c r="M73" s="356"/>
      <c r="N73" s="142"/>
      <c r="O73" s="197"/>
      <c r="R73" s="346"/>
      <c r="S73" s="14"/>
      <c r="T73" s="21"/>
      <c r="U73" s="21"/>
      <c r="V73" s="21"/>
      <c r="W73" s="21"/>
      <c r="X73" s="142"/>
      <c r="Y73" s="142"/>
      <c r="Z73" s="396"/>
      <c r="AB73" s="396"/>
      <c r="AC73" s="142"/>
      <c r="AD73" s="142"/>
      <c r="AE73" s="142"/>
      <c r="AF73" s="142"/>
      <c r="AG73" s="142"/>
      <c r="AH73" s="142"/>
      <c r="AI73" s="142"/>
      <c r="AJ73" s="142"/>
      <c r="AK73" s="142"/>
      <c r="AL73" s="142"/>
      <c r="AM73" s="368" t="str">
        <f>IF(G65="","",IF(G65=0,0,1))</f>
        <v/>
      </c>
      <c r="AN73" s="378" t="str">
        <f ca="1">IF(OR(AM73="",AM73=1,AND(AM73=0,AM72=0)),"",MATCH(1,AM73:AM$145,0)-1-COUNTIF(AM73:OFFSET(AM73,MATCH(1,AM73:AM$145,0)-1,0),""))</f>
        <v/>
      </c>
      <c r="AO73" s="242"/>
      <c r="AP73" s="242"/>
      <c r="AQ73" s="242"/>
      <c r="AR73" s="142"/>
      <c r="AS73" s="242"/>
      <c r="AT73" s="142"/>
      <c r="AU73" s="142"/>
      <c r="AV73" s="142"/>
      <c r="AW73" s="143"/>
      <c r="AX73" s="143"/>
      <c r="AY73" s="143"/>
      <c r="AZ73" s="143"/>
      <c r="BA73" s="143"/>
      <c r="BB73" s="143"/>
      <c r="BC73" s="143"/>
      <c r="BD73" s="143"/>
      <c r="BE73" s="143"/>
      <c r="BF73" s="143"/>
      <c r="BG73" s="143"/>
      <c r="BH73" s="143"/>
      <c r="BI73" s="143"/>
      <c r="BJ73" s="143"/>
      <c r="BK73" s="143"/>
      <c r="BL73" s="143"/>
      <c r="BM73" s="143"/>
      <c r="BN73" s="143"/>
    </row>
    <row r="74" spans="2:66" ht="18" customHeight="1">
      <c r="B74" s="216"/>
      <c r="C74" s="217"/>
      <c r="D74" s="217"/>
      <c r="E74" s="217"/>
      <c r="F74" s="217"/>
      <c r="G74" s="217"/>
      <c r="H74" s="218"/>
      <c r="I74" s="356"/>
      <c r="J74" s="356"/>
      <c r="K74" s="473">
        <f>(IF($E$6="Male",COUNTIF($B74:$H74,"&gt;4"),COUNTIF($B74:$H74,"&gt;3")))</f>
        <v>0</v>
      </c>
      <c r="L74" s="473"/>
      <c r="M74" s="356"/>
      <c r="N74" s="142"/>
      <c r="O74" s="197"/>
      <c r="R74" s="346"/>
      <c r="S74" s="14"/>
      <c r="T74" s="21"/>
      <c r="U74" s="21"/>
      <c r="V74" s="21"/>
      <c r="W74" s="21"/>
      <c r="X74" s="142"/>
      <c r="Y74" s="142"/>
      <c r="Z74" s="396"/>
      <c r="AB74" s="396"/>
      <c r="AC74" s="142"/>
      <c r="AD74" s="142"/>
      <c r="AE74" s="142"/>
      <c r="AF74" s="142"/>
      <c r="AG74" s="142"/>
      <c r="AH74" s="142"/>
      <c r="AI74" s="142"/>
      <c r="AJ74" s="142"/>
      <c r="AK74" s="142"/>
      <c r="AL74" s="142"/>
      <c r="AM74" s="368" t="str">
        <f>IF(H65="","",IF(H65=0,0,1))</f>
        <v/>
      </c>
      <c r="AN74" s="378" t="str">
        <f ca="1">IF(OR(AM74="",AM74=1,AND(AM74=0,AM73=0)),"",MATCH(1,AM74:AM$145,0)-1-COUNTIF(AM74:OFFSET(AM74,MATCH(1,AM74:AM$145,0)-1,0),""))</f>
        <v/>
      </c>
      <c r="AO74" s="242"/>
      <c r="AP74" s="242"/>
      <c r="AQ74" s="242"/>
      <c r="AR74" s="142"/>
      <c r="AS74" s="242"/>
      <c r="AT74" s="142"/>
      <c r="AU74" s="142"/>
      <c r="AV74" s="142"/>
      <c r="AW74" s="143"/>
      <c r="AX74" s="143"/>
      <c r="AY74" s="143"/>
      <c r="AZ74" s="143"/>
      <c r="BA74" s="143"/>
      <c r="BB74" s="143"/>
      <c r="BC74" s="143"/>
      <c r="BD74" s="143"/>
      <c r="BE74" s="143"/>
      <c r="BF74" s="143"/>
      <c r="BG74" s="143"/>
      <c r="BH74" s="143"/>
      <c r="BI74" s="143"/>
      <c r="BJ74" s="143"/>
      <c r="BK74" s="143"/>
      <c r="BL74" s="143"/>
      <c r="BM74" s="143"/>
      <c r="BN74" s="143"/>
    </row>
    <row r="75" spans="2:66" ht="18" customHeight="1">
      <c r="B75" s="174">
        <f>+H72+1</f>
        <v>42708</v>
      </c>
      <c r="C75" s="4">
        <f t="shared" ref="C75" si="32">+B75+1</f>
        <v>42709</v>
      </c>
      <c r="D75" s="4">
        <f t="shared" ref="D75" si="33">+C75+1</f>
        <v>42710</v>
      </c>
      <c r="E75" s="4">
        <f t="shared" ref="E75" si="34">+D75+1</f>
        <v>42711</v>
      </c>
      <c r="F75" s="4">
        <f t="shared" ref="F75" si="35">+E75+1</f>
        <v>42712</v>
      </c>
      <c r="G75" s="4">
        <f t="shared" ref="G75" si="36">+F75+1</f>
        <v>42713</v>
      </c>
      <c r="H75" s="175">
        <f t="shared" ref="H75" si="37">+G75+1</f>
        <v>42714</v>
      </c>
      <c r="I75" s="356"/>
      <c r="J75" s="356"/>
      <c r="K75" s="473"/>
      <c r="L75" s="473"/>
      <c r="M75" s="356"/>
      <c r="N75" s="142"/>
      <c r="O75" s="197"/>
      <c r="R75" s="346"/>
      <c r="S75" s="14"/>
      <c r="T75" s="21"/>
      <c r="U75" s="21"/>
      <c r="V75" s="21"/>
      <c r="W75" s="21"/>
      <c r="X75" s="142"/>
      <c r="Y75" s="142"/>
      <c r="Z75" s="396"/>
      <c r="AB75" s="396"/>
      <c r="AC75" s="142"/>
      <c r="AD75" s="142"/>
      <c r="AE75" s="142"/>
      <c r="AF75" s="142"/>
      <c r="AG75" s="142"/>
      <c r="AH75" s="142"/>
      <c r="AI75" s="142"/>
      <c r="AJ75" s="142"/>
      <c r="AK75" s="142"/>
      <c r="AL75" s="391">
        <f>$B$27</f>
        <v>42767</v>
      </c>
      <c r="AM75" s="368" t="str">
        <f>IF(B32="","",IF(B32=0,0,1))</f>
        <v/>
      </c>
      <c r="AN75" s="378" t="str">
        <f ca="1">IF(OR(AM75="",AM75=1,AND(AM75=0,AM74=0)),"",MATCH(1,AM75:AM$145,0)-1-COUNTIF(AM75:OFFSET(AM75,MATCH(1,AM75:AM$145,0)-1,0),""))</f>
        <v/>
      </c>
      <c r="AO75" s="242"/>
      <c r="AP75" s="242"/>
      <c r="AQ75" s="242"/>
      <c r="AR75" s="142"/>
      <c r="AS75" s="242"/>
      <c r="AT75" s="142"/>
      <c r="AU75" s="142"/>
      <c r="AV75" s="142"/>
      <c r="AW75" s="143"/>
      <c r="AX75" s="143"/>
      <c r="AY75" s="143"/>
      <c r="AZ75" s="143"/>
      <c r="BA75" s="143"/>
      <c r="BB75" s="143"/>
      <c r="BC75" s="143"/>
      <c r="BD75" s="143"/>
      <c r="BE75" s="143"/>
      <c r="BF75" s="143"/>
      <c r="BG75" s="143"/>
      <c r="BH75" s="143"/>
      <c r="BI75" s="143"/>
      <c r="BJ75" s="143"/>
      <c r="BK75" s="143"/>
      <c r="BL75" s="143"/>
      <c r="BM75" s="143"/>
      <c r="BN75" s="143"/>
    </row>
    <row r="76" spans="2:66" ht="18" customHeight="1">
      <c r="B76" s="189"/>
      <c r="C76" s="192"/>
      <c r="D76" s="192"/>
      <c r="E76" s="192"/>
      <c r="F76" s="192"/>
      <c r="G76" s="192"/>
      <c r="H76" s="193"/>
      <c r="I76" s="356"/>
      <c r="J76" s="356"/>
      <c r="K76" s="473"/>
      <c r="L76" s="473"/>
      <c r="M76" s="356"/>
      <c r="N76" s="142"/>
      <c r="O76" s="197"/>
      <c r="R76" s="346"/>
      <c r="S76" s="14"/>
      <c r="T76" s="21"/>
      <c r="U76" s="21"/>
      <c r="V76" s="21"/>
      <c r="W76" s="21"/>
      <c r="X76" s="142"/>
      <c r="Y76" s="142"/>
      <c r="Z76" s="396"/>
      <c r="AB76" s="396"/>
      <c r="AC76" s="142"/>
      <c r="AD76" s="142"/>
      <c r="AE76" s="142"/>
      <c r="AF76" s="142"/>
      <c r="AG76" s="142"/>
      <c r="AH76" s="142"/>
      <c r="AI76" s="142"/>
      <c r="AJ76" s="142"/>
      <c r="AK76" s="142"/>
      <c r="AL76" s="142"/>
      <c r="AM76" s="368" t="str">
        <f>IF(C32="","",IF(C32=0,0,1))</f>
        <v/>
      </c>
      <c r="AN76" s="378" t="str">
        <f ca="1">IF(OR(AM76="",AM76=1,AND(AM76=0,AM75=0)),"",MATCH(1,AM76:AM$145,0)-1-COUNTIF(AM76:OFFSET(AM76,MATCH(1,AM76:AM$145,0)-1,0),""))</f>
        <v/>
      </c>
      <c r="AO76" s="242"/>
      <c r="AP76" s="242"/>
      <c r="AQ76" s="242"/>
      <c r="AR76" s="142"/>
      <c r="AS76" s="242"/>
      <c r="AT76" s="142"/>
      <c r="AU76" s="142"/>
      <c r="AV76" s="142"/>
      <c r="AW76" s="143"/>
      <c r="AX76" s="143"/>
      <c r="AY76" s="143"/>
      <c r="AZ76" s="143"/>
      <c r="BA76" s="143"/>
      <c r="BB76" s="143"/>
      <c r="BC76" s="143"/>
      <c r="BD76" s="143"/>
      <c r="BE76" s="143"/>
      <c r="BF76" s="143"/>
      <c r="BG76" s="143"/>
      <c r="BH76" s="143"/>
      <c r="BI76" s="143"/>
      <c r="BJ76" s="143"/>
      <c r="BK76" s="143"/>
      <c r="BL76" s="143"/>
      <c r="BM76" s="143"/>
      <c r="BN76" s="143"/>
    </row>
    <row r="77" spans="2:66" ht="18" customHeight="1">
      <c r="B77" s="216"/>
      <c r="C77" s="217"/>
      <c r="D77" s="217"/>
      <c r="E77" s="217"/>
      <c r="F77" s="217"/>
      <c r="G77" s="217"/>
      <c r="H77" s="218"/>
      <c r="I77" s="356"/>
      <c r="J77" s="356"/>
      <c r="K77" s="473">
        <f>(IF($E$6="Male",COUNTIF($B77:$H77,"&gt;4"),COUNTIF($B77:$H77,"&gt;3")))</f>
        <v>0</v>
      </c>
      <c r="L77" s="473"/>
      <c r="M77" s="356"/>
      <c r="N77" s="142"/>
      <c r="O77" s="197"/>
      <c r="R77" s="346"/>
      <c r="S77" s="14"/>
      <c r="T77" s="21"/>
      <c r="U77" s="21"/>
      <c r="V77" s="21"/>
      <c r="W77" s="21"/>
      <c r="X77" s="142"/>
      <c r="Y77" s="142"/>
      <c r="Z77" s="396"/>
      <c r="AB77" s="396"/>
      <c r="AC77" s="142"/>
      <c r="AD77" s="142"/>
      <c r="AE77" s="142"/>
      <c r="AF77" s="142"/>
      <c r="AG77" s="142"/>
      <c r="AH77" s="142"/>
      <c r="AI77" s="142"/>
      <c r="AJ77" s="142"/>
      <c r="AK77" s="142"/>
      <c r="AL77" s="142"/>
      <c r="AM77" s="368" t="str">
        <f>IF(D32="","",IF(D32=0,0,1))</f>
        <v/>
      </c>
      <c r="AN77" s="378" t="str">
        <f ca="1">IF(OR(AM77="",AM77=1,AND(AM77=0,AM76=0)),"",MATCH(1,AM77:AM$145,0)-1-COUNTIF(AM77:OFFSET(AM77,MATCH(1,AM77:AM$145,0)-1,0),""))</f>
        <v/>
      </c>
      <c r="AO77" s="242"/>
      <c r="AP77" s="242"/>
      <c r="AQ77" s="242"/>
      <c r="AR77" s="142"/>
      <c r="AS77" s="242"/>
      <c r="AT77" s="142"/>
      <c r="AU77" s="142"/>
      <c r="AV77" s="142"/>
      <c r="AW77" s="143"/>
      <c r="AX77" s="143"/>
      <c r="AY77" s="143"/>
      <c r="AZ77" s="143"/>
      <c r="BA77" s="143"/>
      <c r="BB77" s="143"/>
      <c r="BC77" s="143"/>
      <c r="BD77" s="143"/>
      <c r="BE77" s="143"/>
      <c r="BF77" s="143"/>
      <c r="BG77" s="143"/>
      <c r="BH77" s="143"/>
      <c r="BI77" s="143"/>
      <c r="BJ77" s="143"/>
      <c r="BK77" s="143"/>
      <c r="BL77" s="143"/>
      <c r="BM77" s="143"/>
      <c r="BN77" s="143"/>
    </row>
    <row r="78" spans="2:66" ht="18" customHeight="1">
      <c r="B78" s="176">
        <f>+H75+1</f>
        <v>42715</v>
      </c>
      <c r="C78" s="5">
        <f t="shared" ref="C78" si="38">+B78+1</f>
        <v>42716</v>
      </c>
      <c r="D78" s="5">
        <f t="shared" ref="D78" si="39">+C78+1</f>
        <v>42717</v>
      </c>
      <c r="E78" s="5">
        <f t="shared" ref="E78" si="40">+D78+1</f>
        <v>42718</v>
      </c>
      <c r="F78" s="5">
        <f t="shared" ref="F78" si="41">+E78+1</f>
        <v>42719</v>
      </c>
      <c r="G78" s="5">
        <f t="shared" ref="G78" si="42">+F78+1</f>
        <v>42720</v>
      </c>
      <c r="H78" s="177">
        <f t="shared" ref="H78" si="43">+G78+1</f>
        <v>42721</v>
      </c>
      <c r="I78" s="356"/>
      <c r="J78" s="356"/>
      <c r="K78" s="473"/>
      <c r="L78" s="473"/>
      <c r="M78" s="356"/>
      <c r="N78" s="142"/>
      <c r="O78" s="197"/>
      <c r="R78" s="346"/>
      <c r="S78" s="14"/>
      <c r="T78" s="21"/>
      <c r="U78" s="21"/>
      <c r="V78" s="21"/>
      <c r="W78" s="21"/>
      <c r="X78" s="142"/>
      <c r="Y78" s="142"/>
      <c r="Z78" s="396"/>
      <c r="AB78" s="396"/>
      <c r="AC78" s="142"/>
      <c r="AD78" s="142"/>
      <c r="AE78" s="142"/>
      <c r="AF78" s="142"/>
      <c r="AG78" s="142"/>
      <c r="AH78" s="142"/>
      <c r="AI78" s="142"/>
      <c r="AJ78" s="142"/>
      <c r="AK78" s="142"/>
      <c r="AL78" s="142"/>
      <c r="AM78" s="368" t="str">
        <f>IF(E32="","",IF(E32=0,0,1))</f>
        <v/>
      </c>
      <c r="AN78" s="378" t="str">
        <f ca="1">IF(OR(AM78="",AM78=1,AND(AM78=0,AM77=0)),"",MATCH(1,AM78:AM$145,0)-1-COUNTIF(AM78:OFFSET(AM78,MATCH(1,AM78:AM$145,0)-1,0),""))</f>
        <v/>
      </c>
      <c r="AO78" s="242"/>
      <c r="AP78" s="242"/>
      <c r="AQ78" s="242"/>
      <c r="AR78" s="142"/>
      <c r="AS78" s="242"/>
      <c r="AT78" s="142"/>
      <c r="AU78" s="142"/>
      <c r="AV78" s="142"/>
      <c r="AW78" s="143"/>
      <c r="AX78" s="143"/>
      <c r="AY78" s="143"/>
      <c r="AZ78" s="143"/>
      <c r="BA78" s="143"/>
      <c r="BB78" s="143"/>
      <c r="BC78" s="143"/>
      <c r="BD78" s="143"/>
      <c r="BE78" s="143"/>
      <c r="BF78" s="143"/>
      <c r="BG78" s="143"/>
      <c r="BH78" s="143"/>
      <c r="BI78" s="143"/>
      <c r="BJ78" s="143"/>
      <c r="BK78" s="143"/>
      <c r="BL78" s="143"/>
      <c r="BM78" s="143"/>
      <c r="BN78" s="143"/>
    </row>
    <row r="79" spans="2:66" ht="18" customHeight="1">
      <c r="B79" s="189"/>
      <c r="C79" s="192"/>
      <c r="D79" s="192"/>
      <c r="E79" s="192"/>
      <c r="F79" s="192"/>
      <c r="G79" s="192"/>
      <c r="H79" s="193"/>
      <c r="I79" s="356"/>
      <c r="J79" s="356"/>
      <c r="K79" s="473"/>
      <c r="L79" s="473"/>
      <c r="M79" s="356"/>
      <c r="N79" s="142"/>
      <c r="O79" s="197"/>
      <c r="R79" s="346"/>
      <c r="S79" s="14"/>
      <c r="T79" s="21"/>
      <c r="U79" s="21"/>
      <c r="V79" s="21"/>
      <c r="W79" s="21"/>
      <c r="X79" s="142"/>
      <c r="Y79" s="142"/>
      <c r="Z79" s="396"/>
      <c r="AB79" s="396"/>
      <c r="AC79" s="142"/>
      <c r="AD79" s="142"/>
      <c r="AE79" s="142"/>
      <c r="AF79" s="142"/>
      <c r="AG79" s="142"/>
      <c r="AH79" s="142"/>
      <c r="AI79" s="142"/>
      <c r="AJ79" s="142"/>
      <c r="AK79" s="142"/>
      <c r="AL79" s="142"/>
      <c r="AM79" s="368" t="str">
        <f>IF(F32="","",IF(F32=0,0,1))</f>
        <v/>
      </c>
      <c r="AN79" s="378" t="str">
        <f ca="1">IF(OR(AM79="",AM79=1,AND(AM79=0,AM78=0)),"",MATCH(1,AM79:AM$145,0)-1-COUNTIF(AM79:OFFSET(AM79,MATCH(1,AM79:AM$145,0)-1,0),""))</f>
        <v/>
      </c>
      <c r="AO79" s="242"/>
      <c r="AP79" s="242"/>
      <c r="AQ79" s="242"/>
      <c r="AR79" s="142"/>
      <c r="AS79" s="242"/>
      <c r="AT79" s="142"/>
      <c r="AU79" s="142"/>
      <c r="AV79" s="142"/>
      <c r="AW79" s="143"/>
      <c r="AX79" s="143"/>
      <c r="AY79" s="143"/>
      <c r="AZ79" s="143"/>
      <c r="BA79" s="143"/>
      <c r="BB79" s="143"/>
      <c r="BC79" s="143"/>
      <c r="BD79" s="143"/>
      <c r="BE79" s="143"/>
      <c r="BF79" s="143"/>
      <c r="BG79" s="143"/>
      <c r="BH79" s="143"/>
      <c r="BI79" s="143"/>
      <c r="BJ79" s="143"/>
      <c r="BK79" s="143"/>
      <c r="BL79" s="143"/>
      <c r="BM79" s="143"/>
      <c r="BN79" s="143"/>
    </row>
    <row r="80" spans="2:66" ht="18" customHeight="1">
      <c r="B80" s="219"/>
      <c r="C80" s="220"/>
      <c r="D80" s="220"/>
      <c r="E80" s="220"/>
      <c r="F80" s="220"/>
      <c r="G80" s="220"/>
      <c r="H80" s="221"/>
      <c r="I80" s="356"/>
      <c r="J80" s="356"/>
      <c r="K80" s="473">
        <f>(IF($E$6="Male",COUNTIF($B80:$H80,"&gt;4"),COUNTIF($B80:$H80,"&gt;3")))</f>
        <v>0</v>
      </c>
      <c r="L80" s="473"/>
      <c r="M80" s="356"/>
      <c r="N80" s="142"/>
      <c r="O80" s="197"/>
      <c r="R80" s="346"/>
      <c r="S80" s="14"/>
      <c r="T80" s="21"/>
      <c r="U80" s="21"/>
      <c r="V80" s="21"/>
      <c r="W80" s="21"/>
      <c r="X80" s="142"/>
      <c r="Y80" s="142"/>
      <c r="Z80" s="396"/>
      <c r="AB80" s="396"/>
      <c r="AC80" s="142"/>
      <c r="AD80" s="142"/>
      <c r="AE80" s="142"/>
      <c r="AF80" s="142"/>
      <c r="AG80" s="142"/>
      <c r="AH80" s="142"/>
      <c r="AI80" s="142"/>
      <c r="AJ80" s="142"/>
      <c r="AK80" s="142"/>
      <c r="AL80" s="142"/>
      <c r="AM80" s="368" t="str">
        <f>IF(G32="","",IF(G32=0,0,1))</f>
        <v/>
      </c>
      <c r="AN80" s="378" t="str">
        <f ca="1">IF(OR(AM80="",AM80=1,AND(AM80=0,AM79=0)),"",MATCH(1,AM80:AM$145,0)-1-COUNTIF(AM80:OFFSET(AM80,MATCH(1,AM80:AM$145,0)-1,0),""))</f>
        <v/>
      </c>
      <c r="AO80" s="242"/>
      <c r="AP80" s="242"/>
      <c r="AQ80" s="242"/>
      <c r="AR80" s="142"/>
      <c r="AS80" s="242"/>
      <c r="AT80" s="142"/>
      <c r="AU80" s="142"/>
      <c r="AV80" s="142"/>
      <c r="AW80" s="143"/>
      <c r="AX80" s="143"/>
      <c r="AY80" s="143"/>
      <c r="AZ80" s="143"/>
      <c r="BA80" s="143"/>
      <c r="BB80" s="143"/>
      <c r="BC80" s="143"/>
      <c r="BD80" s="143"/>
      <c r="BE80" s="143"/>
      <c r="BF80" s="143"/>
      <c r="BG80" s="143"/>
      <c r="BH80" s="143"/>
      <c r="BI80" s="143"/>
      <c r="BJ80" s="143"/>
      <c r="BK80" s="143"/>
      <c r="BL80" s="143"/>
      <c r="BM80" s="143"/>
      <c r="BN80" s="143"/>
    </row>
    <row r="81" spans="1:66" ht="18" customHeight="1">
      <c r="B81" s="176">
        <f>+H78+1</f>
        <v>42722</v>
      </c>
      <c r="C81" s="5">
        <f t="shared" ref="C81" si="44">+B81+1</f>
        <v>42723</v>
      </c>
      <c r="D81" s="5">
        <f t="shared" ref="D81" si="45">+C81+1</f>
        <v>42724</v>
      </c>
      <c r="E81" s="5">
        <f t="shared" ref="E81" si="46">+D81+1</f>
        <v>42725</v>
      </c>
      <c r="F81" s="5">
        <f t="shared" ref="F81" si="47">+E81+1</f>
        <v>42726</v>
      </c>
      <c r="G81" s="5">
        <f t="shared" ref="G81" si="48">+F81+1</f>
        <v>42727</v>
      </c>
      <c r="H81" s="177">
        <f t="shared" ref="H81" si="49">+G81+1</f>
        <v>42728</v>
      </c>
      <c r="I81" s="356"/>
      <c r="J81" s="356"/>
      <c r="K81" s="473"/>
      <c r="L81" s="473"/>
      <c r="M81" s="356"/>
      <c r="N81" s="142"/>
      <c r="O81" s="197"/>
      <c r="R81" s="346"/>
      <c r="S81" s="14"/>
      <c r="T81" s="21"/>
      <c r="U81" s="21"/>
      <c r="V81" s="21"/>
      <c r="W81" s="21"/>
      <c r="X81" s="142"/>
      <c r="Y81" s="142"/>
      <c r="Z81" s="396"/>
      <c r="AB81" s="396"/>
      <c r="AC81" s="142"/>
      <c r="AD81" s="142"/>
      <c r="AE81" s="142"/>
      <c r="AF81" s="142"/>
      <c r="AG81" s="142"/>
      <c r="AH81" s="142"/>
      <c r="AI81" s="142"/>
      <c r="AJ81" s="142"/>
      <c r="AK81" s="142"/>
      <c r="AL81" s="142"/>
      <c r="AM81" s="368" t="str">
        <f>IF(H32="","",IF(H32=0,0,1))</f>
        <v/>
      </c>
      <c r="AN81" s="378" t="str">
        <f ca="1">IF(OR(AM81="",AM81=1,AND(AM81=0,AM80=0)),"",MATCH(1,AM81:AM$145,0)-1-COUNTIF(AM81:OFFSET(AM81,MATCH(1,AM81:AM$145,0)-1,0),""))</f>
        <v/>
      </c>
      <c r="AO81" s="242"/>
      <c r="AP81" s="242"/>
      <c r="AQ81" s="242"/>
      <c r="AR81" s="142"/>
      <c r="AS81" s="242"/>
      <c r="AT81" s="142"/>
      <c r="AU81" s="142"/>
      <c r="AV81" s="142"/>
      <c r="AW81" s="143"/>
      <c r="AX81" s="143"/>
      <c r="AY81" s="143"/>
      <c r="AZ81" s="143"/>
      <c r="BA81" s="143"/>
      <c r="BB81" s="143"/>
      <c r="BC81" s="143"/>
      <c r="BD81" s="143"/>
      <c r="BE81" s="143"/>
      <c r="BF81" s="143"/>
      <c r="BG81" s="143"/>
      <c r="BH81" s="143"/>
      <c r="BI81" s="143"/>
      <c r="BJ81" s="143"/>
      <c r="BK81" s="143"/>
      <c r="BL81" s="143"/>
      <c r="BM81" s="143"/>
      <c r="BN81" s="143"/>
    </row>
    <row r="82" spans="1:66" ht="18" customHeight="1">
      <c r="B82" s="189"/>
      <c r="C82" s="192"/>
      <c r="D82" s="192"/>
      <c r="E82" s="192"/>
      <c r="F82" s="192"/>
      <c r="G82" s="192"/>
      <c r="H82" s="193"/>
      <c r="I82" s="356"/>
      <c r="J82" s="356"/>
      <c r="K82" s="473"/>
      <c r="L82" s="473"/>
      <c r="M82" s="356"/>
      <c r="N82" s="142"/>
      <c r="O82" s="197"/>
      <c r="R82" s="346"/>
      <c r="S82" s="14"/>
      <c r="T82" s="21"/>
      <c r="U82" s="21"/>
      <c r="V82" s="21"/>
      <c r="W82" s="21"/>
      <c r="X82" s="142"/>
      <c r="Y82" s="142"/>
      <c r="Z82" s="396"/>
      <c r="AB82" s="396"/>
      <c r="AC82" s="142"/>
      <c r="AD82" s="142"/>
      <c r="AE82" s="142"/>
      <c r="AF82" s="142"/>
      <c r="AG82" s="142"/>
      <c r="AH82" s="142"/>
      <c r="AI82" s="142"/>
      <c r="AJ82" s="142"/>
      <c r="AK82" s="142"/>
      <c r="AL82" s="142"/>
      <c r="AM82" s="368" t="str">
        <f>IF(B35="","",IF(B35=0,0,1))</f>
        <v/>
      </c>
      <c r="AN82" s="378" t="str">
        <f ca="1">IF(OR(AM82="",AM82=1,AND(AM82=0,AM81=0)),"",MATCH(1,AM82:AM$145,0)-1-COUNTIF(AM82:OFFSET(AM82,MATCH(1,AM82:AM$145,0)-1,0),""))</f>
        <v/>
      </c>
      <c r="AO82" s="242"/>
      <c r="AP82" s="242"/>
      <c r="AQ82" s="242"/>
      <c r="AR82" s="142"/>
      <c r="AS82" s="242"/>
      <c r="AT82" s="142"/>
      <c r="AU82" s="142"/>
      <c r="AV82" s="142"/>
      <c r="AW82" s="143"/>
      <c r="AX82" s="143"/>
      <c r="AY82" s="143"/>
      <c r="AZ82" s="143"/>
      <c r="BA82" s="143"/>
      <c r="BB82" s="143"/>
      <c r="BC82" s="143"/>
      <c r="BD82" s="143"/>
      <c r="BE82" s="143"/>
      <c r="BF82" s="143"/>
      <c r="BG82" s="143"/>
      <c r="BH82" s="143"/>
      <c r="BI82" s="143"/>
      <c r="BJ82" s="143"/>
      <c r="BK82" s="143"/>
      <c r="BL82" s="143"/>
      <c r="BM82" s="143"/>
      <c r="BN82" s="143"/>
    </row>
    <row r="83" spans="1:66" ht="18" customHeight="1">
      <c r="B83" s="219"/>
      <c r="C83" s="220"/>
      <c r="D83" s="220"/>
      <c r="E83" s="220"/>
      <c r="F83" s="220"/>
      <c r="G83" s="220"/>
      <c r="H83" s="221"/>
      <c r="I83" s="356"/>
      <c r="J83" s="356"/>
      <c r="K83" s="473">
        <f>(IF($E$6="Male",COUNTIF($B83:$H83,"&gt;4"),COUNTIF($B83:$H83,"&gt;3")))</f>
        <v>0</v>
      </c>
      <c r="L83" s="473"/>
      <c r="M83" s="356"/>
      <c r="N83" s="142"/>
      <c r="O83" s="197"/>
      <c r="R83" s="346"/>
      <c r="S83" s="14"/>
      <c r="T83" s="21"/>
      <c r="U83" s="21"/>
      <c r="V83" s="21"/>
      <c r="W83" s="21"/>
      <c r="X83" s="142"/>
      <c r="Y83" s="142"/>
      <c r="Z83" s="396"/>
      <c r="AB83" s="396"/>
      <c r="AC83" s="142"/>
      <c r="AD83" s="142"/>
      <c r="AE83" s="142"/>
      <c r="AF83" s="142"/>
      <c r="AG83" s="142"/>
      <c r="AH83" s="142"/>
      <c r="AI83" s="142"/>
      <c r="AJ83" s="142"/>
      <c r="AK83" s="142"/>
      <c r="AL83" s="142"/>
      <c r="AM83" s="368" t="str">
        <f>IF(C35="","",IF(C35=0,0,1))</f>
        <v/>
      </c>
      <c r="AN83" s="378" t="str">
        <f ca="1">IF(OR(AM83="",AM83=1,AND(AM83=0,AM82=0)),"",MATCH(1,AM83:AM$145,0)-1-COUNTIF(AM83:OFFSET(AM83,MATCH(1,AM83:AM$145,0)-1,0),""))</f>
        <v/>
      </c>
      <c r="AO83" s="242"/>
      <c r="AP83" s="242"/>
      <c r="AQ83" s="242"/>
      <c r="AR83" s="142"/>
      <c r="AS83" s="242"/>
      <c r="AT83" s="142"/>
      <c r="AU83" s="142"/>
      <c r="AV83" s="142"/>
      <c r="AW83" s="143"/>
      <c r="AX83" s="143"/>
      <c r="AY83" s="143"/>
      <c r="AZ83" s="143"/>
      <c r="BA83" s="143"/>
      <c r="BB83" s="143"/>
      <c r="BC83" s="143"/>
      <c r="BD83" s="143"/>
      <c r="BE83" s="143"/>
      <c r="BF83" s="143"/>
      <c r="BG83" s="143"/>
      <c r="BH83" s="143"/>
      <c r="BI83" s="143"/>
      <c r="BJ83" s="143"/>
      <c r="BK83" s="143"/>
      <c r="BL83" s="143"/>
      <c r="BM83" s="143"/>
      <c r="BN83" s="143"/>
    </row>
    <row r="84" spans="1:66" ht="18" customHeight="1">
      <c r="B84" s="5">
        <f>(MONTH($B81+7)=MONTH($B69))*($B81+7)</f>
        <v>42729</v>
      </c>
      <c r="C84" s="5">
        <f t="shared" ref="C84:H84" si="50">(MONTH(C81+7)=MONTH($B69))*(C81+7)</f>
        <v>42730</v>
      </c>
      <c r="D84" s="5">
        <f t="shared" si="50"/>
        <v>42731</v>
      </c>
      <c r="E84" s="5">
        <f t="shared" si="50"/>
        <v>42732</v>
      </c>
      <c r="F84" s="5">
        <f t="shared" si="50"/>
        <v>42733</v>
      </c>
      <c r="G84" s="5">
        <f t="shared" si="50"/>
        <v>42734</v>
      </c>
      <c r="H84" s="5">
        <f t="shared" si="50"/>
        <v>42735</v>
      </c>
      <c r="I84" s="356"/>
      <c r="J84" s="356"/>
      <c r="K84" s="473"/>
      <c r="L84" s="473"/>
      <c r="M84" s="356"/>
      <c r="N84" s="142"/>
      <c r="O84" s="197"/>
      <c r="R84" s="142"/>
      <c r="S84" s="142"/>
      <c r="T84" s="396"/>
      <c r="U84" s="396"/>
      <c r="V84" s="396"/>
      <c r="W84" s="396"/>
      <c r="X84" s="142"/>
      <c r="Y84" s="142"/>
      <c r="Z84" s="142"/>
      <c r="AB84" s="142"/>
      <c r="AC84" s="142"/>
      <c r="AD84" s="142"/>
      <c r="AE84" s="142"/>
      <c r="AF84" s="142"/>
      <c r="AG84" s="142"/>
      <c r="AH84" s="142"/>
      <c r="AI84" s="142"/>
      <c r="AJ84" s="142"/>
      <c r="AK84" s="142"/>
      <c r="AL84" s="142"/>
      <c r="AM84" s="368" t="str">
        <f>IF(D35="","",IF(D35=0,0,1))</f>
        <v/>
      </c>
      <c r="AN84" s="378" t="str">
        <f ca="1">IF(OR(AM84="",AM84=1,AND(AM84=0,AM83=0)),"",MATCH(1,AM84:AM$145,0)-1-COUNTIF(AM84:OFFSET(AM84,MATCH(1,AM84:AM$145,0)-1,0),""))</f>
        <v/>
      </c>
      <c r="AO84" s="242"/>
      <c r="AP84" s="242"/>
      <c r="AQ84" s="242"/>
      <c r="AR84" s="142"/>
      <c r="AS84" s="242"/>
      <c r="AT84" s="142"/>
      <c r="AU84" s="142"/>
      <c r="AV84" s="142"/>
      <c r="AW84" s="143"/>
      <c r="AX84" s="143"/>
      <c r="AY84" s="143"/>
      <c r="AZ84" s="143"/>
      <c r="BA84" s="143"/>
      <c r="BB84" s="143"/>
      <c r="BC84" s="143"/>
      <c r="BD84" s="143"/>
      <c r="BE84" s="143"/>
      <c r="BF84" s="143"/>
      <c r="BG84" s="143"/>
      <c r="BH84" s="143"/>
      <c r="BI84" s="143"/>
      <c r="BJ84" s="143"/>
      <c r="BK84" s="143"/>
      <c r="BL84" s="143"/>
      <c r="BM84" s="143"/>
      <c r="BN84" s="143"/>
    </row>
    <row r="85" spans="1:66" ht="18" customHeight="1">
      <c r="B85" s="192"/>
      <c r="C85" s="192"/>
      <c r="D85" s="192"/>
      <c r="E85" s="192"/>
      <c r="F85" s="192"/>
      <c r="G85" s="192"/>
      <c r="H85" s="192"/>
      <c r="I85" s="356"/>
      <c r="J85" s="356"/>
      <c r="K85" s="473"/>
      <c r="L85" s="473"/>
      <c r="M85" s="356"/>
      <c r="N85" s="142"/>
      <c r="O85" s="197"/>
      <c r="R85" s="142"/>
      <c r="S85" s="142"/>
      <c r="T85" s="396"/>
      <c r="U85" s="396"/>
      <c r="V85" s="396"/>
      <c r="W85" s="396"/>
      <c r="X85" s="142"/>
      <c r="Y85" s="142"/>
      <c r="Z85" s="142"/>
      <c r="AB85" s="142"/>
      <c r="AC85" s="142"/>
      <c r="AD85" s="142"/>
      <c r="AE85" s="142"/>
      <c r="AF85" s="142"/>
      <c r="AG85" s="142"/>
      <c r="AH85" s="142"/>
      <c r="AI85" s="142"/>
      <c r="AJ85" s="142"/>
      <c r="AK85" s="142"/>
      <c r="AL85" s="142"/>
      <c r="AM85" s="368" t="str">
        <f>IF(E35="","",IF(E35=0,0,1))</f>
        <v/>
      </c>
      <c r="AN85" s="378" t="str">
        <f ca="1">IF(OR(AM85="",AM85=1,AND(AM85=0,AM84=0)),"",MATCH(1,AM85:AM$145,0)-1-COUNTIF(AM85:OFFSET(AM85,MATCH(1,AM85:AM$145,0)-1,0),""))</f>
        <v/>
      </c>
      <c r="AO85" s="242"/>
      <c r="AP85" s="242"/>
      <c r="AQ85" s="242"/>
      <c r="AR85" s="142"/>
      <c r="AS85" s="242"/>
      <c r="AT85" s="142"/>
      <c r="AU85" s="142"/>
      <c r="AV85" s="142"/>
      <c r="AW85" s="143"/>
      <c r="AX85" s="143"/>
      <c r="AY85" s="143"/>
      <c r="AZ85" s="143"/>
      <c r="BA85" s="143"/>
      <c r="BB85" s="143"/>
      <c r="BC85" s="143"/>
      <c r="BD85" s="143"/>
      <c r="BE85" s="143"/>
      <c r="BF85" s="143"/>
      <c r="BG85" s="143"/>
      <c r="BH85" s="143"/>
      <c r="BI85" s="143"/>
      <c r="BJ85" s="143"/>
      <c r="BK85" s="143"/>
      <c r="BL85" s="143"/>
      <c r="BM85" s="143"/>
      <c r="BN85" s="143"/>
    </row>
    <row r="86" spans="1:66" ht="18" customHeight="1">
      <c r="B86" s="220"/>
      <c r="C86" s="220"/>
      <c r="D86" s="220"/>
      <c r="E86" s="220"/>
      <c r="F86" s="220"/>
      <c r="G86" s="195"/>
      <c r="H86" s="195"/>
      <c r="I86" s="357"/>
      <c r="J86" s="356"/>
      <c r="K86" s="473">
        <f>(IF($E$6="Male",COUNTIF($B86:$H86,"&gt;4"),COUNTIF($B86:$H86,"&gt;3")))</f>
        <v>0</v>
      </c>
      <c r="L86" s="473"/>
      <c r="M86" s="356"/>
      <c r="N86" s="142"/>
      <c r="O86" s="197"/>
      <c r="R86" s="142"/>
      <c r="S86" s="142"/>
      <c r="T86" s="396"/>
      <c r="U86" s="396"/>
      <c r="V86" s="396"/>
      <c r="W86" s="396"/>
      <c r="X86" s="142"/>
      <c r="Y86" s="142"/>
      <c r="Z86" s="142"/>
      <c r="AB86" s="142"/>
      <c r="AC86" s="142"/>
      <c r="AD86" s="142"/>
      <c r="AE86" s="142"/>
      <c r="AF86" s="142"/>
      <c r="AG86" s="142"/>
      <c r="AH86" s="142"/>
      <c r="AI86" s="142"/>
      <c r="AJ86" s="142"/>
      <c r="AK86" s="142"/>
      <c r="AL86" s="142"/>
      <c r="AM86" s="368" t="str">
        <f>IF(F35="","",IF(F35=0,0,1))</f>
        <v/>
      </c>
      <c r="AN86" s="378" t="str">
        <f ca="1">IF(OR(AM86="",AM86=1,AND(AM86=0,AM85=0)),"",MATCH(1,AM86:AM$145,0)-1-COUNTIF(AM86:OFFSET(AM86,MATCH(1,AM86:AM$145,0)-1,0),""))</f>
        <v/>
      </c>
      <c r="AO86" s="242"/>
      <c r="AP86" s="242"/>
      <c r="AQ86" s="242"/>
      <c r="AR86" s="142"/>
      <c r="AS86" s="242"/>
      <c r="AT86" s="142"/>
      <c r="AU86" s="142"/>
      <c r="AV86" s="142"/>
      <c r="AW86" s="143"/>
      <c r="AX86" s="143"/>
      <c r="AY86" s="143"/>
      <c r="AZ86" s="143"/>
      <c r="BA86" s="143"/>
      <c r="BB86" s="143"/>
      <c r="BC86" s="143"/>
      <c r="BD86" s="143"/>
      <c r="BE86" s="143"/>
      <c r="BF86" s="143"/>
      <c r="BG86" s="143"/>
      <c r="BH86" s="143"/>
      <c r="BI86" s="143"/>
      <c r="BJ86" s="143"/>
      <c r="BK86" s="143"/>
      <c r="BL86" s="143"/>
      <c r="BM86" s="143"/>
      <c r="BN86" s="143"/>
    </row>
    <row r="87" spans="1:66" ht="18" customHeight="1">
      <c r="B87" s="191">
        <f>(MONTH($B81+14)=MONTH($B69))*($B81+14)</f>
        <v>0</v>
      </c>
      <c r="C87" s="191">
        <f t="shared" ref="C87:H87" si="51">(MONTH(C81+14)=MONTH($B69))*(C81+14)</f>
        <v>0</v>
      </c>
      <c r="D87" s="191">
        <f t="shared" si="51"/>
        <v>0</v>
      </c>
      <c r="E87" s="191">
        <f t="shared" si="51"/>
        <v>0</v>
      </c>
      <c r="F87" s="191">
        <f t="shared" si="51"/>
        <v>0</v>
      </c>
      <c r="G87" s="191">
        <f t="shared" si="51"/>
        <v>0</v>
      </c>
      <c r="H87" s="191">
        <f t="shared" si="51"/>
        <v>0</v>
      </c>
      <c r="I87" s="357"/>
      <c r="J87" s="356"/>
      <c r="K87" s="473"/>
      <c r="L87" s="473"/>
      <c r="M87" s="356"/>
      <c r="N87" s="142"/>
      <c r="O87" s="197"/>
      <c r="R87" s="142"/>
      <c r="S87" s="142"/>
      <c r="T87" s="396"/>
      <c r="U87" s="396"/>
      <c r="V87" s="396"/>
      <c r="W87" s="396"/>
      <c r="X87" s="142"/>
      <c r="Y87" s="142"/>
      <c r="Z87" s="142"/>
      <c r="AB87" s="142"/>
      <c r="AC87" s="142"/>
      <c r="AD87" s="142"/>
      <c r="AE87" s="142"/>
      <c r="AF87" s="142"/>
      <c r="AG87" s="142"/>
      <c r="AH87" s="142"/>
      <c r="AI87" s="142"/>
      <c r="AJ87" s="142"/>
      <c r="AK87" s="142"/>
      <c r="AL87" s="142"/>
      <c r="AM87" s="368" t="str">
        <f>IF(G35="","",IF(G35=0,0,1))</f>
        <v/>
      </c>
      <c r="AN87" s="378" t="str">
        <f ca="1">IF(OR(AM87="",AM87=1,AND(AM87=0,AM86=0)),"",MATCH(1,AM87:AM$145,0)-1-COUNTIF(AM87:OFFSET(AM87,MATCH(1,AM87:AM$145,0)-1,0),""))</f>
        <v/>
      </c>
      <c r="AO87" s="242"/>
      <c r="AP87" s="242"/>
      <c r="AQ87" s="242"/>
      <c r="AR87" s="142"/>
      <c r="AS87" s="242"/>
      <c r="AT87" s="142"/>
      <c r="AU87" s="142"/>
      <c r="AV87" s="142"/>
      <c r="AW87" s="143"/>
      <c r="AX87" s="143"/>
      <c r="AY87" s="143"/>
      <c r="AZ87" s="143"/>
      <c r="BA87" s="143"/>
      <c r="BB87" s="143"/>
      <c r="BC87" s="143"/>
      <c r="BD87" s="143"/>
      <c r="BE87" s="143"/>
      <c r="BF87" s="143"/>
      <c r="BG87" s="143"/>
      <c r="BH87" s="143"/>
      <c r="BI87" s="143"/>
      <c r="BJ87" s="143"/>
      <c r="BK87" s="143"/>
      <c r="BL87" s="143"/>
      <c r="BM87" s="143"/>
      <c r="BN87" s="143"/>
    </row>
    <row r="88" spans="1:66" ht="14.25">
      <c r="B88" s="190"/>
      <c r="C88" s="190"/>
      <c r="D88" s="190"/>
      <c r="E88" s="190"/>
      <c r="F88" s="190"/>
      <c r="G88" s="190"/>
      <c r="H88" s="190"/>
      <c r="I88" s="357"/>
      <c r="J88" s="356"/>
      <c r="K88" s="473"/>
      <c r="L88" s="473"/>
      <c r="M88" s="356"/>
      <c r="N88" s="142"/>
      <c r="O88" s="197"/>
      <c r="R88" s="142"/>
      <c r="S88" s="142"/>
      <c r="T88" s="396"/>
      <c r="U88" s="396"/>
      <c r="V88" s="396"/>
      <c r="W88" s="396"/>
      <c r="X88" s="142"/>
      <c r="Y88" s="142"/>
      <c r="Z88" s="142"/>
      <c r="AB88" s="142"/>
      <c r="AC88" s="142"/>
      <c r="AD88" s="142"/>
      <c r="AE88" s="142"/>
      <c r="AF88" s="142"/>
      <c r="AG88" s="142"/>
      <c r="AH88" s="142"/>
      <c r="AI88" s="142"/>
      <c r="AJ88" s="142"/>
      <c r="AK88" s="142"/>
      <c r="AL88" s="142"/>
      <c r="AM88" s="368" t="str">
        <f>IF(H35="","",IF(H35=0,0,1))</f>
        <v/>
      </c>
      <c r="AN88" s="378" t="str">
        <f ca="1">IF(OR(AM88="",AM88=1,AND(AM88=0,AM87=0)),"",MATCH(1,AM88:AM$145,0)-1-COUNTIF(AM88:OFFSET(AM88,MATCH(1,AM88:AM$145,0)-1,0),""))</f>
        <v/>
      </c>
      <c r="AO88" s="242"/>
      <c r="AP88" s="242"/>
      <c r="AQ88" s="242"/>
      <c r="AR88" s="142"/>
      <c r="AS88" s="242"/>
      <c r="AT88" s="142"/>
      <c r="AU88" s="142"/>
      <c r="AV88" s="142"/>
      <c r="AW88" s="143"/>
      <c r="AX88" s="143"/>
      <c r="AY88" s="143"/>
      <c r="AZ88" s="143"/>
      <c r="BA88" s="143"/>
      <c r="BB88" s="143"/>
      <c r="BC88" s="143"/>
      <c r="BD88" s="143"/>
      <c r="BE88" s="143"/>
      <c r="BF88" s="143"/>
      <c r="BG88" s="143"/>
      <c r="BH88" s="143"/>
      <c r="BI88" s="143"/>
      <c r="BJ88" s="143"/>
      <c r="BK88" s="143"/>
      <c r="BL88" s="143"/>
      <c r="BM88" s="143"/>
      <c r="BN88" s="143"/>
    </row>
    <row r="89" spans="1:66" ht="13.5">
      <c r="B89" s="148"/>
      <c r="C89" s="148"/>
      <c r="D89" s="148"/>
      <c r="E89" s="148"/>
      <c r="F89" s="148"/>
      <c r="G89" s="148"/>
      <c r="H89" s="148"/>
      <c r="I89" s="357"/>
      <c r="J89" s="356"/>
      <c r="K89" s="356"/>
      <c r="L89" s="356"/>
      <c r="M89" s="356"/>
      <c r="N89" s="142"/>
      <c r="O89" s="197"/>
      <c r="R89" s="142"/>
      <c r="S89" s="142"/>
      <c r="T89" s="396"/>
      <c r="U89" s="396"/>
      <c r="V89" s="396"/>
      <c r="W89" s="396"/>
      <c r="X89" s="142"/>
      <c r="Y89" s="142"/>
      <c r="Z89" s="142"/>
      <c r="AB89" s="142"/>
      <c r="AC89" s="142"/>
      <c r="AD89" s="142"/>
      <c r="AE89" s="142"/>
      <c r="AF89" s="142"/>
      <c r="AG89" s="142"/>
      <c r="AH89" s="142"/>
      <c r="AI89" s="142"/>
      <c r="AJ89" s="142"/>
      <c r="AK89" s="142"/>
      <c r="AL89" s="142"/>
      <c r="AM89" s="368" t="str">
        <f>IF(B38="","",IF(B38=0,0,1))</f>
        <v/>
      </c>
      <c r="AN89" s="378" t="str">
        <f ca="1">IF(OR(AM89="",AM89=1,AND(AM89=0,AM88=0)),"",MATCH(1,AM89:AM$145,0)-1-COUNTIF(AM89:OFFSET(AM89,MATCH(1,AM89:AM$145,0)-1,0),""))</f>
        <v/>
      </c>
      <c r="AO89" s="242"/>
      <c r="AP89" s="242"/>
      <c r="AQ89" s="242"/>
      <c r="AR89" s="142"/>
      <c r="AS89" s="242"/>
      <c r="AT89" s="142"/>
      <c r="AU89" s="142"/>
      <c r="AV89" s="142"/>
      <c r="AW89" s="143"/>
      <c r="AX89" s="143"/>
      <c r="AY89" s="143"/>
      <c r="AZ89" s="143"/>
      <c r="BA89" s="143"/>
      <c r="BB89" s="143"/>
      <c r="BC89" s="143"/>
      <c r="BD89" s="143"/>
      <c r="BE89" s="143"/>
      <c r="BF89" s="143"/>
      <c r="BG89" s="143"/>
      <c r="BH89" s="143"/>
      <c r="BI89" s="143"/>
      <c r="BJ89" s="143"/>
      <c r="BK89" s="143"/>
      <c r="BL89" s="143"/>
      <c r="BM89" s="143"/>
      <c r="BN89" s="143"/>
    </row>
    <row r="90" spans="1:66" ht="14.25">
      <c r="B90" s="150"/>
      <c r="C90" s="150"/>
      <c r="D90" s="150"/>
      <c r="E90" s="150"/>
      <c r="F90" s="150"/>
      <c r="G90" s="150"/>
      <c r="H90" s="149"/>
      <c r="I90" s="358"/>
      <c r="J90" s="179"/>
      <c r="K90" s="179"/>
      <c r="L90" s="179"/>
      <c r="M90" s="179"/>
      <c r="N90" s="142"/>
      <c r="O90" s="197"/>
      <c r="R90" s="142"/>
      <c r="S90" s="142"/>
      <c r="T90" s="396"/>
      <c r="U90" s="396"/>
      <c r="V90" s="396"/>
      <c r="W90" s="396"/>
      <c r="X90" s="142"/>
      <c r="Y90" s="142"/>
      <c r="Z90" s="142"/>
      <c r="AB90" s="142"/>
      <c r="AC90" s="142"/>
      <c r="AD90" s="142"/>
      <c r="AE90" s="142"/>
      <c r="AF90" s="142"/>
      <c r="AG90" s="142"/>
      <c r="AH90" s="142"/>
      <c r="AI90" s="142"/>
      <c r="AJ90" s="142"/>
      <c r="AK90" s="142"/>
      <c r="AL90" s="142"/>
      <c r="AM90" s="368" t="str">
        <f>IF(C38="","",IF(C38=0,0,1))</f>
        <v/>
      </c>
      <c r="AN90" s="378" t="str">
        <f ca="1">IF(OR(AM90="",AM90=1,AND(AM90=0,AM89=0)),"",MATCH(1,AM90:AM$145,0)-1-COUNTIF(AM90:OFFSET(AM90,MATCH(1,AM90:AM$145,0)-1,0),""))</f>
        <v/>
      </c>
      <c r="AO90" s="242"/>
      <c r="AP90" s="242"/>
      <c r="AQ90" s="242"/>
      <c r="AR90" s="142"/>
      <c r="AS90" s="242"/>
      <c r="AT90" s="142"/>
      <c r="AU90" s="142"/>
      <c r="AV90" s="142"/>
      <c r="AW90" s="143"/>
      <c r="AX90" s="143"/>
      <c r="AY90" s="143"/>
      <c r="AZ90" s="143"/>
      <c r="BA90" s="143"/>
      <c r="BB90" s="143"/>
      <c r="BC90" s="143"/>
      <c r="BD90" s="143"/>
      <c r="BE90" s="143"/>
      <c r="BF90" s="143"/>
      <c r="BG90" s="143"/>
      <c r="BH90" s="143"/>
      <c r="BI90" s="143"/>
      <c r="BJ90" s="143"/>
      <c r="BK90" s="143"/>
      <c r="BL90" s="143"/>
      <c r="BM90" s="143"/>
      <c r="BN90" s="143"/>
    </row>
    <row r="91" spans="1:66" ht="13.5">
      <c r="B91" s="148"/>
      <c r="C91" s="148"/>
      <c r="D91" s="148"/>
      <c r="E91" s="148"/>
      <c r="F91" s="148"/>
      <c r="G91" s="148"/>
      <c r="H91" s="148"/>
      <c r="I91" s="358"/>
      <c r="J91" s="179"/>
      <c r="K91" s="179"/>
      <c r="L91" s="179"/>
      <c r="M91" s="179"/>
      <c r="N91" s="351"/>
      <c r="O91" s="111"/>
      <c r="R91" s="142"/>
      <c r="S91" s="142"/>
      <c r="T91" s="396"/>
      <c r="U91" s="396"/>
      <c r="V91" s="396"/>
      <c r="W91" s="396"/>
      <c r="X91" s="142"/>
      <c r="Y91" s="142"/>
      <c r="Z91" s="142"/>
      <c r="AB91" s="142"/>
      <c r="AC91" s="142"/>
      <c r="AD91" s="142"/>
      <c r="AE91" s="142"/>
      <c r="AF91" s="142"/>
      <c r="AG91" s="142"/>
      <c r="AH91" s="142"/>
      <c r="AI91" s="142"/>
      <c r="AJ91" s="142"/>
      <c r="AK91" s="142"/>
      <c r="AM91" s="368" t="str">
        <f>IF(D38="","",IF(D38=0,0,1))</f>
        <v/>
      </c>
      <c r="AN91" s="378" t="str">
        <f ca="1">IF(OR(AM91="",AM91=1,AND(AM91=0,AM90=0)),"",MATCH(1,AM91:AM$145,0)-1-COUNTIF(AM91:OFFSET(AM91,MATCH(1,AM91:AM$145,0)-1,0),""))</f>
        <v/>
      </c>
    </row>
    <row r="92" spans="1:66" ht="15" thickBot="1">
      <c r="B92" s="149"/>
      <c r="C92" s="149"/>
      <c r="D92" s="149"/>
      <c r="E92" s="149"/>
      <c r="F92" s="149"/>
      <c r="G92" s="149"/>
      <c r="H92" s="149"/>
      <c r="I92" s="358"/>
      <c r="J92" s="179"/>
      <c r="K92" s="179"/>
      <c r="L92" s="179"/>
      <c r="M92" s="179"/>
      <c r="N92" s="351"/>
      <c r="O92" s="111"/>
      <c r="R92" s="142"/>
      <c r="S92" s="142"/>
      <c r="T92" s="396"/>
      <c r="U92" s="396"/>
      <c r="V92" s="396"/>
      <c r="W92" s="396"/>
      <c r="X92" s="142"/>
      <c r="Y92" s="142"/>
      <c r="Z92" s="142"/>
      <c r="AB92" s="142"/>
      <c r="AC92" s="142"/>
      <c r="AD92" s="142"/>
      <c r="AE92" s="142"/>
      <c r="AF92" s="142"/>
      <c r="AG92" s="142"/>
      <c r="AH92" s="142"/>
      <c r="AI92" s="142"/>
      <c r="AJ92" s="142"/>
      <c r="AK92" s="142"/>
      <c r="AM92" s="368" t="str">
        <f>IF(E38="","",IF(E38=0,0,1))</f>
        <v/>
      </c>
      <c r="AN92" s="378" t="str">
        <f ca="1">IF(OR(AM92="",AM92=1,AND(AM92=0,AM91=0)),"",MATCH(1,AM92:AM$145,0)-1-COUNTIF(AM92:OFFSET(AM92,MATCH(1,AM92:AM$145,0)-1,0),""))</f>
        <v/>
      </c>
    </row>
    <row r="93" spans="1:66" ht="13.5" thickBot="1">
      <c r="A93" s="142"/>
      <c r="B93" s="204" t="s">
        <v>245</v>
      </c>
      <c r="C93" s="205"/>
      <c r="D93" s="205"/>
      <c r="E93" s="205"/>
      <c r="F93" s="205"/>
      <c r="G93" s="205"/>
      <c r="H93" s="206" t="s">
        <v>252</v>
      </c>
      <c r="I93" s="358"/>
      <c r="J93" s="179"/>
      <c r="K93" s="179"/>
      <c r="L93" s="179"/>
      <c r="M93" s="179"/>
      <c r="N93" s="351"/>
      <c r="O93" s="111"/>
      <c r="R93" s="142"/>
      <c r="S93" s="142"/>
      <c r="T93" s="396"/>
      <c r="U93" s="396"/>
      <c r="V93" s="396"/>
      <c r="W93" s="396"/>
      <c r="X93" s="142"/>
      <c r="Y93" s="142"/>
      <c r="Z93" s="142"/>
      <c r="AB93" s="142"/>
      <c r="AC93" s="142"/>
      <c r="AD93" s="142"/>
      <c r="AE93" s="142"/>
      <c r="AF93" s="142"/>
      <c r="AG93" s="142"/>
      <c r="AH93" s="142"/>
      <c r="AI93" s="142"/>
      <c r="AJ93" s="142"/>
      <c r="AK93" s="142"/>
      <c r="AM93" s="368" t="str">
        <f>IF(F38="","",IF(F38=0,0,1))</f>
        <v/>
      </c>
      <c r="AN93" s="378" t="str">
        <f ca="1">IF(OR(AM93="",AM93=1,AND(AM93=0,AM92=0)),"",MATCH(1,AM93:AM$145,0)-1-COUNTIF(AM93:OFFSET(AM93,MATCH(1,AM93:AM$145,0)-1,0),""))</f>
        <v/>
      </c>
    </row>
    <row r="94" spans="1:66">
      <c r="A94" s="142"/>
      <c r="B94" s="207"/>
      <c r="C94" s="205"/>
      <c r="D94" s="205"/>
      <c r="E94" s="208" t="s">
        <v>165</v>
      </c>
      <c r="F94" s="205"/>
      <c r="G94" s="205"/>
      <c r="H94" s="205">
        <f>IF(H93="yes",1,0)</f>
        <v>0</v>
      </c>
      <c r="I94" s="358"/>
      <c r="J94" s="179"/>
      <c r="K94" s="179"/>
      <c r="L94" s="179"/>
      <c r="M94" s="179"/>
      <c r="N94" s="351"/>
      <c r="O94" s="111"/>
      <c r="X94" s="142"/>
      <c r="Y94" s="142"/>
      <c r="Z94" s="396"/>
      <c r="AB94" s="397"/>
      <c r="AC94" s="142"/>
      <c r="AD94" s="142"/>
      <c r="AE94" s="142"/>
      <c r="AF94" s="142"/>
      <c r="AG94" s="142"/>
      <c r="AH94" s="142"/>
      <c r="AI94" s="142"/>
      <c r="AJ94" s="142"/>
      <c r="AK94" s="142"/>
      <c r="AM94" s="368" t="str">
        <f>IF(G38="","",IF(G38=0,0,1))</f>
        <v/>
      </c>
      <c r="AN94" s="378" t="str">
        <f ca="1">IF(OR(AM94="",AM94=1,AND(AM94=0,AM93=0)),"",MATCH(1,AM94:AM$145,0)-1-COUNTIF(AM94:OFFSET(AM94,MATCH(1,AM94:AM$145,0)-1,0),""))</f>
        <v/>
      </c>
    </row>
    <row r="95" spans="1:66" ht="18">
      <c r="A95" s="145"/>
      <c r="B95" s="209" t="s">
        <v>166</v>
      </c>
      <c r="C95" s="210"/>
      <c r="D95" s="210"/>
      <c r="E95" s="211"/>
      <c r="F95" s="212" t="s">
        <v>251</v>
      </c>
      <c r="G95" s="205"/>
      <c r="H95" s="205"/>
      <c r="I95" s="358"/>
      <c r="J95" s="179"/>
      <c r="K95" s="179"/>
      <c r="L95" s="179"/>
      <c r="M95" s="179"/>
      <c r="N95" s="351"/>
      <c r="O95" s="111"/>
      <c r="X95" s="142"/>
      <c r="Y95" s="142"/>
      <c r="Z95" s="396"/>
      <c r="AB95" s="397"/>
      <c r="AC95" s="142"/>
      <c r="AD95" s="142"/>
      <c r="AE95" s="142"/>
      <c r="AF95" s="142"/>
      <c r="AG95" s="142"/>
      <c r="AH95" s="142"/>
      <c r="AI95" s="142"/>
      <c r="AJ95" s="142"/>
      <c r="AK95" s="142"/>
      <c r="AM95" s="368" t="str">
        <f>IF(H38="","",IF(H38=0,0,1))</f>
        <v/>
      </c>
      <c r="AN95" s="378" t="str">
        <f ca="1">IF(OR(AM95="",AM95=1,AND(AM95=0,AM94=0)),"",MATCH(1,AM95:AM$145,0)-1-COUNTIF(AM95:OFFSET(AM95,MATCH(1,AM95:AM$145,0)-1,0),""))</f>
        <v/>
      </c>
    </row>
    <row r="96" spans="1:66">
      <c r="A96" s="140"/>
      <c r="B96" s="154"/>
      <c r="C96" s="154"/>
      <c r="D96" s="154"/>
      <c r="E96" s="154"/>
      <c r="F96" s="154">
        <f>IF(F95="Yes",1,IF(F95="No",2,IF(F95="Click Cell to Enter",3,"Error")))</f>
        <v>3</v>
      </c>
      <c r="G96" s="154" t="str">
        <f>IF(F96=1,"Yes", IF(F96=2, "No", "Not Answered"))</f>
        <v>Not Answered</v>
      </c>
      <c r="H96" s="154"/>
      <c r="I96" s="358"/>
      <c r="J96" s="179"/>
      <c r="K96" s="179"/>
      <c r="L96" s="179"/>
      <c r="M96" s="179"/>
      <c r="N96" s="351"/>
      <c r="O96" s="111"/>
      <c r="X96" s="142"/>
      <c r="Y96" s="142"/>
      <c r="Z96" s="396"/>
      <c r="AB96" s="397"/>
      <c r="AC96" s="142"/>
      <c r="AD96" s="142"/>
      <c r="AE96" s="142"/>
      <c r="AF96" s="142"/>
      <c r="AG96" s="142"/>
      <c r="AH96" s="142"/>
      <c r="AI96" s="142"/>
      <c r="AJ96" s="142"/>
      <c r="AK96" s="142"/>
      <c r="AM96" s="368" t="str">
        <f>IF(B41="","",IF(B41=0,0,1))</f>
        <v/>
      </c>
      <c r="AN96" s="378" t="str">
        <f ca="1">IF(OR(AM96="",AM96=1,AND(AM96=0,AM95=0)),"",MATCH(1,AM96:AM$145,0)-1-COUNTIF(AM96:OFFSET(AM96,MATCH(1,AM96:AM$145,0)-1,0),""))</f>
        <v/>
      </c>
    </row>
    <row r="97" spans="1:61" ht="20.25">
      <c r="A97" s="140"/>
      <c r="B97" s="199"/>
      <c r="C97" s="199"/>
      <c r="D97" s="199"/>
      <c r="E97" s="199"/>
      <c r="F97" s="199"/>
      <c r="G97" s="199"/>
      <c r="H97" s="199"/>
      <c r="I97" s="358"/>
      <c r="J97" s="179"/>
      <c r="K97" s="179"/>
      <c r="L97" s="179"/>
      <c r="M97" s="179"/>
      <c r="N97" s="351"/>
      <c r="O97" s="111"/>
      <c r="S97" s="398"/>
      <c r="W97" s="398" t="s">
        <v>352</v>
      </c>
      <c r="X97" s="142"/>
      <c r="Y97" s="142"/>
      <c r="Z97" s="396"/>
      <c r="AB97" s="397"/>
      <c r="AC97" s="142"/>
      <c r="AD97" s="142"/>
      <c r="AE97" s="142"/>
      <c r="AF97" s="142"/>
      <c r="AG97" s="142"/>
      <c r="AH97" s="142"/>
      <c r="AI97" s="142"/>
      <c r="AJ97" s="142"/>
      <c r="AK97" s="142"/>
      <c r="AM97" s="368" t="str">
        <f>IF(C41="","",IF(C41=0,0,1))</f>
        <v/>
      </c>
      <c r="AN97" s="378" t="str">
        <f ca="1">IF(OR(AM97="",AM97=1,AND(AM97=0,AM96=0)),"",MATCH(1,AM97:AM$145,0)-1-COUNTIF(AM97:OFFSET(AM97,MATCH(1,AM97:AM$145,0)-1,0),""))</f>
        <v/>
      </c>
    </row>
    <row r="98" spans="1:61" ht="19.5">
      <c r="A98" s="140"/>
      <c r="B98" s="199"/>
      <c r="C98" s="200"/>
      <c r="D98" s="200"/>
      <c r="E98" s="201" t="s">
        <v>506</v>
      </c>
      <c r="F98" s="200"/>
      <c r="G98" s="200"/>
      <c r="H98" s="199"/>
      <c r="I98" s="358"/>
      <c r="J98" s="179"/>
      <c r="K98" s="179"/>
      <c r="L98" s="179"/>
      <c r="M98" s="179"/>
      <c r="N98" s="351"/>
      <c r="O98" s="111"/>
      <c r="X98" s="142"/>
      <c r="Y98" s="142"/>
      <c r="Z98" s="396"/>
      <c r="AB98" s="397"/>
      <c r="AC98" s="142"/>
      <c r="AD98" s="142"/>
      <c r="AE98" s="142"/>
      <c r="AF98" s="142"/>
      <c r="AG98" s="142"/>
      <c r="AH98" s="142"/>
      <c r="AI98" s="142"/>
      <c r="AJ98" s="142"/>
      <c r="AK98" s="142"/>
      <c r="AM98" s="368" t="str">
        <f>IF(D41="","",IF(D41=0,0,1))</f>
        <v/>
      </c>
      <c r="AN98" s="378" t="str">
        <f ca="1">IF(OR(AM98="",AM98=1,AND(AM98=0,AM97=0)),"",MATCH(1,AM98:AM$145,0)-1-COUNTIF(AM98:OFFSET(AM98,MATCH(1,AM98:AM$145,0)-1,0),""))</f>
        <v/>
      </c>
    </row>
    <row r="99" spans="1:61">
      <c r="A99" s="140"/>
      <c r="B99" s="199"/>
      <c r="C99" s="199"/>
      <c r="D99" s="199"/>
      <c r="E99" s="199"/>
      <c r="F99" s="199"/>
      <c r="G99" s="199"/>
      <c r="H99" s="199"/>
      <c r="I99" s="358"/>
      <c r="J99" s="179"/>
      <c r="K99" s="179"/>
      <c r="L99" s="179"/>
      <c r="M99" s="179"/>
      <c r="N99" s="351"/>
      <c r="O99" s="235"/>
      <c r="X99" s="142"/>
      <c r="Y99" s="142"/>
      <c r="Z99" s="396"/>
      <c r="AB99" s="397"/>
      <c r="AC99" s="142"/>
      <c r="AD99" s="142"/>
      <c r="AE99" s="142"/>
      <c r="AF99" s="142"/>
      <c r="AG99" s="142"/>
      <c r="AH99" s="142"/>
      <c r="AI99" s="142"/>
      <c r="AJ99" s="142"/>
      <c r="AK99" s="142"/>
      <c r="AM99" s="368" t="str">
        <f>IF(E41="","",IF(E41=0,0,1))</f>
        <v/>
      </c>
      <c r="AN99" s="378" t="str">
        <f ca="1">IF(OR(AM99="",AM99=1,AND(AM99=0,AM98=0)),"",MATCH(1,AM99:AM$145,0)-1-COUNTIF(AM99:OFFSET(AM99,MATCH(1,AM99:AM$145,0)-1,0),""))</f>
        <v/>
      </c>
    </row>
    <row r="100" spans="1:61" ht="13.5" thickBot="1">
      <c r="A100" s="140"/>
      <c r="B100" s="154"/>
      <c r="C100" s="154"/>
      <c r="D100" s="154"/>
      <c r="E100" s="154"/>
      <c r="F100" s="154"/>
      <c r="G100" s="154"/>
      <c r="H100" s="154"/>
      <c r="I100" s="155"/>
      <c r="J100" s="154"/>
      <c r="K100" s="154"/>
      <c r="L100" s="154"/>
      <c r="M100" s="154"/>
      <c r="N100" s="143"/>
      <c r="O100" s="235"/>
      <c r="X100" s="142"/>
      <c r="Y100" s="142"/>
      <c r="Z100" s="396"/>
      <c r="AB100" s="397"/>
      <c r="AC100" s="142"/>
      <c r="AD100" s="142"/>
      <c r="AE100" s="142"/>
      <c r="AF100" s="142"/>
      <c r="AG100" s="399" t="s">
        <v>507</v>
      </c>
      <c r="AH100" s="142"/>
      <c r="AI100" s="142"/>
      <c r="AJ100" s="142"/>
      <c r="AK100" s="142"/>
      <c r="AM100" s="368" t="str">
        <f>IF(F41="","",IF(F41=0,0,1))</f>
        <v/>
      </c>
      <c r="AN100" s="378" t="str">
        <f ca="1">IF(OR(AM100="",AM100=1,AND(AM100=0,AM99=0)),"",MATCH(1,AM100:AM$145,0)-1-COUNTIF(AM100:OFFSET(AM100,MATCH(1,AM100:AM$145,0)-1,0),""))</f>
        <v/>
      </c>
    </row>
    <row r="101" spans="1:61">
      <c r="A101" s="140"/>
      <c r="B101" s="205"/>
      <c r="C101" s="205"/>
      <c r="D101" s="205"/>
      <c r="E101" s="205"/>
      <c r="F101" s="205"/>
      <c r="G101" s="205"/>
      <c r="H101" s="205"/>
      <c r="I101" s="226"/>
      <c r="J101" s="205"/>
      <c r="K101" s="205"/>
      <c r="L101" s="205"/>
      <c r="M101" s="154"/>
      <c r="N101" s="143"/>
      <c r="O101" s="235"/>
      <c r="X101" s="142"/>
      <c r="Y101" s="142"/>
      <c r="Z101" s="396"/>
      <c r="AB101" s="397"/>
      <c r="AC101" s="142"/>
      <c r="AD101" s="142"/>
      <c r="AE101" s="142"/>
      <c r="AF101" s="142"/>
      <c r="AG101" s="400" t="s">
        <v>350</v>
      </c>
      <c r="AH101" s="401"/>
      <c r="AI101" s="402"/>
      <c r="AJ101" s="403"/>
      <c r="AK101" s="404"/>
      <c r="AM101" s="368" t="str">
        <f>IF(G41="","",IF(G41=0,0,1))</f>
        <v/>
      </c>
      <c r="AN101" s="378" t="str">
        <f ca="1">IF(OR(AM101="",AM101=1,AND(AM101=0,AM100=0)),"",MATCH(1,AM101:AM$145,0)-1-COUNTIF(AM101:OFFSET(AM101,MATCH(1,AM101:AM$145,0)-1,0),""))</f>
        <v/>
      </c>
    </row>
    <row r="102" spans="1:61" ht="25.5">
      <c r="A102" s="140"/>
      <c r="B102" s="154"/>
      <c r="T102" s="353"/>
      <c r="U102" s="353"/>
      <c r="V102" s="353"/>
      <c r="W102" s="353"/>
      <c r="X102" s="145"/>
      <c r="Y102" s="405"/>
      <c r="Z102" s="405"/>
      <c r="AA102" s="145"/>
      <c r="AB102" s="405"/>
      <c r="AC102" s="405"/>
      <c r="AD102" s="405"/>
      <c r="AE102" s="405"/>
      <c r="AF102" s="405"/>
      <c r="AG102" s="513" t="s">
        <v>348</v>
      </c>
      <c r="AH102" s="406"/>
      <c r="AI102" s="407" t="s">
        <v>355</v>
      </c>
      <c r="AJ102" s="408"/>
      <c r="AK102" s="409"/>
      <c r="AM102" s="368" t="str">
        <f>IF(H41="","",IF(H41=0,0,1))</f>
        <v/>
      </c>
      <c r="AN102" s="378" t="str">
        <f ca="1">IF(OR(AM102="",AM102=1,AND(AM102=0,AM101=0)),"",MATCH(1,AM102:AM$145,0)-1-COUNTIF(AM102:OFFSET(AM102,MATCH(1,AM102:AM$145,0)-1,0),""))</f>
        <v/>
      </c>
      <c r="AP102" s="399" t="s">
        <v>343</v>
      </c>
      <c r="AQ102" s="399"/>
      <c r="AR102" s="399"/>
      <c r="AS102" s="399"/>
      <c r="AT102" s="399"/>
      <c r="AU102" s="399"/>
      <c r="AV102" s="410"/>
      <c r="AW102" s="205"/>
      <c r="AX102" s="205"/>
      <c r="AY102" s="205"/>
      <c r="AZ102" s="205"/>
      <c r="BA102" s="205"/>
      <c r="BB102" s="265"/>
      <c r="BC102" s="205"/>
      <c r="BD102" s="208"/>
      <c r="BE102" s="208"/>
      <c r="BF102" s="208"/>
      <c r="BG102" s="205"/>
      <c r="BH102" s="205"/>
      <c r="BI102" s="205"/>
    </row>
    <row r="103" spans="1:61" ht="13.5" thickBot="1">
      <c r="A103" s="140"/>
      <c r="B103" s="249" t="s">
        <v>56</v>
      </c>
      <c r="T103" s="353"/>
      <c r="U103" s="353"/>
      <c r="V103" s="353"/>
      <c r="W103" s="353"/>
      <c r="X103" s="405"/>
      <c r="Y103" s="405"/>
      <c r="Z103" s="405"/>
      <c r="AA103" s="145"/>
      <c r="AB103" s="405"/>
      <c r="AC103" s="405"/>
      <c r="AD103" s="405"/>
      <c r="AE103" s="405"/>
      <c r="AF103" s="405"/>
      <c r="AG103" s="513"/>
      <c r="AH103" s="411" t="s">
        <v>184</v>
      </c>
      <c r="AI103" s="406"/>
      <c r="AJ103" s="412"/>
      <c r="AM103" s="368" t="str">
        <f>IF(B44="","",IF(B44=0,0,1))</f>
        <v/>
      </c>
      <c r="AN103" s="378" t="str">
        <f ca="1">IF(OR(AM103="",AM103=1,AND(AM103=0,AM102=0)),"",MATCH(1,AM103:AM$145,0)-1-COUNTIF(AM103:OFFSET(AM103,MATCH(1,AM103:AM$145,0)-1,0),""))</f>
        <v/>
      </c>
      <c r="AP103" s="322"/>
      <c r="AQ103" s="413" t="s">
        <v>346</v>
      </c>
      <c r="AR103" s="322"/>
      <c r="AS103" s="322"/>
      <c r="AT103" s="322"/>
      <c r="AU103" s="322"/>
      <c r="AV103" s="414" t="s">
        <v>345</v>
      </c>
      <c r="AW103" s="208"/>
      <c r="AX103" s="208"/>
      <c r="AY103" s="208"/>
      <c r="AZ103" s="208"/>
      <c r="BA103" s="264" t="s">
        <v>344</v>
      </c>
      <c r="BB103" s="208"/>
      <c r="BC103" s="205"/>
      <c r="BD103" s="208"/>
      <c r="BE103" s="208"/>
      <c r="BF103" s="266" t="s">
        <v>347</v>
      </c>
      <c r="BG103" s="205"/>
      <c r="BH103" s="205"/>
      <c r="BI103" s="205"/>
    </row>
    <row r="104" spans="1:61">
      <c r="A104" s="227"/>
      <c r="C104" s="205"/>
      <c r="D104" s="205"/>
      <c r="E104" s="205"/>
      <c r="F104" s="205"/>
      <c r="G104" s="205"/>
      <c r="H104" s="205"/>
      <c r="I104" s="205"/>
      <c r="J104" s="205"/>
      <c r="K104" s="205"/>
      <c r="L104" s="205"/>
      <c r="W104" s="353"/>
      <c r="X104" s="322"/>
      <c r="Y104" s="405"/>
      <c r="Z104" s="405"/>
      <c r="AA104" s="145"/>
      <c r="AB104" s="405"/>
      <c r="AC104" s="405"/>
      <c r="AD104" s="405"/>
      <c r="AE104" s="405"/>
      <c r="AF104" s="405"/>
      <c r="AG104" s="415">
        <f>SUM($AP104:$BI104)</f>
        <v>0</v>
      </c>
      <c r="AH104" s="416">
        <f>AG104/90</f>
        <v>0</v>
      </c>
      <c r="AI104" s="411">
        <v>0</v>
      </c>
      <c r="AJ104" s="417"/>
      <c r="AK104" s="397"/>
      <c r="AL104" s="397"/>
      <c r="AM104" s="368" t="str">
        <f>IF(C44="","",IF(C44=0,0,1))</f>
        <v/>
      </c>
      <c r="AN104" s="378" t="str">
        <f ca="1">IF(OR(AM104="",AM104=1,AND(AM104=0,AM103=0)),"",MATCH(1,AM104:AM$145,0)-1-COUNTIF(AM104:OFFSET(AM104,MATCH(1,AM104:AM$145,0)-1,0),""))</f>
        <v/>
      </c>
      <c r="AO104" s="397"/>
      <c r="AP104" s="418">
        <f>COUNTIF($B11:$H11,"0")</f>
        <v>0</v>
      </c>
      <c r="AQ104" s="419">
        <f>COUNTIF($B14:$H14,"0")</f>
        <v>0</v>
      </c>
      <c r="AR104" s="419">
        <f>COUNTIF($B17:$H17,"0")</f>
        <v>0</v>
      </c>
      <c r="AS104" s="419">
        <f>COUNTIF($B20:$H20,"0")</f>
        <v>0</v>
      </c>
      <c r="AT104" s="420">
        <f>COUNTIF($B23:$H23,"0")</f>
        <v>0</v>
      </c>
      <c r="AU104" s="421">
        <f>COUNTIF($B32:$H32,"0")</f>
        <v>0</v>
      </c>
      <c r="AV104" s="422">
        <f>COUNTIF($B35:$H35,"0")</f>
        <v>0</v>
      </c>
      <c r="AW104" s="255">
        <f>COUNTIF($B38:$H38,"0")</f>
        <v>0</v>
      </c>
      <c r="AX104" s="255">
        <f>COUNTIF($B41:$H41,"0")</f>
        <v>0</v>
      </c>
      <c r="AY104" s="256">
        <f>COUNTIF($B44:$H44,"0")</f>
        <v>0</v>
      </c>
      <c r="AZ104" s="251">
        <f>COUNTIF($B53:$H53,"0")</f>
        <v>0</v>
      </c>
      <c r="BA104" s="252">
        <f>COUNTIF($B56:$H56,"0")</f>
        <v>0</v>
      </c>
      <c r="BB104" s="252">
        <f>COUNTIF($B59:$H59,"0")</f>
        <v>0</v>
      </c>
      <c r="BC104" s="252">
        <f>COUNTIF($B62:$H62,"0")</f>
        <v>0</v>
      </c>
      <c r="BD104" s="253">
        <f>COUNTIF($B65:$H65,"0")</f>
        <v>0</v>
      </c>
      <c r="BE104" s="254">
        <f>COUNTIF($B74:$H74,"0")</f>
        <v>0</v>
      </c>
      <c r="BF104" s="255">
        <f>COUNTIF($B77:$H77,"0")</f>
        <v>0</v>
      </c>
      <c r="BG104" s="255">
        <f>COUNTIF($B80:$H80,"0")</f>
        <v>0</v>
      </c>
      <c r="BH104" s="255">
        <f>COUNTIF($B83:$H83,"0")</f>
        <v>0</v>
      </c>
      <c r="BI104" s="256">
        <f>COUNTIF($B86:$H86,"0")</f>
        <v>0</v>
      </c>
    </row>
    <row r="105" spans="1:61" ht="25.5">
      <c r="A105" s="227"/>
      <c r="C105" s="205"/>
      <c r="D105" s="205"/>
      <c r="E105" s="205"/>
      <c r="F105" s="205"/>
      <c r="G105" s="205"/>
      <c r="H105" s="205"/>
      <c r="I105" s="205"/>
      <c r="J105" s="205"/>
      <c r="K105" s="205"/>
      <c r="L105" s="205"/>
      <c r="W105" s="353"/>
      <c r="X105" s="322"/>
      <c r="Y105" s="405"/>
      <c r="Z105" s="405"/>
      <c r="AA105" s="145"/>
      <c r="AB105" s="405"/>
      <c r="AC105" s="405"/>
      <c r="AD105" s="405"/>
      <c r="AE105" s="405"/>
      <c r="AF105" s="405"/>
      <c r="AG105" s="423" t="s">
        <v>180</v>
      </c>
      <c r="AH105" s="424">
        <v>1</v>
      </c>
      <c r="AI105" s="411"/>
      <c r="AJ105" s="417"/>
      <c r="AK105" s="397"/>
      <c r="AL105" s="397"/>
      <c r="AM105" s="368" t="str">
        <f>IF(D44="","",IF(D44=0,0,1))</f>
        <v/>
      </c>
      <c r="AN105" s="378" t="str">
        <f ca="1">IF(OR(AM105="",AM105=1,AND(AM105=0,AM104=0)),"",MATCH(1,AM105:AM$145,0)-1-COUNTIF(AM105:OFFSET(AM105,MATCH(1,AM105:AM$145,0)-1,0),""))</f>
        <v/>
      </c>
      <c r="AO105" s="397"/>
      <c r="AP105" s="425" t="s">
        <v>169</v>
      </c>
      <c r="AQ105" s="426"/>
      <c r="AR105" s="426"/>
      <c r="AS105" s="426"/>
      <c r="AT105" s="427"/>
      <c r="AU105" s="428"/>
      <c r="AV105" s="429"/>
      <c r="AW105" s="261"/>
      <c r="AX105" s="261"/>
      <c r="AY105" s="262"/>
      <c r="AZ105" s="257" t="s">
        <v>169</v>
      </c>
      <c r="BA105" s="258"/>
      <c r="BB105" s="258"/>
      <c r="BC105" s="258"/>
      <c r="BD105" s="259"/>
      <c r="BE105" s="260"/>
      <c r="BF105" s="261"/>
      <c r="BG105" s="261"/>
      <c r="BH105" s="261"/>
      <c r="BI105" s="262"/>
    </row>
    <row r="106" spans="1:61" s="143" customFormat="1">
      <c r="A106" s="228"/>
      <c r="P106" s="142"/>
      <c r="Q106" s="142"/>
      <c r="R106" s="142"/>
      <c r="S106" s="142"/>
      <c r="T106" s="142"/>
      <c r="U106" s="142"/>
      <c r="V106" s="142"/>
      <c r="W106" s="145"/>
      <c r="X106" s="145"/>
      <c r="Y106" s="145"/>
      <c r="Z106" s="145"/>
      <c r="AA106" s="145"/>
      <c r="AB106" s="145"/>
      <c r="AC106" s="145"/>
      <c r="AD106" s="145"/>
      <c r="AE106" s="145"/>
      <c r="AF106" s="145"/>
      <c r="AG106" s="430">
        <f>SUM($AP106:$BI106)</f>
        <v>0</v>
      </c>
      <c r="AH106" s="431">
        <f>AG106/90</f>
        <v>0</v>
      </c>
      <c r="AI106" s="432">
        <f>$AH105*$AG106*12</f>
        <v>0</v>
      </c>
      <c r="AJ106" s="433"/>
      <c r="AK106" s="242"/>
      <c r="AL106" s="242"/>
      <c r="AM106" s="368" t="str">
        <f>IF(E44="","",IF(E44=0,0,1))</f>
        <v/>
      </c>
      <c r="AN106" s="378" t="str">
        <f ca="1">IF(OR(AM106="",AM106=1,AND(AM106=0,AM105=0)),"",MATCH(1,AM106:AM$145,0)-1-COUNTIF(AM106:OFFSET(AM106,MATCH(1,AM106:AM$145,0)-1,0),""))</f>
        <v/>
      </c>
      <c r="AO106" s="242"/>
      <c r="AP106" s="434">
        <f>COUNTIF($B11:$H11,"1")</f>
        <v>0</v>
      </c>
      <c r="AQ106" s="435">
        <f>COUNTIF($B14:$H14,"1")</f>
        <v>0</v>
      </c>
      <c r="AR106" s="435">
        <f>COUNTIF($B17:$H17,"1")</f>
        <v>0</v>
      </c>
      <c r="AS106" s="435">
        <f>COUNTIF($B20:$H20,"1")</f>
        <v>0</v>
      </c>
      <c r="AT106" s="436">
        <f>COUNTIF($B23:$H23,"1")</f>
        <v>0</v>
      </c>
      <c r="AU106" s="437">
        <f>COUNTIF($B32:$H32,"1")</f>
        <v>0</v>
      </c>
      <c r="AV106" s="438">
        <f>COUNTIF($B35:$H35,"1")</f>
        <v>0</v>
      </c>
      <c r="AW106" s="304">
        <f>COUNTIF($B38:$H38,"1")</f>
        <v>0</v>
      </c>
      <c r="AX106" s="304">
        <f>COUNTIF($B41:$H41,"1")</f>
        <v>0</v>
      </c>
      <c r="AY106" s="305">
        <f>COUNTIF($B44:$H44,"1")</f>
        <v>0</v>
      </c>
      <c r="AZ106" s="300">
        <f>COUNTIF($B53:$H53,"1")</f>
        <v>0</v>
      </c>
      <c r="BA106" s="301">
        <f>COUNTIF($B56:$H56,"1")</f>
        <v>0</v>
      </c>
      <c r="BB106" s="301">
        <f>COUNTIF($B59:$H59,"1")</f>
        <v>0</v>
      </c>
      <c r="BC106" s="301">
        <f>COUNTIF($B62:$H62,"1")</f>
        <v>0</v>
      </c>
      <c r="BD106" s="302">
        <f>COUNTIF($B65:$H65,"1")</f>
        <v>0</v>
      </c>
      <c r="BE106" s="303">
        <f>COUNTIF($B74:$H74,"1")</f>
        <v>0</v>
      </c>
      <c r="BF106" s="304">
        <f>COUNTIF($B77:$H77,"1")</f>
        <v>0</v>
      </c>
      <c r="BG106" s="304">
        <f>COUNTIF($B80:$H80,"1")</f>
        <v>0</v>
      </c>
      <c r="BH106" s="304">
        <f>COUNTIF($B83:$H83,"1")</f>
        <v>0</v>
      </c>
      <c r="BI106" s="305">
        <f>COUNTIF($B86:$H86,"1")</f>
        <v>0</v>
      </c>
    </row>
    <row r="107" spans="1:61" s="143" customFormat="1" ht="25.5">
      <c r="A107" s="228"/>
      <c r="P107" s="142"/>
      <c r="Q107" s="142"/>
      <c r="R107" s="142"/>
      <c r="S107" s="142"/>
      <c r="T107" s="142"/>
      <c r="U107" s="142"/>
      <c r="V107" s="142"/>
      <c r="W107" s="145"/>
      <c r="X107" s="145"/>
      <c r="Y107" s="145"/>
      <c r="Z107" s="145"/>
      <c r="AA107" s="145"/>
      <c r="AB107" s="145"/>
      <c r="AC107" s="145"/>
      <c r="AD107" s="145"/>
      <c r="AE107" s="145"/>
      <c r="AF107" s="145"/>
      <c r="AG107" s="439" t="s">
        <v>181</v>
      </c>
      <c r="AH107" s="440">
        <v>2</v>
      </c>
      <c r="AI107" s="432"/>
      <c r="AJ107" s="433"/>
      <c r="AK107" s="242"/>
      <c r="AL107" s="242"/>
      <c r="AM107" s="368" t="str">
        <f>IF(F44="","",IF(F44=0,0,1))</f>
        <v/>
      </c>
      <c r="AN107" s="378" t="str">
        <f ca="1">IF(OR(AM107="",AM107=1,AND(AM107=0,AM106=0)),"",MATCH(1,AM107:AM$145,0)-1-COUNTIF(AM107:OFFSET(AM107,MATCH(1,AM107:AM$145,0)-1,0),""))</f>
        <v/>
      </c>
      <c r="AO107" s="242"/>
      <c r="AP107" s="434" t="s">
        <v>170</v>
      </c>
      <c r="AQ107" s="435"/>
      <c r="AR107" s="435"/>
      <c r="AS107" s="435"/>
      <c r="AT107" s="436"/>
      <c r="AU107" s="437"/>
      <c r="AV107" s="438"/>
      <c r="AW107" s="304"/>
      <c r="AX107" s="304"/>
      <c r="AY107" s="305"/>
      <c r="AZ107" s="300" t="s">
        <v>170</v>
      </c>
      <c r="BA107" s="301"/>
      <c r="BB107" s="301"/>
      <c r="BC107" s="301"/>
      <c r="BD107" s="302"/>
      <c r="BE107" s="303"/>
      <c r="BF107" s="304"/>
      <c r="BG107" s="304"/>
      <c r="BH107" s="304"/>
      <c r="BI107" s="305"/>
    </row>
    <row r="108" spans="1:61" s="143" customFormat="1">
      <c r="A108" s="228"/>
      <c r="P108" s="142"/>
      <c r="Q108" s="142"/>
      <c r="R108" s="142"/>
      <c r="S108" s="142"/>
      <c r="T108" s="142"/>
      <c r="U108" s="142"/>
      <c r="V108" s="142"/>
      <c r="W108" s="145"/>
      <c r="X108" s="145"/>
      <c r="Y108" s="145"/>
      <c r="Z108" s="145"/>
      <c r="AA108" s="145"/>
      <c r="AB108" s="145"/>
      <c r="AC108" s="145"/>
      <c r="AD108" s="145"/>
      <c r="AE108" s="145"/>
      <c r="AF108" s="145"/>
      <c r="AG108" s="430">
        <f>SUM($AP108:$BI108)</f>
        <v>0</v>
      </c>
      <c r="AH108" s="431">
        <f>AG108/90</f>
        <v>0</v>
      </c>
      <c r="AI108" s="432">
        <f t="shared" ref="AI108:AI170" si="52">$AH107*$AG108*12</f>
        <v>0</v>
      </c>
      <c r="AJ108" s="433"/>
      <c r="AK108" s="242"/>
      <c r="AL108" s="242"/>
      <c r="AM108" s="368" t="str">
        <f>IF(G44="","",IF(G44=0,0,1))</f>
        <v/>
      </c>
      <c r="AN108" s="378" t="str">
        <f ca="1">IF(OR(AM108="",AM108=1,AND(AM108=0,AM107=0)),"",MATCH(1,AM108:AM$145,0)-1-COUNTIF(AM108:OFFSET(AM108,MATCH(1,AM108:AM$145,0)-1,0),""))</f>
        <v/>
      </c>
      <c r="AO108" s="242"/>
      <c r="AP108" s="434">
        <f>COUNTIF($B11:$H11,"2")</f>
        <v>0</v>
      </c>
      <c r="AQ108" s="435">
        <f>COUNTIF($B14:$H14,"2")</f>
        <v>0</v>
      </c>
      <c r="AR108" s="435">
        <f>COUNTIF($B17:$H17,"2")</f>
        <v>0</v>
      </c>
      <c r="AS108" s="435">
        <f>COUNTIF($B20:$H20,"2")</f>
        <v>0</v>
      </c>
      <c r="AT108" s="436">
        <f>COUNTIF($B23:$H23,"2")</f>
        <v>0</v>
      </c>
      <c r="AU108" s="437">
        <f>COUNTIF($B32:$H32,"2")</f>
        <v>0</v>
      </c>
      <c r="AV108" s="438">
        <f>COUNTIF($B35:$H35,"2")</f>
        <v>0</v>
      </c>
      <c r="AW108" s="304">
        <f>COUNTIF($B38:$H38,"2")</f>
        <v>0</v>
      </c>
      <c r="AX108" s="304">
        <f>COUNTIF($B41:$H41,"2")</f>
        <v>0</v>
      </c>
      <c r="AY108" s="305">
        <f>COUNTIF($B44:$H44,"2")</f>
        <v>0</v>
      </c>
      <c r="AZ108" s="300">
        <f>COUNTIF($B53:$H53,"2")</f>
        <v>0</v>
      </c>
      <c r="BA108" s="301">
        <f>COUNTIF($B56:$H56,"2")</f>
        <v>0</v>
      </c>
      <c r="BB108" s="301">
        <f>COUNTIF($B59:$H59,"2")</f>
        <v>0</v>
      </c>
      <c r="BC108" s="301">
        <f>COUNTIF($B62:$H62,"2")</f>
        <v>0</v>
      </c>
      <c r="BD108" s="302">
        <f>COUNTIF($B65:$H65,"2")</f>
        <v>0</v>
      </c>
      <c r="BE108" s="303">
        <f>COUNTIF($B74:$H74,"2")</f>
        <v>0</v>
      </c>
      <c r="BF108" s="304">
        <f>COUNTIF($B77:$H77,"2")</f>
        <v>0</v>
      </c>
      <c r="BG108" s="304">
        <f>COUNTIF($B80:$H80,"2")</f>
        <v>0</v>
      </c>
      <c r="BH108" s="304">
        <f>COUNTIF($B83:$H83,"2")</f>
        <v>0</v>
      </c>
      <c r="BI108" s="305">
        <f>COUNTIF($B86:$H86,"2")</f>
        <v>0</v>
      </c>
    </row>
    <row r="109" spans="1:61" s="143" customFormat="1" ht="25.5">
      <c r="A109" s="228"/>
      <c r="P109" s="142"/>
      <c r="Q109" s="142"/>
      <c r="R109" s="142"/>
      <c r="S109" s="142"/>
      <c r="T109" s="142"/>
      <c r="U109" s="142"/>
      <c r="V109" s="142"/>
      <c r="W109" s="145"/>
      <c r="X109" s="145"/>
      <c r="Y109" s="145"/>
      <c r="Z109" s="145"/>
      <c r="AA109" s="145"/>
      <c r="AB109" s="145"/>
      <c r="AC109" s="145"/>
      <c r="AD109" s="145"/>
      <c r="AE109" s="145"/>
      <c r="AF109" s="145"/>
      <c r="AG109" s="439" t="s">
        <v>182</v>
      </c>
      <c r="AH109" s="440">
        <v>3</v>
      </c>
      <c r="AI109" s="432"/>
      <c r="AJ109" s="433"/>
      <c r="AK109" s="242"/>
      <c r="AL109" s="242"/>
      <c r="AM109" s="368" t="str">
        <f>IF(H44="","",IF(H44=0,0,1))</f>
        <v/>
      </c>
      <c r="AN109" s="378" t="str">
        <f ca="1">IF(OR(AM109="",AM109=1,AND(AM109=0,AM108=0)),"",MATCH(1,AM109:AM$145,0)-1-COUNTIF(AM109:OFFSET(AM109,MATCH(1,AM109:AM$145,0)-1,0),""))</f>
        <v/>
      </c>
      <c r="AO109" s="242"/>
      <c r="AP109" s="434" t="s">
        <v>171</v>
      </c>
      <c r="AQ109" s="435"/>
      <c r="AR109" s="435"/>
      <c r="AS109" s="435"/>
      <c r="AT109" s="436"/>
      <c r="AU109" s="437"/>
      <c r="AV109" s="438"/>
      <c r="AW109" s="304"/>
      <c r="AX109" s="304"/>
      <c r="AY109" s="305"/>
      <c r="AZ109" s="300" t="s">
        <v>171</v>
      </c>
      <c r="BA109" s="301"/>
      <c r="BB109" s="301"/>
      <c r="BC109" s="301"/>
      <c r="BD109" s="302"/>
      <c r="BE109" s="303"/>
      <c r="BF109" s="304"/>
      <c r="BG109" s="304"/>
      <c r="BH109" s="304"/>
      <c r="BI109" s="305"/>
    </row>
    <row r="110" spans="1:61" s="143" customFormat="1" ht="15">
      <c r="A110" s="228"/>
      <c r="P110" s="142"/>
      <c r="Q110" s="142"/>
      <c r="R110" s="142"/>
      <c r="S110" s="142"/>
      <c r="T110" s="142"/>
      <c r="U110" s="142"/>
      <c r="V110" s="142"/>
      <c r="W110" s="145"/>
      <c r="X110" s="145"/>
      <c r="Y110" s="145"/>
      <c r="Z110" s="145"/>
      <c r="AA110" s="145"/>
      <c r="AB110" s="145"/>
      <c r="AC110" s="145"/>
      <c r="AD110" s="145"/>
      <c r="AE110" s="145"/>
      <c r="AF110" s="145"/>
      <c r="AG110" s="430">
        <f>SUM($AP110:$BI110)</f>
        <v>0</v>
      </c>
      <c r="AH110" s="431">
        <f>AG110/90</f>
        <v>0</v>
      </c>
      <c r="AI110" s="432">
        <f t="shared" si="52"/>
        <v>0</v>
      </c>
      <c r="AJ110" s="433"/>
      <c r="AK110" s="242"/>
      <c r="AL110" s="441" t="str">
        <f>$B$6</f>
        <v>3/2017</v>
      </c>
      <c r="AM110" s="368" t="str">
        <f>IF(B11="","",IF(B11=0,0,1))</f>
        <v/>
      </c>
      <c r="AN110" s="378" t="str">
        <f ca="1">IF(OR(AM110="",AM110=1,AND(AM110=0,AM109=0)),"",MATCH(1,AM110:AM$145,0)-1-COUNTIF(AM110:OFFSET(AM110,MATCH(1,AM110:AM$145,0)-1,0),""))</f>
        <v/>
      </c>
      <c r="AO110" s="242"/>
      <c r="AP110" s="442">
        <f>COUNTIF($B11:$H11,"3")</f>
        <v>0</v>
      </c>
      <c r="AQ110" s="435">
        <f>COUNTIF($B14:$H14,"3")</f>
        <v>0</v>
      </c>
      <c r="AR110" s="435">
        <f>COUNTIF($B17:$H17,"3")</f>
        <v>0</v>
      </c>
      <c r="AS110" s="435">
        <f>COUNTIF($B20:$H20,"3")</f>
        <v>0</v>
      </c>
      <c r="AT110" s="436">
        <f>COUNTIF($B23:$H23,"3")</f>
        <v>0</v>
      </c>
      <c r="AU110" s="437">
        <f>COUNTIF($B32:$H32,"3")</f>
        <v>0</v>
      </c>
      <c r="AV110" s="438">
        <f>COUNTIF($B35:$H35,"3")</f>
        <v>0</v>
      </c>
      <c r="AW110" s="304">
        <f>COUNTIF($B38:$H38,"3")</f>
        <v>0</v>
      </c>
      <c r="AX110" s="304">
        <f>COUNTIF($B41:$H41,"3")</f>
        <v>0</v>
      </c>
      <c r="AY110" s="305">
        <f>COUNTIF($B44:$H44,"3")</f>
        <v>0</v>
      </c>
      <c r="AZ110" s="306">
        <f>COUNTIF($B53:$H53,"3")</f>
        <v>0</v>
      </c>
      <c r="BA110" s="301">
        <f>COUNTIF($B56:$H56,"3")</f>
        <v>0</v>
      </c>
      <c r="BB110" s="301">
        <f>COUNTIF($B59:$H59,"3")</f>
        <v>0</v>
      </c>
      <c r="BC110" s="301">
        <f>COUNTIF($B62:$H62,"3")</f>
        <v>0</v>
      </c>
      <c r="BD110" s="302">
        <f>COUNTIF($B65:$H65,"3")</f>
        <v>0</v>
      </c>
      <c r="BE110" s="303">
        <f>COUNTIF($B74:$H74,"3")</f>
        <v>0</v>
      </c>
      <c r="BF110" s="304">
        <f>COUNTIF($B77:$H77,"3")</f>
        <v>0</v>
      </c>
      <c r="BG110" s="304">
        <f>COUNTIF($B80:$H80,"3")</f>
        <v>0</v>
      </c>
      <c r="BH110" s="304">
        <f>COUNTIF($B83:$H83,"3")</f>
        <v>0</v>
      </c>
      <c r="BI110" s="305">
        <f>COUNTIF($B86:$H86,"3")</f>
        <v>0</v>
      </c>
    </row>
    <row r="111" spans="1:61" s="143" customFormat="1" ht="25.5">
      <c r="A111" s="228"/>
      <c r="P111" s="142"/>
      <c r="Q111" s="142"/>
      <c r="R111" s="142"/>
      <c r="S111" s="142"/>
      <c r="T111" s="142"/>
      <c r="U111" s="142"/>
      <c r="V111" s="142"/>
      <c r="W111" s="145"/>
      <c r="X111" s="145"/>
      <c r="Y111" s="145"/>
      <c r="Z111" s="145"/>
      <c r="AA111" s="145"/>
      <c r="AB111" s="145"/>
      <c r="AC111" s="145"/>
      <c r="AD111" s="145"/>
      <c r="AE111" s="145"/>
      <c r="AF111" s="145"/>
      <c r="AG111" s="439" t="s">
        <v>183</v>
      </c>
      <c r="AH111" s="440">
        <v>4</v>
      </c>
      <c r="AI111" s="432"/>
      <c r="AJ111" s="433"/>
      <c r="AK111" s="242"/>
      <c r="AL111" s="242"/>
      <c r="AM111" s="368" t="str">
        <f>IF(C11="","",IF(C11=0,0,1))</f>
        <v/>
      </c>
      <c r="AN111" s="378" t="str">
        <f ca="1">IF(OR(AM111="",AM111=1,AND(AM111=0,AM110=0)),"",MATCH(1,AM111:AM$145,0)-1-COUNTIF(AM111:OFFSET(AM111,MATCH(1,AM111:AM$145,0)-1,0),""))</f>
        <v/>
      </c>
      <c r="AO111" s="242"/>
      <c r="AP111" s="434" t="s">
        <v>172</v>
      </c>
      <c r="AQ111" s="435"/>
      <c r="AR111" s="435"/>
      <c r="AS111" s="435"/>
      <c r="AT111" s="436"/>
      <c r="AU111" s="437"/>
      <c r="AV111" s="438"/>
      <c r="AW111" s="304"/>
      <c r="AX111" s="304"/>
      <c r="AY111" s="305"/>
      <c r="AZ111" s="300" t="s">
        <v>172</v>
      </c>
      <c r="BA111" s="301"/>
      <c r="BB111" s="301"/>
      <c r="BC111" s="301"/>
      <c r="BD111" s="302"/>
      <c r="BE111" s="303"/>
      <c r="BF111" s="304"/>
      <c r="BG111" s="304"/>
      <c r="BH111" s="304"/>
      <c r="BI111" s="305"/>
    </row>
    <row r="112" spans="1:61" s="143" customFormat="1" ht="15">
      <c r="A112" s="228"/>
      <c r="P112" s="142"/>
      <c r="Q112" s="142"/>
      <c r="R112" s="142"/>
      <c r="S112" s="142"/>
      <c r="T112" s="142"/>
      <c r="U112" s="142"/>
      <c r="V112" s="142"/>
      <c r="W112" s="145"/>
      <c r="X112" s="145"/>
      <c r="Y112" s="145"/>
      <c r="Z112" s="145"/>
      <c r="AA112" s="145"/>
      <c r="AB112" s="145"/>
      <c r="AC112" s="145"/>
      <c r="AD112" s="145"/>
      <c r="AE112" s="145"/>
      <c r="AF112" s="145"/>
      <c r="AG112" s="430">
        <f>SUM($AP112:$BI112)</f>
        <v>0</v>
      </c>
      <c r="AH112" s="431">
        <f>AG112/90</f>
        <v>0</v>
      </c>
      <c r="AI112" s="432">
        <f t="shared" si="52"/>
        <v>0</v>
      </c>
      <c r="AJ112" s="433"/>
      <c r="AK112" s="242"/>
      <c r="AL112" s="242"/>
      <c r="AM112" s="368" t="str">
        <f>IF(D11="","",IF(D11=0,0,1))</f>
        <v/>
      </c>
      <c r="AN112" s="378" t="str">
        <f ca="1">IF(OR(AM112="",AM112=1,AND(AM112=0,AM111=0)),"",MATCH(1,AM112:AM$145,0)-1-COUNTIF(AM112:OFFSET(AM112,MATCH(1,AM112:AM$145,0)-1,0),""))</f>
        <v/>
      </c>
      <c r="AO112" s="242"/>
      <c r="AP112" s="442">
        <f>COUNTIF($B11:$H11,"4")</f>
        <v>0</v>
      </c>
      <c r="AQ112" s="435">
        <f>COUNTIF($B14:$H14,"4")</f>
        <v>0</v>
      </c>
      <c r="AR112" s="435">
        <f>COUNTIF($B17:$H17,"4")</f>
        <v>0</v>
      </c>
      <c r="AS112" s="435">
        <f>COUNTIF($B20:$H20,"4")</f>
        <v>0</v>
      </c>
      <c r="AT112" s="436">
        <f>COUNTIF($B23:$H23,"4")</f>
        <v>0</v>
      </c>
      <c r="AU112" s="437">
        <f>COUNTIF($B32:$H32,"4")</f>
        <v>0</v>
      </c>
      <c r="AV112" s="438">
        <f>COUNTIF($B35:$H35,"4")</f>
        <v>0</v>
      </c>
      <c r="AW112" s="304">
        <f>COUNTIF($B38:$H38,"4")</f>
        <v>0</v>
      </c>
      <c r="AX112" s="304">
        <f>COUNTIF($B41:$H41,"4")</f>
        <v>0</v>
      </c>
      <c r="AY112" s="305">
        <f>COUNTIF($B44:$H44,"4")</f>
        <v>0</v>
      </c>
      <c r="AZ112" s="306">
        <f>COUNTIF($B53:$H53,"4")</f>
        <v>0</v>
      </c>
      <c r="BA112" s="301">
        <f>COUNTIF($B56:$H56,"4")</f>
        <v>0</v>
      </c>
      <c r="BB112" s="301">
        <f>COUNTIF($B59:$H59,"4")</f>
        <v>0</v>
      </c>
      <c r="BC112" s="301">
        <f>COUNTIF($B62:$H62,"4")</f>
        <v>0</v>
      </c>
      <c r="BD112" s="302">
        <f>COUNTIF($B65:$H65,"4")</f>
        <v>0</v>
      </c>
      <c r="BE112" s="303">
        <f>COUNTIF($B74:$H74,"4")</f>
        <v>0</v>
      </c>
      <c r="BF112" s="304">
        <f>COUNTIF($B77:$H77,"4")</f>
        <v>0</v>
      </c>
      <c r="BG112" s="304">
        <f>COUNTIF($B80:$H80,"4")</f>
        <v>0</v>
      </c>
      <c r="BH112" s="304">
        <f>COUNTIF($B83:$H83,"4")</f>
        <v>0</v>
      </c>
      <c r="BI112" s="305">
        <f>COUNTIF($B86:$H86,"4")</f>
        <v>0</v>
      </c>
    </row>
    <row r="113" spans="1:61" s="143" customFormat="1" ht="25.5" customHeight="1">
      <c r="A113" s="228"/>
      <c r="P113" s="142"/>
      <c r="Q113" s="142"/>
      <c r="R113" s="142"/>
      <c r="S113" s="142"/>
      <c r="T113" s="142"/>
      <c r="U113" s="142"/>
      <c r="V113" s="142"/>
      <c r="W113" s="145"/>
      <c r="X113" s="145"/>
      <c r="Y113" s="145"/>
      <c r="Z113" s="145"/>
      <c r="AA113" s="145"/>
      <c r="AB113" s="145"/>
      <c r="AC113" s="145"/>
      <c r="AD113" s="145"/>
      <c r="AE113" s="145"/>
      <c r="AF113" s="145"/>
      <c r="AG113" s="439" t="s">
        <v>185</v>
      </c>
      <c r="AH113" s="440">
        <v>5</v>
      </c>
      <c r="AI113" s="432"/>
      <c r="AJ113" s="433"/>
      <c r="AK113" s="242"/>
      <c r="AL113" s="242"/>
      <c r="AM113" s="368" t="str">
        <f>IF(E11="","",IF(E11=0,0,1))</f>
        <v/>
      </c>
      <c r="AN113" s="378" t="str">
        <f ca="1">IF(OR(AM113="",AM113=1,AND(AM113=0,AM112=0)),"",MATCH(1,AM113:AM$145,0)-1-COUNTIF(AM113:OFFSET(AM113,MATCH(1,AM113:AM$145,0)-1,0),""))</f>
        <v/>
      </c>
      <c r="AO113" s="242"/>
      <c r="AP113" s="434" t="s">
        <v>173</v>
      </c>
      <c r="AQ113" s="435"/>
      <c r="AR113" s="435"/>
      <c r="AS113" s="435"/>
      <c r="AT113" s="436"/>
      <c r="AU113" s="437"/>
      <c r="AV113" s="438"/>
      <c r="AW113" s="304"/>
      <c r="AX113" s="304"/>
      <c r="AY113" s="305"/>
      <c r="AZ113" s="300" t="s">
        <v>173</v>
      </c>
      <c r="BA113" s="301"/>
      <c r="BB113" s="301"/>
      <c r="BC113" s="301"/>
      <c r="BD113" s="302"/>
      <c r="BE113" s="303"/>
      <c r="BF113" s="304"/>
      <c r="BG113" s="304"/>
      <c r="BH113" s="304"/>
      <c r="BI113" s="305"/>
    </row>
    <row r="114" spans="1:61" s="143" customFormat="1" ht="15">
      <c r="A114" s="228"/>
      <c r="P114" s="142"/>
      <c r="Q114" s="142"/>
      <c r="R114" s="142"/>
      <c r="S114" s="142"/>
      <c r="T114" s="142"/>
      <c r="U114" s="142"/>
      <c r="V114" s="142"/>
      <c r="W114" s="145"/>
      <c r="X114" s="145"/>
      <c r="Y114" s="145"/>
      <c r="Z114" s="145"/>
      <c r="AA114" s="145"/>
      <c r="AB114" s="145"/>
      <c r="AC114" s="145"/>
      <c r="AD114" s="145"/>
      <c r="AE114" s="145"/>
      <c r="AF114" s="145"/>
      <c r="AG114" s="430">
        <f>SUM($AP114:$BI114)</f>
        <v>0</v>
      </c>
      <c r="AH114" s="431">
        <f>AG114/90</f>
        <v>0</v>
      </c>
      <c r="AI114" s="432">
        <f t="shared" si="52"/>
        <v>0</v>
      </c>
      <c r="AJ114" s="433"/>
      <c r="AK114" s="242"/>
      <c r="AL114" s="242"/>
      <c r="AM114" s="368" t="str">
        <f>IF(F11="","",IF(F11=0,0,1))</f>
        <v/>
      </c>
      <c r="AN114" s="378" t="str">
        <f ca="1">IF(OR(AM114="",AM114=1,AND(AM114=0,AM113=0)),"",MATCH(1,AM114:AM$145,0)-1-COUNTIF(AM114:OFFSET(AM114,MATCH(1,AM114:AM$145,0)-1,0),""))</f>
        <v/>
      </c>
      <c r="AO114" s="242"/>
      <c r="AP114" s="442">
        <f>COUNTIF($B11:$H11,"5")</f>
        <v>0</v>
      </c>
      <c r="AQ114" s="435">
        <f>COUNTIF($B14:$H14,"5")</f>
        <v>0</v>
      </c>
      <c r="AR114" s="435">
        <f>COUNTIF($B17:$H17,"5")</f>
        <v>0</v>
      </c>
      <c r="AS114" s="435">
        <f>COUNTIF($B20:$H20,"5")</f>
        <v>0</v>
      </c>
      <c r="AT114" s="436">
        <f>COUNTIF($B23:$H23,"5")</f>
        <v>0</v>
      </c>
      <c r="AU114" s="437">
        <f>COUNTIF($B32:$H32,"5")</f>
        <v>0</v>
      </c>
      <c r="AV114" s="438">
        <f>COUNTIF($B35:$H35,"5")</f>
        <v>0</v>
      </c>
      <c r="AW114" s="304">
        <f>COUNTIF($B38:$H38,"5")</f>
        <v>0</v>
      </c>
      <c r="AX114" s="304">
        <f>COUNTIF($B41:$H41,"5")</f>
        <v>0</v>
      </c>
      <c r="AY114" s="305">
        <f>COUNTIF($B44:$H44,"5")</f>
        <v>0</v>
      </c>
      <c r="AZ114" s="306">
        <f>COUNTIF($B53:$H53,"5")</f>
        <v>0</v>
      </c>
      <c r="BA114" s="301">
        <f>COUNTIF($B56:$H56,"5")</f>
        <v>0</v>
      </c>
      <c r="BB114" s="301">
        <f>COUNTIF($B59:$H59,"5")</f>
        <v>0</v>
      </c>
      <c r="BC114" s="301">
        <f>COUNTIF($B62:$H62,"5")</f>
        <v>0</v>
      </c>
      <c r="BD114" s="302">
        <f>COUNTIF($B65:$H65,"5")</f>
        <v>0</v>
      </c>
      <c r="BE114" s="303">
        <f>COUNTIF($B74:$H74,"5")</f>
        <v>0</v>
      </c>
      <c r="BF114" s="304">
        <f>COUNTIF($B77:$H77,"5")</f>
        <v>0</v>
      </c>
      <c r="BG114" s="304">
        <f>COUNTIF($B80:$H80,"5")</f>
        <v>0</v>
      </c>
      <c r="BH114" s="304">
        <f>COUNTIF($B83:$H83,"5")</f>
        <v>0</v>
      </c>
      <c r="BI114" s="305">
        <f>COUNTIF($B86:$H86,"5")</f>
        <v>0</v>
      </c>
    </row>
    <row r="115" spans="1:61" s="143" customFormat="1" ht="25.5">
      <c r="A115" s="228"/>
      <c r="P115" s="142"/>
      <c r="Q115" s="142"/>
      <c r="R115" s="142"/>
      <c r="S115" s="142"/>
      <c r="T115" s="142"/>
      <c r="U115" s="142"/>
      <c r="V115" s="142"/>
      <c r="W115" s="145"/>
      <c r="X115" s="145"/>
      <c r="Y115" s="145"/>
      <c r="Z115" s="145"/>
      <c r="AA115" s="145"/>
      <c r="AB115" s="145"/>
      <c r="AC115" s="145"/>
      <c r="AD115" s="145"/>
      <c r="AE115" s="145"/>
      <c r="AF115" s="145"/>
      <c r="AG115" s="439" t="s">
        <v>186</v>
      </c>
      <c r="AH115" s="440">
        <v>6</v>
      </c>
      <c r="AI115" s="432"/>
      <c r="AJ115" s="433"/>
      <c r="AK115" s="242"/>
      <c r="AL115" s="242"/>
      <c r="AM115" s="368" t="str">
        <f>IF(G11="","",IF(G11=0,0,1))</f>
        <v/>
      </c>
      <c r="AN115" s="378" t="str">
        <f ca="1">IF(OR(AM115="",AM115=1,AND(AM115=0,AM114=0)),"",MATCH(1,AM115:AM$145,0)-1-COUNTIF(AM115:OFFSET(AM115,MATCH(1,AM115:AM$145,0)-1,0),""))</f>
        <v/>
      </c>
      <c r="AO115" s="242"/>
      <c r="AP115" s="434" t="s">
        <v>174</v>
      </c>
      <c r="AQ115" s="435"/>
      <c r="AR115" s="435"/>
      <c r="AS115" s="435"/>
      <c r="AT115" s="436"/>
      <c r="AU115" s="437"/>
      <c r="AV115" s="438"/>
      <c r="AW115" s="304"/>
      <c r="AX115" s="304"/>
      <c r="AY115" s="305"/>
      <c r="AZ115" s="300" t="s">
        <v>174</v>
      </c>
      <c r="BA115" s="301"/>
      <c r="BB115" s="301"/>
      <c r="BC115" s="301"/>
      <c r="BD115" s="302"/>
      <c r="BE115" s="303"/>
      <c r="BF115" s="304"/>
      <c r="BG115" s="304"/>
      <c r="BH115" s="304"/>
      <c r="BI115" s="305"/>
    </row>
    <row r="116" spans="1:61" s="143" customFormat="1" ht="15">
      <c r="A116" s="228"/>
      <c r="P116" s="142"/>
      <c r="Q116" s="142"/>
      <c r="R116" s="142"/>
      <c r="S116" s="142"/>
      <c r="T116" s="142"/>
      <c r="U116" s="142"/>
      <c r="V116" s="142"/>
      <c r="W116" s="145"/>
      <c r="X116" s="145"/>
      <c r="Y116" s="145"/>
      <c r="Z116" s="145"/>
      <c r="AA116" s="145"/>
      <c r="AB116" s="145"/>
      <c r="AC116" s="145"/>
      <c r="AD116" s="145"/>
      <c r="AE116" s="145"/>
      <c r="AF116" s="145"/>
      <c r="AG116" s="430">
        <f>SUM($AP116:$BI116)</f>
        <v>0</v>
      </c>
      <c r="AH116" s="431">
        <f>AG116/90</f>
        <v>0</v>
      </c>
      <c r="AI116" s="432">
        <f t="shared" si="52"/>
        <v>0</v>
      </c>
      <c r="AJ116" s="433"/>
      <c r="AK116" s="242"/>
      <c r="AL116" s="242"/>
      <c r="AM116" s="368" t="str">
        <f>IF(H11="","",IF(H11=0,0,1))</f>
        <v/>
      </c>
      <c r="AN116" s="378" t="str">
        <f ca="1">IF(OR(AM116="",AM116=1,AND(AM116=0,AM115=0)),"",MATCH(1,AM116:AM$145,0)-1-COUNTIF(AM116:OFFSET(AM116,MATCH(1,AM116:AM$145,0)-1,0),""))</f>
        <v/>
      </c>
      <c r="AO116" s="242"/>
      <c r="AP116" s="442">
        <f>COUNTIF($B11:$H11,"6")</f>
        <v>0</v>
      </c>
      <c r="AQ116" s="435">
        <f>COUNTIF($B14:$H14,"6")</f>
        <v>0</v>
      </c>
      <c r="AR116" s="435">
        <f>COUNTIF($B17:$H17,"6")</f>
        <v>0</v>
      </c>
      <c r="AS116" s="435">
        <f>COUNTIF($B20:$H20,"6")</f>
        <v>0</v>
      </c>
      <c r="AT116" s="436">
        <f>COUNTIF($B23:$H23,"6")</f>
        <v>0</v>
      </c>
      <c r="AU116" s="437">
        <f>COUNTIF($B32:$H32,"6")</f>
        <v>0</v>
      </c>
      <c r="AV116" s="438">
        <f>COUNTIF($B35:$H35,"6")</f>
        <v>0</v>
      </c>
      <c r="AW116" s="304">
        <f>COUNTIF($B38:$H38,"6")</f>
        <v>0</v>
      </c>
      <c r="AX116" s="304">
        <f>COUNTIF($B41:$H41,"6")</f>
        <v>0</v>
      </c>
      <c r="AY116" s="305">
        <f>COUNTIF($B44:$H44,"6")</f>
        <v>0</v>
      </c>
      <c r="AZ116" s="306">
        <f>COUNTIF($B53:$H53,"6")</f>
        <v>0</v>
      </c>
      <c r="BA116" s="301">
        <f>COUNTIF($B56:$H56,"6")</f>
        <v>0</v>
      </c>
      <c r="BB116" s="301">
        <f>COUNTIF($B59:$H59,"6")</f>
        <v>0</v>
      </c>
      <c r="BC116" s="301">
        <f>COUNTIF($B62:$H62,"6")</f>
        <v>0</v>
      </c>
      <c r="BD116" s="302">
        <f>COUNTIF($B65:$H65,"6")</f>
        <v>0</v>
      </c>
      <c r="BE116" s="303">
        <f>COUNTIF($B74:$H74,"6")</f>
        <v>0</v>
      </c>
      <c r="BF116" s="304">
        <f>COUNTIF($B77:$H77,"6")</f>
        <v>0</v>
      </c>
      <c r="BG116" s="304">
        <f>COUNTIF($B80:$H80,"6")</f>
        <v>0</v>
      </c>
      <c r="BH116" s="304">
        <f>COUNTIF($B83:$H83,"6")</f>
        <v>0</v>
      </c>
      <c r="BI116" s="305">
        <f>COUNTIF($B86:$H86,"6")</f>
        <v>0</v>
      </c>
    </row>
    <row r="117" spans="1:61" s="143" customFormat="1" ht="25.5">
      <c r="A117" s="228"/>
      <c r="P117" s="142"/>
      <c r="Q117" s="142"/>
      <c r="R117" s="142"/>
      <c r="S117" s="142"/>
      <c r="T117" s="142"/>
      <c r="U117" s="142"/>
      <c r="V117" s="142"/>
      <c r="W117" s="145"/>
      <c r="X117" s="145"/>
      <c r="Y117" s="145"/>
      <c r="Z117" s="145"/>
      <c r="AA117" s="145"/>
      <c r="AB117" s="145"/>
      <c r="AC117" s="145"/>
      <c r="AD117" s="145"/>
      <c r="AE117" s="145"/>
      <c r="AF117" s="145"/>
      <c r="AG117" s="439" t="s">
        <v>57</v>
      </c>
      <c r="AH117" s="440">
        <v>7</v>
      </c>
      <c r="AI117" s="432"/>
      <c r="AJ117" s="433"/>
      <c r="AK117" s="242"/>
      <c r="AL117" s="242"/>
      <c r="AM117" s="368" t="str">
        <f>IF(B14="","",IF(B14=0,0,1))</f>
        <v/>
      </c>
      <c r="AN117" s="378" t="str">
        <f ca="1">IF(OR(AM117="",AM117=1,AND(AM117=0,AM116=0)),"",MATCH(1,AM117:AM$145,0)-1-COUNTIF(AM117:OFFSET(AM117,MATCH(1,AM117:AM$145,0)-1,0),""))</f>
        <v/>
      </c>
      <c r="AO117" s="242"/>
      <c r="AP117" s="434" t="s">
        <v>175</v>
      </c>
      <c r="AQ117" s="435"/>
      <c r="AR117" s="435"/>
      <c r="AS117" s="435"/>
      <c r="AT117" s="436"/>
      <c r="AU117" s="437"/>
      <c r="AV117" s="438"/>
      <c r="AW117" s="304"/>
      <c r="AX117" s="304"/>
      <c r="AY117" s="305"/>
      <c r="AZ117" s="300" t="s">
        <v>175</v>
      </c>
      <c r="BA117" s="301"/>
      <c r="BB117" s="301"/>
      <c r="BC117" s="301"/>
      <c r="BD117" s="302"/>
      <c r="BE117" s="303"/>
      <c r="BF117" s="304"/>
      <c r="BG117" s="304"/>
      <c r="BH117" s="304"/>
      <c r="BI117" s="305"/>
    </row>
    <row r="118" spans="1:61" s="143" customFormat="1" ht="15">
      <c r="A118" s="228"/>
      <c r="P118" s="142"/>
      <c r="Q118" s="142"/>
      <c r="R118" s="142"/>
      <c r="S118" s="142"/>
      <c r="T118" s="142"/>
      <c r="U118" s="142"/>
      <c r="V118" s="142"/>
      <c r="W118" s="145"/>
      <c r="X118" s="145"/>
      <c r="Y118" s="145"/>
      <c r="Z118" s="145"/>
      <c r="AA118" s="145"/>
      <c r="AB118" s="145"/>
      <c r="AC118" s="145"/>
      <c r="AD118" s="145"/>
      <c r="AE118" s="145"/>
      <c r="AF118" s="145"/>
      <c r="AG118" s="430">
        <f>SUM($AP118:$BI118)</f>
        <v>0</v>
      </c>
      <c r="AH118" s="431">
        <f>AG118/90</f>
        <v>0</v>
      </c>
      <c r="AI118" s="432">
        <f t="shared" si="52"/>
        <v>0</v>
      </c>
      <c r="AJ118" s="433"/>
      <c r="AK118" s="242"/>
      <c r="AL118" s="242"/>
      <c r="AM118" s="368" t="str">
        <f>IF(C14="","",IF(C14=0,0,1))</f>
        <v/>
      </c>
      <c r="AN118" s="378" t="str">
        <f ca="1">IF(OR(AM118="",AM118=1,AND(AM118=0,AM117=0)),"",MATCH(1,AM118:AM$145,0)-1-COUNTIF(AM118:OFFSET(AM118,MATCH(1,AM118:AM$145,0)-1,0),""))</f>
        <v/>
      </c>
      <c r="AO118" s="242"/>
      <c r="AP118" s="442">
        <f>COUNTIF($B11:$H11,"7")</f>
        <v>0</v>
      </c>
      <c r="AQ118" s="435">
        <f>COUNTIF($B14:$H14,"7")</f>
        <v>0</v>
      </c>
      <c r="AR118" s="435">
        <f>COUNTIF($B17:$H17,"7")</f>
        <v>0</v>
      </c>
      <c r="AS118" s="435">
        <f>COUNTIF($B20:$H20,"7")</f>
        <v>0</v>
      </c>
      <c r="AT118" s="436">
        <f>COUNTIF($B23:$H23,"7")</f>
        <v>0</v>
      </c>
      <c r="AU118" s="437">
        <f>COUNTIF($B32:$H32,"7")</f>
        <v>0</v>
      </c>
      <c r="AV118" s="438">
        <f>COUNTIF($B35:$H35,"7")</f>
        <v>0</v>
      </c>
      <c r="AW118" s="304">
        <f>COUNTIF($B38:$H38,"7")</f>
        <v>0</v>
      </c>
      <c r="AX118" s="304">
        <f>COUNTIF($B41:$H41,"7")</f>
        <v>0</v>
      </c>
      <c r="AY118" s="305">
        <f>COUNTIF($B44:$H44,"7")</f>
        <v>0</v>
      </c>
      <c r="AZ118" s="306">
        <f>COUNTIF($B53:$H53,"7")</f>
        <v>0</v>
      </c>
      <c r="BA118" s="301">
        <f>COUNTIF($B56:$H56,"7")</f>
        <v>0</v>
      </c>
      <c r="BB118" s="301">
        <f>COUNTIF($B59:$H59,"7")</f>
        <v>0</v>
      </c>
      <c r="BC118" s="301">
        <f>COUNTIF($B62:$H62,"7")</f>
        <v>0</v>
      </c>
      <c r="BD118" s="302">
        <f>COUNTIF($B65:$H65,"7")</f>
        <v>0</v>
      </c>
      <c r="BE118" s="303">
        <f>COUNTIF($B74:$H74,"7")</f>
        <v>0</v>
      </c>
      <c r="BF118" s="304">
        <f>COUNTIF($B77:$H77,"7")</f>
        <v>0</v>
      </c>
      <c r="BG118" s="304">
        <f>COUNTIF($B80:$H80,"7")</f>
        <v>0</v>
      </c>
      <c r="BH118" s="304">
        <f>COUNTIF($B83:$H83,"7")</f>
        <v>0</v>
      </c>
      <c r="BI118" s="305">
        <f>COUNTIF($B86:$H86,"7")</f>
        <v>0</v>
      </c>
    </row>
    <row r="119" spans="1:61" s="143" customFormat="1" ht="32.25">
      <c r="A119" s="228"/>
      <c r="P119" s="142"/>
      <c r="Q119" s="142"/>
      <c r="R119" s="142"/>
      <c r="S119" s="142"/>
      <c r="T119" s="142"/>
      <c r="U119" s="142"/>
      <c r="V119" s="142"/>
      <c r="W119" s="145"/>
      <c r="X119" s="145"/>
      <c r="Y119" s="145"/>
      <c r="Z119" s="145"/>
      <c r="AA119" s="145"/>
      <c r="AB119" s="145"/>
      <c r="AC119" s="145"/>
      <c r="AD119" s="145"/>
      <c r="AE119" s="145"/>
      <c r="AF119" s="145"/>
      <c r="AG119" s="439" t="s">
        <v>58</v>
      </c>
      <c r="AH119" s="440">
        <v>8</v>
      </c>
      <c r="AI119" s="432"/>
      <c r="AJ119" s="433"/>
      <c r="AK119" s="242"/>
      <c r="AL119" s="443"/>
      <c r="AM119" s="368" t="str">
        <f>IF(D14="","",IF(D14=0,0,1))</f>
        <v/>
      </c>
      <c r="AN119" s="378" t="str">
        <f ca="1">IF(OR(AM119="",AM119=1,AND(AM119=0,AM118=0)),"",MATCH(1,AM119:AM$145,0)-1-COUNTIF(AM119:OFFSET(AM119,MATCH(1,AM119:AM$145,0)-1,0),""))</f>
        <v/>
      </c>
      <c r="AO119" s="242"/>
      <c r="AP119" s="434" t="s">
        <v>176</v>
      </c>
      <c r="AQ119" s="435"/>
      <c r="AR119" s="435"/>
      <c r="AS119" s="435"/>
      <c r="AT119" s="436"/>
      <c r="AU119" s="437"/>
      <c r="AV119" s="438"/>
      <c r="AW119" s="304"/>
      <c r="AX119" s="304"/>
      <c r="AY119" s="305"/>
      <c r="AZ119" s="300" t="s">
        <v>176</v>
      </c>
      <c r="BA119" s="301"/>
      <c r="BB119" s="301"/>
      <c r="BC119" s="301"/>
      <c r="BD119" s="302"/>
      <c r="BE119" s="303"/>
      <c r="BF119" s="304"/>
      <c r="BG119" s="304"/>
      <c r="BH119" s="304"/>
      <c r="BI119" s="305"/>
    </row>
    <row r="120" spans="1:61" s="143" customFormat="1" ht="15">
      <c r="A120" s="228"/>
      <c r="P120" s="142"/>
      <c r="Q120" s="142"/>
      <c r="R120" s="142"/>
      <c r="S120" s="142"/>
      <c r="T120" s="142"/>
      <c r="U120" s="142"/>
      <c r="V120" s="142"/>
      <c r="W120" s="145"/>
      <c r="X120" s="145"/>
      <c r="Y120" s="145"/>
      <c r="Z120" s="145"/>
      <c r="AA120" s="145"/>
      <c r="AB120" s="145"/>
      <c r="AC120" s="145"/>
      <c r="AD120" s="145"/>
      <c r="AE120" s="145"/>
      <c r="AF120" s="145"/>
      <c r="AG120" s="430">
        <f>SUM($AP120:$BI120)</f>
        <v>0</v>
      </c>
      <c r="AH120" s="431">
        <f>AG120/90</f>
        <v>0</v>
      </c>
      <c r="AI120" s="432">
        <f t="shared" si="52"/>
        <v>0</v>
      </c>
      <c r="AJ120" s="433"/>
      <c r="AK120" s="242"/>
      <c r="AL120" s="242"/>
      <c r="AM120" s="368" t="str">
        <f>IF(E14="","",IF(E14=0,0,1))</f>
        <v/>
      </c>
      <c r="AN120" s="378" t="str">
        <f ca="1">IF(OR(AM120="",AM120=1,AND(AM120=0,AM119=0)),"",MATCH(1,AM120:AM$145,0)-1-COUNTIF(AM120:OFFSET(AM120,MATCH(1,AM120:AM$145,0)-1,0),""))</f>
        <v/>
      </c>
      <c r="AO120" s="242"/>
      <c r="AP120" s="442">
        <f>COUNTIF($B11:$H11,"8")</f>
        <v>0</v>
      </c>
      <c r="AQ120" s="435">
        <f>COUNTIF($B14:$H14,"8")</f>
        <v>0</v>
      </c>
      <c r="AR120" s="435">
        <f>COUNTIF($B17:$H17,"8")</f>
        <v>0</v>
      </c>
      <c r="AS120" s="435">
        <f>COUNTIF($B20:$H20,"8")</f>
        <v>0</v>
      </c>
      <c r="AT120" s="436">
        <f>COUNTIF($B23:$H23,"8")</f>
        <v>0</v>
      </c>
      <c r="AU120" s="437">
        <f>COUNTIF($B32:$H32,"8")</f>
        <v>0</v>
      </c>
      <c r="AV120" s="438">
        <f>COUNTIF($B35:$H35,"8")</f>
        <v>0</v>
      </c>
      <c r="AW120" s="304">
        <f>COUNTIF($B38:$H38,"8")</f>
        <v>0</v>
      </c>
      <c r="AX120" s="304">
        <f>COUNTIF($B41:$H41,"8")</f>
        <v>0</v>
      </c>
      <c r="AY120" s="305">
        <f>COUNTIF($B44:$H44,"8")</f>
        <v>0</v>
      </c>
      <c r="AZ120" s="306">
        <f>COUNTIF($B53:$H53,"8")</f>
        <v>0</v>
      </c>
      <c r="BA120" s="301">
        <f>COUNTIF($B56:$H56,"8")</f>
        <v>0</v>
      </c>
      <c r="BB120" s="301">
        <f>COUNTIF($B59:$H59,"8")</f>
        <v>0</v>
      </c>
      <c r="BC120" s="301">
        <f>COUNTIF($B62:$H62,"8")</f>
        <v>0</v>
      </c>
      <c r="BD120" s="302">
        <f>COUNTIF($B65:$H65,"8")</f>
        <v>0</v>
      </c>
      <c r="BE120" s="303">
        <f>COUNTIF($B74:$H74,"8")</f>
        <v>0</v>
      </c>
      <c r="BF120" s="304">
        <f>COUNTIF($B77:$H77,"8")</f>
        <v>0</v>
      </c>
      <c r="BG120" s="304">
        <f>COUNTIF($B80:$H80,"8")</f>
        <v>0</v>
      </c>
      <c r="BH120" s="304">
        <f>COUNTIF($B83:$H83,"8")</f>
        <v>0</v>
      </c>
      <c r="BI120" s="305">
        <f>COUNTIF($B86:$H86,"8")</f>
        <v>0</v>
      </c>
    </row>
    <row r="121" spans="1:61" s="143" customFormat="1" ht="25.5">
      <c r="A121" s="228"/>
      <c r="P121" s="142"/>
      <c r="Q121" s="142"/>
      <c r="R121" s="142"/>
      <c r="S121" s="142"/>
      <c r="T121" s="142"/>
      <c r="U121" s="142"/>
      <c r="V121" s="142"/>
      <c r="W121" s="145"/>
      <c r="X121" s="145"/>
      <c r="Y121" s="145"/>
      <c r="Z121" s="145"/>
      <c r="AA121" s="145"/>
      <c r="AB121" s="145"/>
      <c r="AC121" s="145"/>
      <c r="AD121" s="145"/>
      <c r="AE121" s="145"/>
      <c r="AF121" s="145"/>
      <c r="AG121" s="439" t="s">
        <v>59</v>
      </c>
      <c r="AH121" s="440">
        <v>9</v>
      </c>
      <c r="AI121" s="432"/>
      <c r="AJ121" s="433"/>
      <c r="AK121" s="242"/>
      <c r="AL121" s="242"/>
      <c r="AM121" s="368" t="str">
        <f>IF(F14="","",IF(F14=0,0,1))</f>
        <v/>
      </c>
      <c r="AN121" s="378" t="str">
        <f ca="1">IF(OR(AM121="",AM121=1,AND(AM121=0,AM120=0)),"",MATCH(1,AM121:AM$145,0)-1-COUNTIF(AM121:OFFSET(AM121,MATCH(1,AM121:AM$145,0)-1,0),""))</f>
        <v/>
      </c>
      <c r="AO121" s="242"/>
      <c r="AP121" s="434" t="s">
        <v>177</v>
      </c>
      <c r="AQ121" s="435"/>
      <c r="AR121" s="435"/>
      <c r="AS121" s="435"/>
      <c r="AT121" s="436"/>
      <c r="AU121" s="437"/>
      <c r="AV121" s="438"/>
      <c r="AW121" s="304"/>
      <c r="AX121" s="304"/>
      <c r="AY121" s="305"/>
      <c r="AZ121" s="300" t="s">
        <v>177</v>
      </c>
      <c r="BA121" s="301"/>
      <c r="BB121" s="301"/>
      <c r="BC121" s="301"/>
      <c r="BD121" s="302"/>
      <c r="BE121" s="303"/>
      <c r="BF121" s="304"/>
      <c r="BG121" s="304"/>
      <c r="BH121" s="304"/>
      <c r="BI121" s="305"/>
    </row>
    <row r="122" spans="1:61" s="143" customFormat="1" ht="15">
      <c r="A122" s="228"/>
      <c r="P122" s="142"/>
      <c r="Q122" s="142"/>
      <c r="R122" s="142"/>
      <c r="S122" s="142"/>
      <c r="T122" s="142"/>
      <c r="U122" s="142"/>
      <c r="V122" s="142"/>
      <c r="W122" s="145"/>
      <c r="X122" s="145"/>
      <c r="Y122" s="145"/>
      <c r="Z122" s="145"/>
      <c r="AA122" s="145"/>
      <c r="AB122" s="145"/>
      <c r="AC122" s="145"/>
      <c r="AD122" s="145"/>
      <c r="AE122" s="145"/>
      <c r="AF122" s="145"/>
      <c r="AG122" s="430">
        <f>SUM($AP122:$BI122)</f>
        <v>0</v>
      </c>
      <c r="AH122" s="431">
        <f>AG122/90</f>
        <v>0</v>
      </c>
      <c r="AI122" s="432">
        <f t="shared" si="52"/>
        <v>0</v>
      </c>
      <c r="AJ122" s="433"/>
      <c r="AK122" s="242"/>
      <c r="AL122" s="242"/>
      <c r="AM122" s="368" t="str">
        <f>IF(G14="","",IF(G14=0,0,1))</f>
        <v/>
      </c>
      <c r="AN122" s="378" t="str">
        <f ca="1">IF(OR(AM122="",AM122=1,AND(AM122=0,AM121=0)),"",MATCH(1,AM122:AM$145,0)-1-COUNTIF(AM122:OFFSET(AM122,MATCH(1,AM122:AM$145,0)-1,0),""))</f>
        <v/>
      </c>
      <c r="AO122" s="242"/>
      <c r="AP122" s="442">
        <f>COUNTIF($B11:$H11,"9")</f>
        <v>0</v>
      </c>
      <c r="AQ122" s="435">
        <f>COUNTIF($B14:$H14,"9")</f>
        <v>0</v>
      </c>
      <c r="AR122" s="435">
        <f>COUNTIF($B17:$H17,"9")</f>
        <v>0</v>
      </c>
      <c r="AS122" s="435">
        <f>COUNTIF($B20:$H20,"9")</f>
        <v>0</v>
      </c>
      <c r="AT122" s="436">
        <f>COUNTIF($B23:$H23,"9")</f>
        <v>0</v>
      </c>
      <c r="AU122" s="437">
        <f>COUNTIF($B32:$H32,"9")</f>
        <v>0</v>
      </c>
      <c r="AV122" s="438">
        <f>COUNTIF($B35:$H35,"9")</f>
        <v>0</v>
      </c>
      <c r="AW122" s="304">
        <f>COUNTIF($B38:$H38,"9")</f>
        <v>0</v>
      </c>
      <c r="AX122" s="304">
        <f>COUNTIF($B41:$H41,"9")</f>
        <v>0</v>
      </c>
      <c r="AY122" s="305">
        <f>COUNTIF($B44:$H44,"9")</f>
        <v>0</v>
      </c>
      <c r="AZ122" s="306">
        <f>COUNTIF($B53:$H53,"9")</f>
        <v>0</v>
      </c>
      <c r="BA122" s="301">
        <f>COUNTIF($B56:$H56,"9")</f>
        <v>0</v>
      </c>
      <c r="BB122" s="301">
        <f>COUNTIF($B59:$H59,"9")</f>
        <v>0</v>
      </c>
      <c r="BC122" s="301">
        <f>COUNTIF($B62:$H62,"9")</f>
        <v>0</v>
      </c>
      <c r="BD122" s="302">
        <f>COUNTIF($B65:$H65,"9")</f>
        <v>0</v>
      </c>
      <c r="BE122" s="303">
        <f>COUNTIF($B74:$H74,"9")</f>
        <v>0</v>
      </c>
      <c r="BF122" s="304">
        <f>COUNTIF($B77:$H77,"9")</f>
        <v>0</v>
      </c>
      <c r="BG122" s="304">
        <f>COUNTIF($B80:$H80,"9")</f>
        <v>0</v>
      </c>
      <c r="BH122" s="304">
        <f>COUNTIF($B83:$H83,"9")</f>
        <v>0</v>
      </c>
      <c r="BI122" s="305">
        <f>COUNTIF($B86:$H86,"9")</f>
        <v>0</v>
      </c>
    </row>
    <row r="123" spans="1:61" s="143" customFormat="1" ht="25.5">
      <c r="A123" s="228"/>
      <c r="P123" s="142"/>
      <c r="Q123" s="142"/>
      <c r="R123" s="142"/>
      <c r="S123" s="142"/>
      <c r="T123" s="142"/>
      <c r="U123" s="142"/>
      <c r="V123" s="142"/>
      <c r="W123" s="145"/>
      <c r="X123" s="145"/>
      <c r="Y123" s="145"/>
      <c r="Z123" s="145"/>
      <c r="AA123" s="145"/>
      <c r="AB123" s="145"/>
      <c r="AC123" s="145"/>
      <c r="AD123" s="145"/>
      <c r="AE123" s="145"/>
      <c r="AF123" s="145"/>
      <c r="AG123" s="439" t="s">
        <v>60</v>
      </c>
      <c r="AH123" s="440">
        <v>10</v>
      </c>
      <c r="AI123" s="432"/>
      <c r="AJ123" s="433"/>
      <c r="AK123" s="242"/>
      <c r="AL123" s="242"/>
      <c r="AM123" s="368" t="str">
        <f>IF(H14="","",IF(H14=0,0,1))</f>
        <v/>
      </c>
      <c r="AN123" s="378" t="str">
        <f ca="1">IF(OR(AM123="",AM123=1,AND(AM123=0,AM122=0)),"",MATCH(1,AM123:AM$145,0)-1-COUNTIF(AM123:OFFSET(AM123,MATCH(1,AM123:AM$145,0)-1,0),""))</f>
        <v/>
      </c>
      <c r="AO123" s="242"/>
      <c r="AP123" s="434" t="s">
        <v>178</v>
      </c>
      <c r="AQ123" s="435"/>
      <c r="AR123" s="435"/>
      <c r="AS123" s="435"/>
      <c r="AT123" s="436"/>
      <c r="AU123" s="437"/>
      <c r="AV123" s="438"/>
      <c r="AW123" s="304"/>
      <c r="AX123" s="304"/>
      <c r="AY123" s="305"/>
      <c r="AZ123" s="300" t="s">
        <v>178</v>
      </c>
      <c r="BA123" s="301"/>
      <c r="BB123" s="301"/>
      <c r="BC123" s="301"/>
      <c r="BD123" s="302"/>
      <c r="BE123" s="303"/>
      <c r="BF123" s="304"/>
      <c r="BG123" s="304"/>
      <c r="BH123" s="304"/>
      <c r="BI123" s="305"/>
    </row>
    <row r="124" spans="1:61" s="143" customFormat="1" ht="15">
      <c r="A124" s="228"/>
      <c r="P124" s="142"/>
      <c r="Q124" s="142"/>
      <c r="R124" s="142"/>
      <c r="S124" s="142"/>
      <c r="T124" s="142"/>
      <c r="U124" s="142"/>
      <c r="V124" s="142"/>
      <c r="W124" s="145"/>
      <c r="X124" s="145"/>
      <c r="Y124" s="145"/>
      <c r="Z124" s="145"/>
      <c r="AA124" s="145"/>
      <c r="AB124" s="145"/>
      <c r="AC124" s="145"/>
      <c r="AD124" s="145"/>
      <c r="AE124" s="145"/>
      <c r="AF124" s="145"/>
      <c r="AG124" s="430">
        <f>SUM($AP124:$BI124)</f>
        <v>0</v>
      </c>
      <c r="AH124" s="431">
        <f>AG124/90</f>
        <v>0</v>
      </c>
      <c r="AI124" s="432">
        <f t="shared" si="52"/>
        <v>0</v>
      </c>
      <c r="AJ124" s="433"/>
      <c r="AK124" s="242"/>
      <c r="AL124" s="242"/>
      <c r="AM124" s="368" t="str">
        <f>IF(B17="","",IF(B17=0,0,1))</f>
        <v/>
      </c>
      <c r="AN124" s="378" t="str">
        <f ca="1">IF(OR(AM124="",AM124=1,AND(AM124=0,AM123=0)),"",MATCH(1,AM124:AM$145,0)-1-COUNTIF(AM124:OFFSET(AM124,MATCH(1,AM124:AM$145,0)-1,0),""))</f>
        <v/>
      </c>
      <c r="AO124" s="242"/>
      <c r="AP124" s="442">
        <f>COUNTIF($B11:$H11,"10")</f>
        <v>0</v>
      </c>
      <c r="AQ124" s="435">
        <f>COUNTIF($B14:$H14,"10")</f>
        <v>0</v>
      </c>
      <c r="AR124" s="435">
        <f>COUNTIF($B17:$H17,"10")</f>
        <v>0</v>
      </c>
      <c r="AS124" s="435">
        <f>COUNTIF($B20:$H20,"10")</f>
        <v>0</v>
      </c>
      <c r="AT124" s="436">
        <f>COUNTIF($B23:$H23,"10")</f>
        <v>0</v>
      </c>
      <c r="AU124" s="437">
        <f>COUNTIF($B32:$H32,"10")</f>
        <v>0</v>
      </c>
      <c r="AV124" s="438">
        <f>COUNTIF($B35:$H35,"10")</f>
        <v>0</v>
      </c>
      <c r="AW124" s="304">
        <f>COUNTIF($B38:$H38,"10")</f>
        <v>0</v>
      </c>
      <c r="AX124" s="304">
        <f>COUNTIF($B41:$H41,"10")</f>
        <v>0</v>
      </c>
      <c r="AY124" s="305">
        <f>COUNTIF($B44:$H44,"10")</f>
        <v>0</v>
      </c>
      <c r="AZ124" s="306">
        <f>COUNTIF($B53:$H53,"10")</f>
        <v>0</v>
      </c>
      <c r="BA124" s="301">
        <f>COUNTIF($B56:$H56,"10")</f>
        <v>0</v>
      </c>
      <c r="BB124" s="301">
        <f>COUNTIF($B59:$H59,"10")</f>
        <v>0</v>
      </c>
      <c r="BC124" s="301">
        <f>COUNTIF($B62:$H62,"10")</f>
        <v>0</v>
      </c>
      <c r="BD124" s="302">
        <f>COUNTIF($B65:$H65,"10")</f>
        <v>0</v>
      </c>
      <c r="BE124" s="303">
        <f>COUNTIF($B74:$H74,"10")</f>
        <v>0</v>
      </c>
      <c r="BF124" s="304">
        <f>COUNTIF($B77:$H77,"10")</f>
        <v>0</v>
      </c>
      <c r="BG124" s="304">
        <f>COUNTIF($B80:$H80,"10")</f>
        <v>0</v>
      </c>
      <c r="BH124" s="304">
        <f>COUNTIF($B83:$H83,"10")</f>
        <v>0</v>
      </c>
      <c r="BI124" s="305">
        <f>COUNTIF($B86:$H86,"10")</f>
        <v>0</v>
      </c>
    </row>
    <row r="125" spans="1:61" s="143" customFormat="1" ht="25.5">
      <c r="A125" s="228"/>
      <c r="P125" s="142"/>
      <c r="Q125" s="142"/>
      <c r="R125" s="142"/>
      <c r="S125" s="142"/>
      <c r="T125" s="142"/>
      <c r="U125" s="142"/>
      <c r="V125" s="142"/>
      <c r="W125" s="145"/>
      <c r="X125" s="145"/>
      <c r="Y125" s="145"/>
      <c r="Z125" s="145"/>
      <c r="AA125" s="145"/>
      <c r="AB125" s="145"/>
      <c r="AC125" s="145"/>
      <c r="AD125" s="145"/>
      <c r="AE125" s="145"/>
      <c r="AF125" s="145"/>
      <c r="AG125" s="439" t="s">
        <v>61</v>
      </c>
      <c r="AH125" s="440">
        <v>11</v>
      </c>
      <c r="AI125" s="432"/>
      <c r="AJ125" s="433"/>
      <c r="AK125" s="242"/>
      <c r="AL125" s="242"/>
      <c r="AM125" s="368" t="str">
        <f>IF(C17="","",IF(C17=0,0,1))</f>
        <v/>
      </c>
      <c r="AN125" s="378" t="str">
        <f ca="1">IF(OR(AM125="",AM125=1,AND(AM125=0,AM124=0)),"",MATCH(1,AM125:AM$145,0)-1-COUNTIF(AM125:OFFSET(AM125,MATCH(1,AM125:AM$145,0)-1,0),""))</f>
        <v/>
      </c>
      <c r="AO125" s="242"/>
      <c r="AP125" s="434" t="s">
        <v>179</v>
      </c>
      <c r="AQ125" s="435"/>
      <c r="AR125" s="435"/>
      <c r="AS125" s="435"/>
      <c r="AT125" s="436"/>
      <c r="AU125" s="437"/>
      <c r="AV125" s="438"/>
      <c r="AW125" s="304"/>
      <c r="AX125" s="304"/>
      <c r="AY125" s="305"/>
      <c r="AZ125" s="300" t="s">
        <v>179</v>
      </c>
      <c r="BA125" s="301"/>
      <c r="BB125" s="301"/>
      <c r="BC125" s="301"/>
      <c r="BD125" s="302"/>
      <c r="BE125" s="303"/>
      <c r="BF125" s="304"/>
      <c r="BG125" s="304"/>
      <c r="BH125" s="304"/>
      <c r="BI125" s="305"/>
    </row>
    <row r="126" spans="1:61" s="143" customFormat="1" ht="15">
      <c r="A126" s="228"/>
      <c r="P126" s="142"/>
      <c r="Q126" s="142"/>
      <c r="R126" s="142"/>
      <c r="S126" s="142"/>
      <c r="T126" s="142"/>
      <c r="U126" s="142"/>
      <c r="V126" s="142"/>
      <c r="W126" s="145"/>
      <c r="X126" s="145"/>
      <c r="Y126" s="145"/>
      <c r="Z126" s="145"/>
      <c r="AA126" s="145"/>
      <c r="AB126" s="145"/>
      <c r="AC126" s="145"/>
      <c r="AD126" s="145"/>
      <c r="AE126" s="145"/>
      <c r="AF126" s="145"/>
      <c r="AG126" s="430">
        <f>SUM($AP126:$BI126)</f>
        <v>0</v>
      </c>
      <c r="AH126" s="431">
        <f>AG126/90</f>
        <v>0</v>
      </c>
      <c r="AI126" s="432">
        <f t="shared" si="52"/>
        <v>0</v>
      </c>
      <c r="AJ126" s="433"/>
      <c r="AK126" s="242"/>
      <c r="AL126" s="242"/>
      <c r="AM126" s="368" t="str">
        <f>IF(D17="","",IF(D17=0,0,1))</f>
        <v/>
      </c>
      <c r="AN126" s="378" t="str">
        <f ca="1">IF(OR(AM126="",AM126=1,AND(AM126=0,AM125=0)),"",MATCH(1,AM126:AM$145,0)-1-COUNTIF(AM126:OFFSET(AM126,MATCH(1,AM126:AM$145,0)-1,0),""))</f>
        <v/>
      </c>
      <c r="AO126" s="242"/>
      <c r="AP126" s="442">
        <f>COUNTIF($B11:$H11,"11")</f>
        <v>0</v>
      </c>
      <c r="AQ126" s="435">
        <f>COUNTIF($B14:$H14,"11")</f>
        <v>0</v>
      </c>
      <c r="AR126" s="435">
        <f>COUNTIF($B17:$H17,"11")</f>
        <v>0</v>
      </c>
      <c r="AS126" s="435">
        <f>COUNTIF($B20:$H20,"11")</f>
        <v>0</v>
      </c>
      <c r="AT126" s="436">
        <f>COUNTIF($B23:$H23,"11")</f>
        <v>0</v>
      </c>
      <c r="AU126" s="437">
        <f>COUNTIF($B32:$H32,"11")</f>
        <v>0</v>
      </c>
      <c r="AV126" s="438">
        <f>COUNTIF($B35:$H35,"11")</f>
        <v>0</v>
      </c>
      <c r="AW126" s="304">
        <f>COUNTIF($B38:$H38,"11")</f>
        <v>0</v>
      </c>
      <c r="AX126" s="304">
        <f>COUNTIF($B41:$H41,"11")</f>
        <v>0</v>
      </c>
      <c r="AY126" s="305">
        <f>COUNTIF($B44:$H44,"11")</f>
        <v>0</v>
      </c>
      <c r="AZ126" s="306">
        <f>COUNTIF($B53:$H53,"53")</f>
        <v>0</v>
      </c>
      <c r="BA126" s="301">
        <f>COUNTIF($B56:$H56,"11")</f>
        <v>0</v>
      </c>
      <c r="BB126" s="301">
        <f>COUNTIF($B59:$H59,"11")</f>
        <v>0</v>
      </c>
      <c r="BC126" s="301">
        <f>COUNTIF($B62:$H62,"11")</f>
        <v>0</v>
      </c>
      <c r="BD126" s="302">
        <f>COUNTIF($B65:$H65,"11")</f>
        <v>0</v>
      </c>
      <c r="BE126" s="303">
        <f>COUNTIF($B74:$H74,"11")</f>
        <v>0</v>
      </c>
      <c r="BF126" s="304">
        <f>COUNTIF($B77:$H77,"11")</f>
        <v>0</v>
      </c>
      <c r="BG126" s="304">
        <f>COUNTIF($B80:$H80,"11")</f>
        <v>0</v>
      </c>
      <c r="BH126" s="304">
        <f>COUNTIF($B83:$H83,"11")</f>
        <v>0</v>
      </c>
      <c r="BI126" s="305">
        <f>COUNTIF($B86:$H86,"11")</f>
        <v>0</v>
      </c>
    </row>
    <row r="127" spans="1:61" s="143" customFormat="1" ht="25.5">
      <c r="A127" s="228"/>
      <c r="P127" s="142"/>
      <c r="Q127" s="142"/>
      <c r="R127" s="142"/>
      <c r="S127" s="142"/>
      <c r="T127" s="142"/>
      <c r="U127" s="142"/>
      <c r="V127" s="142"/>
      <c r="W127" s="145"/>
      <c r="X127" s="145"/>
      <c r="Y127" s="145"/>
      <c r="Z127" s="145"/>
      <c r="AA127" s="145"/>
      <c r="AB127" s="145"/>
      <c r="AC127" s="145"/>
      <c r="AD127" s="145"/>
      <c r="AE127" s="145"/>
      <c r="AF127" s="145"/>
      <c r="AG127" s="439" t="s">
        <v>62</v>
      </c>
      <c r="AH127" s="440">
        <v>12</v>
      </c>
      <c r="AI127" s="432"/>
      <c r="AJ127" s="433"/>
      <c r="AK127" s="242"/>
      <c r="AL127" s="242"/>
      <c r="AM127" s="368" t="str">
        <f>IF(E17="","",IF(E17=0,0,1))</f>
        <v/>
      </c>
      <c r="AN127" s="378" t="str">
        <f ca="1">IF(OR(AM127="",AM127=1,AND(AM127=0,AM126=0)),"",MATCH(1,AM127:AM$145,0)-1-COUNTIF(AM127:OFFSET(AM127,MATCH(1,AM127:AM$145,0)-1,0),""))</f>
        <v/>
      </c>
      <c r="AO127" s="242"/>
      <c r="AP127" s="434" t="s">
        <v>187</v>
      </c>
      <c r="AQ127" s="435"/>
      <c r="AR127" s="435"/>
      <c r="AS127" s="435"/>
      <c r="AT127" s="436"/>
      <c r="AU127" s="437"/>
      <c r="AV127" s="438"/>
      <c r="AW127" s="304"/>
      <c r="AX127" s="304"/>
      <c r="AY127" s="305"/>
      <c r="AZ127" s="300" t="s">
        <v>187</v>
      </c>
      <c r="BA127" s="301"/>
      <c r="BB127" s="301"/>
      <c r="BC127" s="301"/>
      <c r="BD127" s="302"/>
      <c r="BE127" s="303"/>
      <c r="BF127" s="304"/>
      <c r="BG127" s="304"/>
      <c r="BH127" s="304"/>
      <c r="BI127" s="305"/>
    </row>
    <row r="128" spans="1:61" s="143" customFormat="1" ht="15">
      <c r="A128" s="228"/>
      <c r="P128" s="142"/>
      <c r="Q128" s="142"/>
      <c r="R128" s="142"/>
      <c r="S128" s="142"/>
      <c r="T128" s="142"/>
      <c r="U128" s="142"/>
      <c r="V128" s="142"/>
      <c r="W128" s="145"/>
      <c r="X128" s="145"/>
      <c r="Y128" s="145"/>
      <c r="Z128" s="145"/>
      <c r="AA128" s="145"/>
      <c r="AB128" s="145"/>
      <c r="AC128" s="145"/>
      <c r="AD128" s="145"/>
      <c r="AE128" s="145"/>
      <c r="AF128" s="145"/>
      <c r="AG128" s="430">
        <f>SUM($AP128:$BI128)</f>
        <v>0</v>
      </c>
      <c r="AH128" s="431">
        <f>AG128/90</f>
        <v>0</v>
      </c>
      <c r="AI128" s="432">
        <f t="shared" si="52"/>
        <v>0</v>
      </c>
      <c r="AJ128" s="433"/>
      <c r="AK128" s="242"/>
      <c r="AL128" s="242"/>
      <c r="AM128" s="368" t="str">
        <f>IF(F17="","",IF(F17=0,0,1))</f>
        <v/>
      </c>
      <c r="AN128" s="378" t="str">
        <f ca="1">IF(OR(AM128="",AM128=1,AND(AM128=0,AM127=0)),"",MATCH(1,AM128:AM$145,0)-1-COUNTIF(AM128:OFFSET(AM128,MATCH(1,AM128:AM$145,0)-1,0),""))</f>
        <v/>
      </c>
      <c r="AO128" s="242"/>
      <c r="AP128" s="442">
        <f>COUNTIF($B11:$H11,"12")</f>
        <v>0</v>
      </c>
      <c r="AQ128" s="435">
        <f>COUNTIF($B14:$H14,"12")</f>
        <v>0</v>
      </c>
      <c r="AR128" s="435">
        <f>COUNTIF($B17:$H17,"12")</f>
        <v>0</v>
      </c>
      <c r="AS128" s="435">
        <f>COUNTIF($B20:$H20,"12")</f>
        <v>0</v>
      </c>
      <c r="AT128" s="436">
        <f>COUNTIF($B23:$H23,"12")</f>
        <v>0</v>
      </c>
      <c r="AU128" s="437">
        <f>COUNTIF($B32:$H32,"12")</f>
        <v>0</v>
      </c>
      <c r="AV128" s="438">
        <f>COUNTIF($B35:$H35,"12")</f>
        <v>0</v>
      </c>
      <c r="AW128" s="304">
        <f>COUNTIF($B38:$H38,"12")</f>
        <v>0</v>
      </c>
      <c r="AX128" s="304">
        <f>COUNTIF($B41:$H41,"12")</f>
        <v>0</v>
      </c>
      <c r="AY128" s="305">
        <f>COUNTIF($B44:$H44,"12")</f>
        <v>0</v>
      </c>
      <c r="AZ128" s="306">
        <f>COUNTIF($B53:$H53,"12")</f>
        <v>0</v>
      </c>
      <c r="BA128" s="301">
        <f>COUNTIF($B56:$H56,"12")</f>
        <v>0</v>
      </c>
      <c r="BB128" s="301">
        <f>COUNTIF($B59:$H59,"12")</f>
        <v>0</v>
      </c>
      <c r="BC128" s="301">
        <f>COUNTIF($B62:$H62,"12")</f>
        <v>0</v>
      </c>
      <c r="BD128" s="302">
        <f>COUNTIF($B65:$H65,"12")</f>
        <v>0</v>
      </c>
      <c r="BE128" s="303">
        <f>COUNTIF($B74:$H74,"12")</f>
        <v>0</v>
      </c>
      <c r="BF128" s="304">
        <f>COUNTIF($B77:$H77,"12")</f>
        <v>0</v>
      </c>
      <c r="BG128" s="304">
        <f>COUNTIF($B80:$H80,"12")</f>
        <v>0</v>
      </c>
      <c r="BH128" s="304">
        <f>COUNTIF($B83:$H83,"12")</f>
        <v>0</v>
      </c>
      <c r="BI128" s="305">
        <f>COUNTIF($B86:$H86,"12")</f>
        <v>0</v>
      </c>
    </row>
    <row r="129" spans="1:61" s="143" customFormat="1" ht="25.5">
      <c r="A129" s="228"/>
      <c r="P129" s="142"/>
      <c r="Q129" s="142"/>
      <c r="R129" s="142"/>
      <c r="S129" s="142"/>
      <c r="T129" s="142"/>
      <c r="U129" s="142"/>
      <c r="V129" s="142"/>
      <c r="W129" s="145"/>
      <c r="X129" s="145"/>
      <c r="Y129" s="145"/>
      <c r="Z129" s="145"/>
      <c r="AA129" s="145"/>
      <c r="AB129" s="145"/>
      <c r="AC129" s="145"/>
      <c r="AD129" s="145"/>
      <c r="AE129" s="145"/>
      <c r="AF129" s="145"/>
      <c r="AG129" s="439" t="s">
        <v>63</v>
      </c>
      <c r="AH129" s="440">
        <v>13</v>
      </c>
      <c r="AI129" s="432"/>
      <c r="AJ129" s="433"/>
      <c r="AK129" s="242"/>
      <c r="AL129" s="242"/>
      <c r="AM129" s="368" t="str">
        <f>IF(G17="","",IF(G17=0,0,1))</f>
        <v/>
      </c>
      <c r="AN129" s="378" t="str">
        <f ca="1">IF(OR(AM129="",AM129=1,AND(AM129=0,AM128=0)),"",MATCH(1,AM129:AM$145,0)-1-COUNTIF(AM129:OFFSET(AM129,MATCH(1,AM129:AM$145,0)-1,0),""))</f>
        <v/>
      </c>
      <c r="AO129" s="242"/>
      <c r="AP129" s="434" t="s">
        <v>188</v>
      </c>
      <c r="AQ129" s="435"/>
      <c r="AR129" s="435"/>
      <c r="AS129" s="435"/>
      <c r="AT129" s="436"/>
      <c r="AU129" s="437"/>
      <c r="AV129" s="438"/>
      <c r="AW129" s="304"/>
      <c r="AX129" s="304"/>
      <c r="AY129" s="305"/>
      <c r="AZ129" s="300" t="s">
        <v>188</v>
      </c>
      <c r="BA129" s="301"/>
      <c r="BB129" s="301"/>
      <c r="BC129" s="301"/>
      <c r="BD129" s="302"/>
      <c r="BE129" s="303"/>
      <c r="BF129" s="304"/>
      <c r="BG129" s="304"/>
      <c r="BH129" s="304"/>
      <c r="BI129" s="305"/>
    </row>
    <row r="130" spans="1:61" s="143" customFormat="1" ht="15">
      <c r="A130" s="228"/>
      <c r="P130" s="142"/>
      <c r="Q130" s="142"/>
      <c r="R130" s="142"/>
      <c r="S130" s="142"/>
      <c r="T130" s="142"/>
      <c r="U130" s="142"/>
      <c r="V130" s="142"/>
      <c r="W130" s="145"/>
      <c r="X130" s="145"/>
      <c r="Y130" s="145"/>
      <c r="Z130" s="145"/>
      <c r="AA130" s="145"/>
      <c r="AB130" s="145"/>
      <c r="AC130" s="145"/>
      <c r="AD130" s="145"/>
      <c r="AE130" s="145"/>
      <c r="AF130" s="145"/>
      <c r="AG130" s="430">
        <f>SUM($AP130:$BI130)</f>
        <v>0</v>
      </c>
      <c r="AH130" s="431">
        <f>AG130/90</f>
        <v>0</v>
      </c>
      <c r="AI130" s="432">
        <f t="shared" si="52"/>
        <v>0</v>
      </c>
      <c r="AJ130" s="433"/>
      <c r="AK130" s="242"/>
      <c r="AL130" s="242"/>
      <c r="AM130" s="368" t="str">
        <f>IF(H17="","",IF(H17=0,0,1))</f>
        <v/>
      </c>
      <c r="AN130" s="378" t="str">
        <f ca="1">IF(OR(AM130="",AM130=1,AND(AM130=0,AM129=0)),"",MATCH(1,AM130:AM$145,0)-1-COUNTIF(AM130:OFFSET(AM130,MATCH(1,AM130:AM$145,0)-1,0),""))</f>
        <v/>
      </c>
      <c r="AO130" s="242"/>
      <c r="AP130" s="442">
        <f>COUNTIF($B11:$H11,"13")</f>
        <v>0</v>
      </c>
      <c r="AQ130" s="435">
        <f>COUNTIF($B14:$H14,"13")</f>
        <v>0</v>
      </c>
      <c r="AR130" s="435">
        <f>COUNTIF($B17:$H17,"13")</f>
        <v>0</v>
      </c>
      <c r="AS130" s="435">
        <f>COUNTIF($B20:$H20,"13")</f>
        <v>0</v>
      </c>
      <c r="AT130" s="436">
        <f>COUNTIF($B23:$H23,"13")</f>
        <v>0</v>
      </c>
      <c r="AU130" s="437">
        <f>COUNTIF($B32:$H32,"13")</f>
        <v>0</v>
      </c>
      <c r="AV130" s="438">
        <f>COUNTIF($B35:$H35,"13")</f>
        <v>0</v>
      </c>
      <c r="AW130" s="304">
        <f>COUNTIF($B38:$H38,"13")</f>
        <v>0</v>
      </c>
      <c r="AX130" s="304">
        <f>COUNTIF($B41:$H41,"13")</f>
        <v>0</v>
      </c>
      <c r="AY130" s="305">
        <f>COUNTIF($B44:$H44,"13")</f>
        <v>0</v>
      </c>
      <c r="AZ130" s="306">
        <f>COUNTIF($B53:$H53,"13")</f>
        <v>0</v>
      </c>
      <c r="BA130" s="301">
        <f>COUNTIF($B56:$H56,"13")</f>
        <v>0</v>
      </c>
      <c r="BB130" s="301">
        <f>COUNTIF($B59:$H59,"13")</f>
        <v>0</v>
      </c>
      <c r="BC130" s="301">
        <f>COUNTIF($B62:$H62,"13")</f>
        <v>0</v>
      </c>
      <c r="BD130" s="302">
        <f>COUNTIF($B65:$H65,"13")</f>
        <v>0</v>
      </c>
      <c r="BE130" s="303">
        <f>COUNTIF($B74:$H74,"13")</f>
        <v>0</v>
      </c>
      <c r="BF130" s="304">
        <f>COUNTIF($B77:$H77,"13")</f>
        <v>0</v>
      </c>
      <c r="BG130" s="304">
        <f>COUNTIF($B80:$H80,"13")</f>
        <v>0</v>
      </c>
      <c r="BH130" s="304">
        <f>COUNTIF($B83:$H83,"13")</f>
        <v>0</v>
      </c>
      <c r="BI130" s="305">
        <f>COUNTIF($B86:$H86,"13")</f>
        <v>0</v>
      </c>
    </row>
    <row r="131" spans="1:61" s="143" customFormat="1" ht="25.5">
      <c r="A131" s="228"/>
      <c r="P131" s="142"/>
      <c r="Q131" s="142"/>
      <c r="R131" s="142"/>
      <c r="S131" s="142"/>
      <c r="T131" s="142"/>
      <c r="U131" s="142"/>
      <c r="V131" s="142"/>
      <c r="W131" s="145"/>
      <c r="X131" s="145"/>
      <c r="Y131" s="145"/>
      <c r="Z131" s="145"/>
      <c r="AA131" s="145"/>
      <c r="AB131" s="145"/>
      <c r="AC131" s="145"/>
      <c r="AD131" s="145"/>
      <c r="AE131" s="145"/>
      <c r="AF131" s="145"/>
      <c r="AG131" s="439" t="s">
        <v>64</v>
      </c>
      <c r="AH131" s="440">
        <v>14</v>
      </c>
      <c r="AI131" s="432"/>
      <c r="AJ131" s="433"/>
      <c r="AK131" s="242"/>
      <c r="AL131" s="242"/>
      <c r="AM131" s="368" t="str">
        <f>IF(B20="","",IF(B20=0,0,1))</f>
        <v/>
      </c>
      <c r="AN131" s="378" t="str">
        <f ca="1">IF(OR(AM131="",AM131=1,AND(AM131=0,AM130=0)),"",MATCH(1,AM131:AM$145,0)-1-COUNTIF(AM131:OFFSET(AM131,MATCH(1,AM131:AM$145,0)-1,0),""))</f>
        <v/>
      </c>
      <c r="AO131" s="242"/>
      <c r="AP131" s="434" t="s">
        <v>189</v>
      </c>
      <c r="AQ131" s="435"/>
      <c r="AR131" s="435"/>
      <c r="AS131" s="435"/>
      <c r="AT131" s="436"/>
      <c r="AU131" s="437"/>
      <c r="AV131" s="438"/>
      <c r="AW131" s="304"/>
      <c r="AX131" s="304"/>
      <c r="AY131" s="305"/>
      <c r="AZ131" s="300" t="s">
        <v>189</v>
      </c>
      <c r="BA131" s="301"/>
      <c r="BB131" s="301"/>
      <c r="BC131" s="301"/>
      <c r="BD131" s="302"/>
      <c r="BE131" s="303"/>
      <c r="BF131" s="304"/>
      <c r="BG131" s="304"/>
      <c r="BH131" s="304"/>
      <c r="BI131" s="305"/>
    </row>
    <row r="132" spans="1:61" s="143" customFormat="1" ht="15">
      <c r="A132" s="228"/>
      <c r="P132" s="142"/>
      <c r="Q132" s="142"/>
      <c r="R132" s="142"/>
      <c r="S132" s="142"/>
      <c r="T132" s="142"/>
      <c r="U132" s="142"/>
      <c r="V132" s="142"/>
      <c r="W132" s="145"/>
      <c r="X132" s="145"/>
      <c r="Y132" s="145"/>
      <c r="Z132" s="145"/>
      <c r="AA132" s="145"/>
      <c r="AB132" s="145"/>
      <c r="AC132" s="145"/>
      <c r="AD132" s="145"/>
      <c r="AE132" s="145"/>
      <c r="AF132" s="145"/>
      <c r="AG132" s="430">
        <f>SUM($AP132:$BI132)</f>
        <v>0</v>
      </c>
      <c r="AH132" s="431">
        <f>AG132/90</f>
        <v>0</v>
      </c>
      <c r="AI132" s="432">
        <f t="shared" si="52"/>
        <v>0</v>
      </c>
      <c r="AJ132" s="433"/>
      <c r="AK132" s="242"/>
      <c r="AL132" s="242"/>
      <c r="AM132" s="368" t="str">
        <f>IF(C20="","",IF(C20=0,0,1))</f>
        <v/>
      </c>
      <c r="AN132" s="378" t="str">
        <f ca="1">IF(OR(AM132="",AM132=1,AND(AM132=0,AM131=0)),"",MATCH(1,AM132:AM$145,0)-1-COUNTIF(AM132:OFFSET(AM132,MATCH(1,AM132:AM$145,0)-1,0),""))</f>
        <v/>
      </c>
      <c r="AO132" s="242"/>
      <c r="AP132" s="442">
        <f>COUNTIF($B$11:$H$11,"14")</f>
        <v>0</v>
      </c>
      <c r="AQ132" s="435">
        <f>COUNTIF($B$14:$H$14,"14")</f>
        <v>0</v>
      </c>
      <c r="AR132" s="435">
        <f>COUNTIF($B$17:$H$17,"14")</f>
        <v>0</v>
      </c>
      <c r="AS132" s="435">
        <f>COUNTIF($B$20:$H$20,"14")</f>
        <v>0</v>
      </c>
      <c r="AT132" s="436">
        <f>COUNTIF($B$23:$H$23,"14")</f>
        <v>0</v>
      </c>
      <c r="AU132" s="437">
        <f>COUNTIF($B$32:$H$32,"14")</f>
        <v>0</v>
      </c>
      <c r="AV132" s="438">
        <f>COUNTIF($B$35:$H$35,"14")</f>
        <v>0</v>
      </c>
      <c r="AW132" s="304">
        <f>COUNTIF($B$38:$H$38,"14")</f>
        <v>0</v>
      </c>
      <c r="AX132" s="304">
        <f>COUNTIF($B$41:$H$41,"14")</f>
        <v>0</v>
      </c>
      <c r="AY132" s="305">
        <f>COUNTIF($B$44:$H$44,"14")</f>
        <v>0</v>
      </c>
      <c r="AZ132" s="306">
        <f>COUNTIF($B$53:$H$53,"14")</f>
        <v>0</v>
      </c>
      <c r="BA132" s="301">
        <f>COUNTIF($B$56:$H$56,"56")</f>
        <v>0</v>
      </c>
      <c r="BB132" s="301">
        <f>COUNTIF($B$59:$H$59,"14")</f>
        <v>0</v>
      </c>
      <c r="BC132" s="301">
        <f>COUNTIF($B$62:$H$62,"14")</f>
        <v>0</v>
      </c>
      <c r="BD132" s="302">
        <f>COUNTIF($B$65:$H$65,"14")</f>
        <v>0</v>
      </c>
      <c r="BE132" s="303">
        <f>COUNTIF($B$74:$H$74,"14")</f>
        <v>0</v>
      </c>
      <c r="BF132" s="304">
        <f>COUNTIF($B$77:$H$77,"14")</f>
        <v>0</v>
      </c>
      <c r="BG132" s="304">
        <f>COUNTIF($B$80:$H$80,"14")</f>
        <v>0</v>
      </c>
      <c r="BH132" s="304">
        <f>COUNTIF($B$83:$H$83,"14")</f>
        <v>0</v>
      </c>
      <c r="BI132" s="305">
        <f>COUNTIF($B$86:$H$86,"14")</f>
        <v>0</v>
      </c>
    </row>
    <row r="133" spans="1:61" s="143" customFormat="1" ht="25.5">
      <c r="A133" s="228"/>
      <c r="P133" s="142"/>
      <c r="Q133" s="142"/>
      <c r="R133" s="142"/>
      <c r="S133" s="142"/>
      <c r="T133" s="142"/>
      <c r="U133" s="142"/>
      <c r="V133" s="142"/>
      <c r="W133" s="145"/>
      <c r="X133" s="145"/>
      <c r="Y133" s="145"/>
      <c r="Z133" s="145"/>
      <c r="AA133" s="145"/>
      <c r="AB133" s="145"/>
      <c r="AC133" s="145"/>
      <c r="AD133" s="145"/>
      <c r="AE133" s="145"/>
      <c r="AF133" s="145"/>
      <c r="AG133" s="439" t="s">
        <v>65</v>
      </c>
      <c r="AH133" s="440">
        <v>15</v>
      </c>
      <c r="AI133" s="432"/>
      <c r="AJ133" s="433"/>
      <c r="AK133" s="242"/>
      <c r="AL133" s="242"/>
      <c r="AM133" s="368" t="str">
        <f>IF(D20="","",IF(D20=0,0,1))</f>
        <v/>
      </c>
      <c r="AN133" s="378" t="str">
        <f ca="1">IF(OR(AM133="",AM133=1,AND(AM133=0,AM132=0)),"",MATCH(1,AM133:AM$145,0)-1-COUNTIF(AM133:OFFSET(AM133,MATCH(1,AM133:AM$145,0)-1,0),""))</f>
        <v/>
      </c>
      <c r="AO133" s="242"/>
      <c r="AP133" s="434" t="s">
        <v>190</v>
      </c>
      <c r="AQ133" s="435"/>
      <c r="AR133" s="435"/>
      <c r="AS133" s="435"/>
      <c r="AT133" s="436"/>
      <c r="AU133" s="437"/>
      <c r="AV133" s="438"/>
      <c r="AW133" s="304"/>
      <c r="AX133" s="304"/>
      <c r="AY133" s="305"/>
      <c r="AZ133" s="300" t="s">
        <v>190</v>
      </c>
      <c r="BA133" s="301"/>
      <c r="BB133" s="301"/>
      <c r="BC133" s="301"/>
      <c r="BD133" s="302"/>
      <c r="BE133" s="303"/>
      <c r="BF133" s="304"/>
      <c r="BG133" s="304"/>
      <c r="BH133" s="304"/>
      <c r="BI133" s="305"/>
    </row>
    <row r="134" spans="1:61" s="143" customFormat="1" ht="15">
      <c r="A134" s="228"/>
      <c r="P134" s="142"/>
      <c r="Q134" s="142"/>
      <c r="R134" s="142"/>
      <c r="S134" s="142"/>
      <c r="T134" s="142"/>
      <c r="U134" s="142"/>
      <c r="V134" s="142"/>
      <c r="W134" s="145"/>
      <c r="X134" s="145"/>
      <c r="Y134" s="145"/>
      <c r="Z134" s="145"/>
      <c r="AA134" s="145"/>
      <c r="AB134" s="145"/>
      <c r="AC134" s="145"/>
      <c r="AD134" s="145"/>
      <c r="AE134" s="145"/>
      <c r="AF134" s="145"/>
      <c r="AG134" s="430">
        <f>SUM($AP134:$BI134)</f>
        <v>0</v>
      </c>
      <c r="AH134" s="431">
        <f>AG134/90</f>
        <v>0</v>
      </c>
      <c r="AI134" s="432">
        <f t="shared" si="52"/>
        <v>0</v>
      </c>
      <c r="AJ134" s="433"/>
      <c r="AK134" s="242"/>
      <c r="AL134" s="242"/>
      <c r="AM134" s="368" t="str">
        <f>IF(E20="","",IF(E20=0,0,1))</f>
        <v/>
      </c>
      <c r="AN134" s="378" t="str">
        <f ca="1">IF(OR(AM134="",AM134=1,AND(AM134=0,AM133=0)),"",MATCH(1,AM134:AM$145,0)-1-COUNTIF(AM134:OFFSET(AM134,MATCH(1,AM134:AM$145,0)-1,0),""))</f>
        <v/>
      </c>
      <c r="AO134" s="242"/>
      <c r="AP134" s="442">
        <f>COUNTIF($B$11:$H$11,"15")</f>
        <v>0</v>
      </c>
      <c r="AQ134" s="435">
        <f>COUNTIF($B$14:$H$14,"15")</f>
        <v>0</v>
      </c>
      <c r="AR134" s="435">
        <f>COUNTIF($B$17:$H$17,"15")</f>
        <v>0</v>
      </c>
      <c r="AS134" s="435">
        <f>COUNTIF($B$20:$H$20,"15")</f>
        <v>0</v>
      </c>
      <c r="AT134" s="436">
        <f>COUNTIF($B$23:$H$23,"15")</f>
        <v>0</v>
      </c>
      <c r="AU134" s="437">
        <f>COUNTIF($B$32:$H$32,"15")</f>
        <v>0</v>
      </c>
      <c r="AV134" s="438">
        <f>COUNTIF($B$35:$H$35,"15")</f>
        <v>0</v>
      </c>
      <c r="AW134" s="304">
        <f>COUNTIF($B$38:$H$38,"15")</f>
        <v>0</v>
      </c>
      <c r="AX134" s="304">
        <f>COUNTIF($B$41:$H$41,"15")</f>
        <v>0</v>
      </c>
      <c r="AY134" s="305">
        <f>COUNTIF($B$44:$H$44,"15")</f>
        <v>0</v>
      </c>
      <c r="AZ134" s="306">
        <f>COUNTIF($B$53:$H$53,"15")</f>
        <v>0</v>
      </c>
      <c r="BA134" s="301">
        <f>COUNTIF($B$56:$H$56,"15")</f>
        <v>0</v>
      </c>
      <c r="BB134" s="301">
        <f>COUNTIF($B$59:$H$59,"15")</f>
        <v>0</v>
      </c>
      <c r="BC134" s="301">
        <f>COUNTIF($B$62:$H$62,"15")</f>
        <v>0</v>
      </c>
      <c r="BD134" s="302">
        <f>COUNTIF($B$65:$H$65,"15")</f>
        <v>0</v>
      </c>
      <c r="BE134" s="303">
        <f>COUNTIF($B$74:$H$74,"15")</f>
        <v>0</v>
      </c>
      <c r="BF134" s="304">
        <f>COUNTIF($B$77:$H$77,"15")</f>
        <v>0</v>
      </c>
      <c r="BG134" s="304">
        <f>COUNTIF($B$80:$H$80,"15")</f>
        <v>0</v>
      </c>
      <c r="BH134" s="304">
        <f>COUNTIF($B$83:$H$83,"15")</f>
        <v>0</v>
      </c>
      <c r="BI134" s="305">
        <f>COUNTIF($B$86:$H$86,"15")</f>
        <v>0</v>
      </c>
    </row>
    <row r="135" spans="1:61" s="143" customFormat="1" ht="25.5">
      <c r="A135" s="228"/>
      <c r="P135" s="142"/>
      <c r="Q135" s="142"/>
      <c r="R135" s="142"/>
      <c r="S135" s="142"/>
      <c r="T135" s="142"/>
      <c r="U135" s="142"/>
      <c r="V135" s="142"/>
      <c r="W135" s="145"/>
      <c r="X135" s="145"/>
      <c r="Y135" s="145"/>
      <c r="Z135" s="145"/>
      <c r="AA135" s="145"/>
      <c r="AB135" s="145"/>
      <c r="AC135" s="145"/>
      <c r="AD135" s="145"/>
      <c r="AE135" s="145"/>
      <c r="AF135" s="145"/>
      <c r="AG135" s="439" t="s">
        <v>66</v>
      </c>
      <c r="AH135" s="440">
        <v>16</v>
      </c>
      <c r="AI135" s="432"/>
      <c r="AJ135" s="433"/>
      <c r="AK135" s="242"/>
      <c r="AL135" s="242"/>
      <c r="AM135" s="368" t="str">
        <f>IF(F20="","",IF(F20=0,0,1))</f>
        <v/>
      </c>
      <c r="AN135" s="378" t="str">
        <f ca="1">IF(OR(AM135="",AM135=1,AND(AM135=0,AM134=0)),"",MATCH(1,AM135:AM$145,0)-1-COUNTIF(AM135:OFFSET(AM135,MATCH(1,AM135:AM$145,0)-1,0),""))</f>
        <v/>
      </c>
      <c r="AO135" s="242"/>
      <c r="AP135" s="434" t="s">
        <v>191</v>
      </c>
      <c r="AQ135" s="435"/>
      <c r="AR135" s="435"/>
      <c r="AS135" s="435"/>
      <c r="AT135" s="436"/>
      <c r="AU135" s="437"/>
      <c r="AV135" s="438"/>
      <c r="AW135" s="304"/>
      <c r="AX135" s="304"/>
      <c r="AY135" s="305"/>
      <c r="AZ135" s="300" t="s">
        <v>191</v>
      </c>
      <c r="BA135" s="301"/>
      <c r="BB135" s="301"/>
      <c r="BC135" s="301"/>
      <c r="BD135" s="302"/>
      <c r="BE135" s="303"/>
      <c r="BF135" s="304"/>
      <c r="BG135" s="304"/>
      <c r="BH135" s="304"/>
      <c r="BI135" s="305"/>
    </row>
    <row r="136" spans="1:61" s="143" customFormat="1" ht="15">
      <c r="A136" s="228"/>
      <c r="P136" s="142"/>
      <c r="Q136" s="142"/>
      <c r="R136" s="142"/>
      <c r="S136" s="142"/>
      <c r="T136" s="142"/>
      <c r="U136" s="142"/>
      <c r="V136" s="142"/>
      <c r="W136" s="145"/>
      <c r="X136" s="145"/>
      <c r="Y136" s="145"/>
      <c r="Z136" s="145"/>
      <c r="AA136" s="145"/>
      <c r="AB136" s="145"/>
      <c r="AC136" s="145"/>
      <c r="AD136" s="145"/>
      <c r="AE136" s="145"/>
      <c r="AF136" s="145"/>
      <c r="AG136" s="430">
        <f>SUM($AP136:$BI136)</f>
        <v>0</v>
      </c>
      <c r="AH136" s="431">
        <f>AG136/90</f>
        <v>0</v>
      </c>
      <c r="AI136" s="432">
        <f t="shared" si="52"/>
        <v>0</v>
      </c>
      <c r="AJ136" s="433"/>
      <c r="AK136" s="242"/>
      <c r="AL136" s="242"/>
      <c r="AM136" s="368" t="str">
        <f>IF(G20="","",IF(G20=0,0,1))</f>
        <v/>
      </c>
      <c r="AN136" s="378" t="str">
        <f ca="1">IF(OR(AM136="",AM136=1,AND(AM136=0,AM135=0)),"",MATCH(1,AM136:AM$145,0)-1-COUNTIF(AM136:OFFSET(AM136,MATCH(1,AM136:AM$145,0)-1,0),""))</f>
        <v/>
      </c>
      <c r="AO136" s="242"/>
      <c r="AP136" s="442">
        <f>COUNTIF($B$11:$H$11,"16")</f>
        <v>0</v>
      </c>
      <c r="AQ136" s="435">
        <f>COUNTIF($B$14:$H$14,"16")</f>
        <v>0</v>
      </c>
      <c r="AR136" s="435">
        <f>COUNTIF($B$17:$H$17,"16")</f>
        <v>0</v>
      </c>
      <c r="AS136" s="435">
        <f>COUNTIF($B$20:$H$20,"16")</f>
        <v>0</v>
      </c>
      <c r="AT136" s="436">
        <f>COUNTIF($B$23:$H$23,"16")</f>
        <v>0</v>
      </c>
      <c r="AU136" s="437">
        <f>COUNTIF($B$32:$H$32,"16")</f>
        <v>0</v>
      </c>
      <c r="AV136" s="438">
        <f>COUNTIF($B$35:$H$35,"16")</f>
        <v>0</v>
      </c>
      <c r="AW136" s="304">
        <f>COUNTIF($B$38:$H$38,"16")</f>
        <v>0</v>
      </c>
      <c r="AX136" s="304">
        <f>COUNTIF($B$41:$H$41,"16")</f>
        <v>0</v>
      </c>
      <c r="AY136" s="305">
        <f>COUNTIF($B$44:$H$44,"16")</f>
        <v>0</v>
      </c>
      <c r="AZ136" s="306">
        <f>COUNTIF($B$53:$H$53,"16")</f>
        <v>0</v>
      </c>
      <c r="BA136" s="301">
        <f>COUNTIF($B$56:$H$56,"16")</f>
        <v>0</v>
      </c>
      <c r="BB136" s="301">
        <f>COUNTIF($B$59:$H$59,"16")</f>
        <v>0</v>
      </c>
      <c r="BC136" s="301">
        <f>COUNTIF($B$62:$H$62,"16")</f>
        <v>0</v>
      </c>
      <c r="BD136" s="302">
        <f>COUNTIF($B$65:$H$65,"16")</f>
        <v>0</v>
      </c>
      <c r="BE136" s="303">
        <f>COUNTIF($B$74:$H$74,"16")</f>
        <v>0</v>
      </c>
      <c r="BF136" s="304">
        <f>COUNTIF($B$77:$H$77,"16")</f>
        <v>0</v>
      </c>
      <c r="BG136" s="304">
        <f>COUNTIF($B$80:$H$80,"16")</f>
        <v>0</v>
      </c>
      <c r="BH136" s="304">
        <f>COUNTIF($B$83:$H$83,"16")</f>
        <v>0</v>
      </c>
      <c r="BI136" s="305">
        <f>COUNTIF($B$86:$H$86,"16")</f>
        <v>0</v>
      </c>
    </row>
    <row r="137" spans="1:61" s="143" customFormat="1" ht="25.5">
      <c r="A137" s="228"/>
      <c r="P137" s="142"/>
      <c r="Q137" s="142"/>
      <c r="R137" s="142"/>
      <c r="S137" s="142"/>
      <c r="T137" s="142"/>
      <c r="U137" s="142"/>
      <c r="V137" s="142"/>
      <c r="W137" s="145"/>
      <c r="X137" s="145"/>
      <c r="Y137" s="145"/>
      <c r="Z137" s="145"/>
      <c r="AA137" s="145"/>
      <c r="AB137" s="145"/>
      <c r="AC137" s="145"/>
      <c r="AD137" s="145"/>
      <c r="AE137" s="145"/>
      <c r="AF137" s="145"/>
      <c r="AG137" s="439" t="s">
        <v>67</v>
      </c>
      <c r="AH137" s="440">
        <v>17</v>
      </c>
      <c r="AI137" s="432"/>
      <c r="AJ137" s="433"/>
      <c r="AK137" s="242"/>
      <c r="AL137" s="242"/>
      <c r="AM137" s="368" t="str">
        <f>IF(H20="","",IF(H20=0,0,1))</f>
        <v/>
      </c>
      <c r="AN137" s="378" t="str">
        <f ca="1">IF(OR(AM137="",AM137=1,AND(AM137=0,AM136=0)),"",MATCH(1,AM137:AM$145,0)-1-COUNTIF(AM137:OFFSET(AM137,MATCH(1,AM137:AM$145,0)-1,0),""))</f>
        <v/>
      </c>
      <c r="AO137" s="242"/>
      <c r="AP137" s="434" t="s">
        <v>192</v>
      </c>
      <c r="AQ137" s="435"/>
      <c r="AR137" s="435"/>
      <c r="AS137" s="435"/>
      <c r="AT137" s="436"/>
      <c r="AU137" s="437"/>
      <c r="AV137" s="438"/>
      <c r="AW137" s="304"/>
      <c r="AX137" s="304"/>
      <c r="AY137" s="305"/>
      <c r="AZ137" s="300" t="s">
        <v>192</v>
      </c>
      <c r="BA137" s="301"/>
      <c r="BB137" s="301"/>
      <c r="BC137" s="301"/>
      <c r="BD137" s="302"/>
      <c r="BE137" s="303"/>
      <c r="BF137" s="304"/>
      <c r="BG137" s="304"/>
      <c r="BH137" s="304"/>
      <c r="BI137" s="305"/>
    </row>
    <row r="138" spans="1:61" s="143" customFormat="1" ht="15">
      <c r="A138" s="228"/>
      <c r="P138" s="142"/>
      <c r="Q138" s="142"/>
      <c r="R138" s="142"/>
      <c r="S138" s="142"/>
      <c r="T138" s="142"/>
      <c r="U138" s="142"/>
      <c r="V138" s="142"/>
      <c r="W138" s="145"/>
      <c r="X138" s="145"/>
      <c r="Y138" s="145"/>
      <c r="Z138" s="145"/>
      <c r="AA138" s="145"/>
      <c r="AB138" s="145"/>
      <c r="AC138" s="145"/>
      <c r="AD138" s="145"/>
      <c r="AE138" s="145"/>
      <c r="AF138" s="145"/>
      <c r="AG138" s="430">
        <f>SUM($AP138:$BI138)</f>
        <v>0</v>
      </c>
      <c r="AH138" s="431">
        <f>AG138/90</f>
        <v>0</v>
      </c>
      <c r="AI138" s="432">
        <f t="shared" si="52"/>
        <v>0</v>
      </c>
      <c r="AJ138" s="433"/>
      <c r="AK138" s="242"/>
      <c r="AL138" s="242"/>
      <c r="AM138" s="368" t="str">
        <f>IF(B23="","",IF(B23=0,0,1))</f>
        <v/>
      </c>
      <c r="AN138" s="378" t="str">
        <f ca="1">IF(OR(AM138="",AM138=1,AND(AM138=0,AM137=0)),"",MATCH(1,AM138:AM$145,0)-1-COUNTIF(AM138:OFFSET(AM138,MATCH(1,AM138:AM$145,0)-1,0),""))</f>
        <v/>
      </c>
      <c r="AO138" s="242"/>
      <c r="AP138" s="442">
        <f>COUNTIF($B$11:$H$11,"17")</f>
        <v>0</v>
      </c>
      <c r="AQ138" s="435">
        <f>COUNTIF($B$14:$H$14,"17")</f>
        <v>0</v>
      </c>
      <c r="AR138" s="435">
        <f>COUNTIF($B$17:$H$17,"17")</f>
        <v>0</v>
      </c>
      <c r="AS138" s="435">
        <f>COUNTIF($B$20:$H$20,"17")</f>
        <v>0</v>
      </c>
      <c r="AT138" s="436">
        <f>COUNTIF($B$23:$H$23,"17")</f>
        <v>0</v>
      </c>
      <c r="AU138" s="437">
        <f>COUNTIF($B$32:$H$32,"17")</f>
        <v>0</v>
      </c>
      <c r="AV138" s="438">
        <f>COUNTIF($B$35:$H$35,"17")</f>
        <v>0</v>
      </c>
      <c r="AW138" s="304">
        <f>COUNTIF($B$38:$H$38,"17")</f>
        <v>0</v>
      </c>
      <c r="AX138" s="304">
        <f>COUNTIF($B$41:$H$41,"17")</f>
        <v>0</v>
      </c>
      <c r="AY138" s="305">
        <f>COUNTIF($B$44:$H$44,"17")</f>
        <v>0</v>
      </c>
      <c r="AZ138" s="306">
        <f>COUNTIF($B$53:$H$53,"17")</f>
        <v>0</v>
      </c>
      <c r="BA138" s="301">
        <f>COUNTIF($B$56:$H$56,"17")</f>
        <v>0</v>
      </c>
      <c r="BB138" s="301">
        <f>COUNTIF($B$59:$H$59,"59")</f>
        <v>0</v>
      </c>
      <c r="BC138" s="301">
        <f>COUNTIF($B$62:$H$62,"17")</f>
        <v>0</v>
      </c>
      <c r="BD138" s="302">
        <f>COUNTIF($B$65:$H$65,"17")</f>
        <v>0</v>
      </c>
      <c r="BE138" s="303">
        <f>COUNTIF($B$74:$H$74,"17")</f>
        <v>0</v>
      </c>
      <c r="BF138" s="304">
        <f>COUNTIF($B$77:$H$77,"17")</f>
        <v>0</v>
      </c>
      <c r="BG138" s="304">
        <f>COUNTIF($B$80:$H$80,"17")</f>
        <v>0</v>
      </c>
      <c r="BH138" s="304">
        <f>COUNTIF($B$83:$H$83,"17")</f>
        <v>0</v>
      </c>
      <c r="BI138" s="305">
        <f>COUNTIF($B$86:$H$86,"17")</f>
        <v>0</v>
      </c>
    </row>
    <row r="139" spans="1:61" s="143" customFormat="1" ht="25.5">
      <c r="A139" s="228"/>
      <c r="P139" s="142"/>
      <c r="Q139" s="142"/>
      <c r="R139" s="142"/>
      <c r="S139" s="142"/>
      <c r="T139" s="142"/>
      <c r="U139" s="142"/>
      <c r="V139" s="142"/>
      <c r="W139" s="145"/>
      <c r="X139" s="145"/>
      <c r="Y139" s="145"/>
      <c r="Z139" s="145"/>
      <c r="AA139" s="145"/>
      <c r="AB139" s="145"/>
      <c r="AC139" s="145"/>
      <c r="AD139" s="145"/>
      <c r="AE139" s="145"/>
      <c r="AF139" s="145"/>
      <c r="AG139" s="439" t="s">
        <v>68</v>
      </c>
      <c r="AH139" s="440">
        <v>18</v>
      </c>
      <c r="AI139" s="432"/>
      <c r="AJ139" s="433"/>
      <c r="AK139" s="242"/>
      <c r="AL139" s="242"/>
      <c r="AM139" s="368" t="str">
        <f>IF(C23="","",IF(C23=0,0,1))</f>
        <v/>
      </c>
      <c r="AN139" s="378" t="str">
        <f ca="1">IF(OR(AM139="",AM139=1,AND(AM139=0,AM138=0)),"",MATCH(1,AM139:AM$145,0)-1-COUNTIF(AM139:OFFSET(AM139,MATCH(1,AM139:AM$145,0)-1,0),""))</f>
        <v/>
      </c>
      <c r="AO139" s="242"/>
      <c r="AP139" s="434" t="s">
        <v>193</v>
      </c>
      <c r="AQ139" s="435"/>
      <c r="AR139" s="435"/>
      <c r="AS139" s="435"/>
      <c r="AT139" s="436"/>
      <c r="AU139" s="437"/>
      <c r="AV139" s="438"/>
      <c r="AW139" s="304"/>
      <c r="AX139" s="304"/>
      <c r="AY139" s="305"/>
      <c r="AZ139" s="300" t="s">
        <v>193</v>
      </c>
      <c r="BA139" s="301"/>
      <c r="BB139" s="301"/>
      <c r="BC139" s="301"/>
      <c r="BD139" s="302"/>
      <c r="BE139" s="303"/>
      <c r="BF139" s="304"/>
      <c r="BG139" s="304"/>
      <c r="BH139" s="304"/>
      <c r="BI139" s="305"/>
    </row>
    <row r="140" spans="1:61" s="143" customFormat="1" ht="15">
      <c r="A140" s="228"/>
      <c r="P140" s="142"/>
      <c r="Q140" s="142"/>
      <c r="R140" s="142"/>
      <c r="S140" s="142"/>
      <c r="T140" s="142"/>
      <c r="U140" s="142"/>
      <c r="V140" s="142"/>
      <c r="W140" s="145"/>
      <c r="X140" s="145"/>
      <c r="Y140" s="145"/>
      <c r="Z140" s="145"/>
      <c r="AA140" s="145"/>
      <c r="AB140" s="145"/>
      <c r="AC140" s="145"/>
      <c r="AD140" s="145"/>
      <c r="AE140" s="145"/>
      <c r="AF140" s="145"/>
      <c r="AG140" s="430">
        <f>SUM($AP140:$BI140)</f>
        <v>0</v>
      </c>
      <c r="AH140" s="431">
        <f>AG140/90</f>
        <v>0</v>
      </c>
      <c r="AI140" s="432">
        <f t="shared" si="52"/>
        <v>0</v>
      </c>
      <c r="AJ140" s="433"/>
      <c r="AK140" s="242"/>
      <c r="AL140" s="242"/>
      <c r="AM140" s="368" t="str">
        <f>IF(D23="","",IF(D23=0,0,1))</f>
        <v/>
      </c>
      <c r="AN140" s="378" t="str">
        <f ca="1">IF(OR(AM140="",AM140=1,AND(AM140=0,AM139=0)),"",MATCH(1,AM140:AM$145,0)-1-COUNTIF(AM140:OFFSET(AM140,MATCH(1,AM140:AM$145,0)-1,0),""))</f>
        <v/>
      </c>
      <c r="AO140" s="242"/>
      <c r="AP140" s="442">
        <f>COUNTIF($B$11:$H$11,"18")</f>
        <v>0</v>
      </c>
      <c r="AQ140" s="435">
        <f>COUNTIF($B$14:$H$14,"18")</f>
        <v>0</v>
      </c>
      <c r="AR140" s="435">
        <f>COUNTIF($B$17:$H$17,"18")</f>
        <v>0</v>
      </c>
      <c r="AS140" s="435">
        <f>COUNTIF($B$20:$H$20,"18")</f>
        <v>0</v>
      </c>
      <c r="AT140" s="436">
        <f>COUNTIF($B$23:$H$23,"18")</f>
        <v>0</v>
      </c>
      <c r="AU140" s="437">
        <f>COUNTIF($B$32:$H$32,"18")</f>
        <v>0</v>
      </c>
      <c r="AV140" s="438">
        <f>COUNTIF($B$35:$H$35,"18")</f>
        <v>0</v>
      </c>
      <c r="AW140" s="304">
        <f>COUNTIF($B$38:$H$38,"18")</f>
        <v>0</v>
      </c>
      <c r="AX140" s="304">
        <f>COUNTIF($B$41:$H$41,"18")</f>
        <v>0</v>
      </c>
      <c r="AY140" s="305">
        <f>COUNTIF($B$44:$H$44,"18")</f>
        <v>0</v>
      </c>
      <c r="AZ140" s="306">
        <f>COUNTIF($B$53:$H$53,"18")</f>
        <v>0</v>
      </c>
      <c r="BA140" s="301">
        <f>COUNTIF($B$56:$H$56,"18")</f>
        <v>0</v>
      </c>
      <c r="BB140" s="301">
        <f>COUNTIF($B$59:$H$59,"18")</f>
        <v>0</v>
      </c>
      <c r="BC140" s="301">
        <f>COUNTIF($B$62:$H$62,"18")</f>
        <v>0</v>
      </c>
      <c r="BD140" s="302">
        <f>COUNTIF($B$65:$H$65,"18")</f>
        <v>0</v>
      </c>
      <c r="BE140" s="303">
        <f>COUNTIF($B$74:$H$74,"18")</f>
        <v>0</v>
      </c>
      <c r="BF140" s="304">
        <f>COUNTIF($B$77:$H$77,"18")</f>
        <v>0</v>
      </c>
      <c r="BG140" s="304">
        <f>COUNTIF($B$80:$H$80,"18")</f>
        <v>0</v>
      </c>
      <c r="BH140" s="304">
        <f>COUNTIF($B$83:$H$83,"18")</f>
        <v>0</v>
      </c>
      <c r="BI140" s="305">
        <f>COUNTIF($B$86:$H$86,"18")</f>
        <v>0</v>
      </c>
    </row>
    <row r="141" spans="1:61" s="143" customFormat="1" ht="25.5">
      <c r="A141" s="228"/>
      <c r="P141" s="142"/>
      <c r="Q141" s="142"/>
      <c r="R141" s="142"/>
      <c r="S141" s="142"/>
      <c r="T141" s="142"/>
      <c r="U141" s="142"/>
      <c r="V141" s="142"/>
      <c r="W141" s="145"/>
      <c r="X141" s="145"/>
      <c r="Y141" s="145"/>
      <c r="Z141" s="145"/>
      <c r="AA141" s="145"/>
      <c r="AB141" s="145"/>
      <c r="AC141" s="145"/>
      <c r="AD141" s="145"/>
      <c r="AE141" s="145"/>
      <c r="AF141" s="145"/>
      <c r="AG141" s="439" t="s">
        <v>69</v>
      </c>
      <c r="AH141" s="440">
        <v>19</v>
      </c>
      <c r="AI141" s="432"/>
      <c r="AJ141" s="433"/>
      <c r="AK141" s="242"/>
      <c r="AL141" s="242"/>
      <c r="AM141" s="368" t="str">
        <f>IF(E23="","",IF(E23=0,0,1))</f>
        <v/>
      </c>
      <c r="AN141" s="378" t="str">
        <f ca="1">IF(OR(AM141="",AM141=1,AND(AM141=0,AM140=0)),"",MATCH(1,AM141:AM$145,0)-1-COUNTIF(AM141:OFFSET(AM141,MATCH(1,AM141:AM$145,0)-1,0),""))</f>
        <v/>
      </c>
      <c r="AO141" s="242"/>
      <c r="AP141" s="434" t="s">
        <v>194</v>
      </c>
      <c r="AQ141" s="435"/>
      <c r="AR141" s="435"/>
      <c r="AS141" s="435"/>
      <c r="AT141" s="436"/>
      <c r="AU141" s="437"/>
      <c r="AV141" s="438"/>
      <c r="AW141" s="304"/>
      <c r="AX141" s="304"/>
      <c r="AY141" s="305"/>
      <c r="AZ141" s="300" t="s">
        <v>194</v>
      </c>
      <c r="BA141" s="301"/>
      <c r="BB141" s="301"/>
      <c r="BC141" s="301"/>
      <c r="BD141" s="302"/>
      <c r="BE141" s="303"/>
      <c r="BF141" s="304"/>
      <c r="BG141" s="304"/>
      <c r="BH141" s="304"/>
      <c r="BI141" s="305"/>
    </row>
    <row r="142" spans="1:61" s="143" customFormat="1" ht="15">
      <c r="A142" s="228"/>
      <c r="P142" s="142"/>
      <c r="Q142" s="142"/>
      <c r="R142" s="142"/>
      <c r="S142" s="142"/>
      <c r="T142" s="142"/>
      <c r="U142" s="142"/>
      <c r="V142" s="142"/>
      <c r="W142" s="145"/>
      <c r="X142" s="145"/>
      <c r="Y142" s="145"/>
      <c r="Z142" s="145"/>
      <c r="AA142" s="145"/>
      <c r="AB142" s="145"/>
      <c r="AC142" s="145"/>
      <c r="AD142" s="145"/>
      <c r="AE142" s="145"/>
      <c r="AF142" s="145"/>
      <c r="AG142" s="430">
        <f>SUM($AP142:$BI142)</f>
        <v>0</v>
      </c>
      <c r="AH142" s="431">
        <f>AG142/90</f>
        <v>0</v>
      </c>
      <c r="AI142" s="432">
        <f t="shared" si="52"/>
        <v>0</v>
      </c>
      <c r="AJ142" s="433"/>
      <c r="AK142" s="242"/>
      <c r="AL142" s="242"/>
      <c r="AM142" s="368" t="str">
        <f>IF(F23="","",IF(F23=0,0,1))</f>
        <v/>
      </c>
      <c r="AN142" s="378" t="str">
        <f ca="1">IF(OR(AM142="",AM142=1,AND(AM142=0,AM141=0)),"",MATCH(1,AM142:AM$145,0)-1-COUNTIF(AM142:OFFSET(AM142,MATCH(1,AM142:AM$145,0)-1,0),""))</f>
        <v/>
      </c>
      <c r="AO142" s="242"/>
      <c r="AP142" s="442">
        <f>COUNTIF($B$11:$H$11,"19")</f>
        <v>0</v>
      </c>
      <c r="AQ142" s="435">
        <f>COUNTIF($B$14:$H$14,"19")</f>
        <v>0</v>
      </c>
      <c r="AR142" s="435">
        <f>COUNTIF($B$17:$H$17,"19")</f>
        <v>0</v>
      </c>
      <c r="AS142" s="435">
        <f>COUNTIF($B$20:$H$20,"19")</f>
        <v>0</v>
      </c>
      <c r="AT142" s="436">
        <f>COUNTIF($B$23:$H$23,"19")</f>
        <v>0</v>
      </c>
      <c r="AU142" s="437">
        <f>COUNTIF($B$32:$H$32,"19")</f>
        <v>0</v>
      </c>
      <c r="AV142" s="438">
        <f>COUNTIF($B$35:$H$35,"19")</f>
        <v>0</v>
      </c>
      <c r="AW142" s="304">
        <f>COUNTIF($B$38:$H$38,"19")</f>
        <v>0</v>
      </c>
      <c r="AX142" s="304">
        <f>COUNTIF($B$41:$H$41,"19")</f>
        <v>0</v>
      </c>
      <c r="AY142" s="305">
        <f>COUNTIF($B$44:$H$44,"19")</f>
        <v>0</v>
      </c>
      <c r="AZ142" s="306">
        <f>COUNTIF($B$53:$H$53,"19")</f>
        <v>0</v>
      </c>
      <c r="BA142" s="301">
        <f>COUNTIF($B$56:$H$56,"19")</f>
        <v>0</v>
      </c>
      <c r="BB142" s="301">
        <f>COUNTIF($B$59:$H$59,"19")</f>
        <v>0</v>
      </c>
      <c r="BC142" s="301">
        <f>COUNTIF($B$62:$H$62,"19")</f>
        <v>0</v>
      </c>
      <c r="BD142" s="302">
        <f>COUNTIF($B$65:$H$65,"19")</f>
        <v>0</v>
      </c>
      <c r="BE142" s="303">
        <f>COUNTIF($B$74:$H$74,"19")</f>
        <v>0</v>
      </c>
      <c r="BF142" s="304">
        <f>COUNTIF($B$77:$H$77,"19")</f>
        <v>0</v>
      </c>
      <c r="BG142" s="304">
        <f>COUNTIF($B$80:$H$80,"19")</f>
        <v>0</v>
      </c>
      <c r="BH142" s="304">
        <f>COUNTIF($B$83:$H$83,"19")</f>
        <v>0</v>
      </c>
      <c r="BI142" s="305">
        <f>COUNTIF($B$86:$H$86,"19")</f>
        <v>0</v>
      </c>
    </row>
    <row r="143" spans="1:61" s="143" customFormat="1" ht="25.5">
      <c r="A143" s="228"/>
      <c r="P143" s="142"/>
      <c r="Q143" s="142"/>
      <c r="R143" s="142"/>
      <c r="S143" s="142"/>
      <c r="T143" s="142"/>
      <c r="U143" s="142"/>
      <c r="V143" s="142"/>
      <c r="W143" s="145"/>
      <c r="X143" s="145"/>
      <c r="Y143" s="145"/>
      <c r="Z143" s="145"/>
      <c r="AA143" s="145"/>
      <c r="AB143" s="145"/>
      <c r="AC143" s="145"/>
      <c r="AD143" s="145"/>
      <c r="AE143" s="145"/>
      <c r="AF143" s="145"/>
      <c r="AG143" s="439" t="s">
        <v>70</v>
      </c>
      <c r="AH143" s="440">
        <v>20</v>
      </c>
      <c r="AI143" s="432"/>
      <c r="AJ143" s="433"/>
      <c r="AK143" s="242"/>
      <c r="AL143" s="242"/>
      <c r="AM143" s="368" t="str">
        <f>IF(G23="","",IF(G23=0,0,1))</f>
        <v/>
      </c>
      <c r="AN143" s="378" t="str">
        <f ca="1">IF(OR(AM143="",AM143=1,AND(AM143=0,AM142=0)),"",MATCH(1,AM143:AM$145,0)-1-COUNTIF(AM143:OFFSET(AM143,MATCH(1,AM143:AM$145,0)-1,0),""))</f>
        <v/>
      </c>
      <c r="AO143" s="242"/>
      <c r="AP143" s="434" t="s">
        <v>195</v>
      </c>
      <c r="AQ143" s="435"/>
      <c r="AR143" s="435"/>
      <c r="AS143" s="435"/>
      <c r="AT143" s="436"/>
      <c r="AU143" s="437"/>
      <c r="AV143" s="438"/>
      <c r="AW143" s="304"/>
      <c r="AX143" s="304"/>
      <c r="AY143" s="305"/>
      <c r="AZ143" s="300" t="s">
        <v>195</v>
      </c>
      <c r="BA143" s="301"/>
      <c r="BB143" s="301"/>
      <c r="BC143" s="301"/>
      <c r="BD143" s="302"/>
      <c r="BE143" s="303"/>
      <c r="BF143" s="304"/>
      <c r="BG143" s="304"/>
      <c r="BH143" s="304"/>
      <c r="BI143" s="305"/>
    </row>
    <row r="144" spans="1:61" s="143" customFormat="1" ht="15">
      <c r="A144" s="228"/>
      <c r="P144" s="142"/>
      <c r="Q144" s="142"/>
      <c r="R144" s="142"/>
      <c r="S144" s="142"/>
      <c r="T144" s="142"/>
      <c r="U144" s="142"/>
      <c r="V144" s="142"/>
      <c r="W144" s="145"/>
      <c r="X144" s="145"/>
      <c r="Y144" s="145"/>
      <c r="Z144" s="145"/>
      <c r="AA144" s="145"/>
      <c r="AB144" s="145"/>
      <c r="AC144" s="145"/>
      <c r="AD144" s="145"/>
      <c r="AE144" s="145"/>
      <c r="AF144" s="145"/>
      <c r="AG144" s="430">
        <f>SUM($AP144:$BI144)</f>
        <v>0</v>
      </c>
      <c r="AH144" s="431">
        <f>AG144/90</f>
        <v>0</v>
      </c>
      <c r="AI144" s="432">
        <f t="shared" si="52"/>
        <v>0</v>
      </c>
      <c r="AJ144" s="433"/>
      <c r="AK144" s="242"/>
      <c r="AL144" s="242"/>
      <c r="AM144" s="368" t="str">
        <f>IF(H23="","",IF(H23=0,0,1))</f>
        <v/>
      </c>
      <c r="AN144" s="378" t="str">
        <f ca="1">IF(OR(AM144="",AM144=1,AND(AM144=0,AM143=0)),"",MATCH(1,AM144:AM$145,0)-1-COUNTIF(AM144:OFFSET(AM144,MATCH(1,AM144:AM$145,0)-1,0),""))</f>
        <v/>
      </c>
      <c r="AO144" s="242"/>
      <c r="AP144" s="442">
        <f>COUNTIF($B$11:$H$11,"20")</f>
        <v>0</v>
      </c>
      <c r="AQ144" s="435">
        <f>COUNTIF($B$14:$H$14,"20")</f>
        <v>0</v>
      </c>
      <c r="AR144" s="435">
        <f>COUNTIF($B$17:$H$17,"20")</f>
        <v>0</v>
      </c>
      <c r="AS144" s="435">
        <f>COUNTIF($B$20:$H$20,"20")</f>
        <v>0</v>
      </c>
      <c r="AT144" s="436">
        <f>COUNTIF($B$23:$H$23,"20")</f>
        <v>0</v>
      </c>
      <c r="AU144" s="437">
        <f>COUNTIF($B$32:$H$32,"20")</f>
        <v>0</v>
      </c>
      <c r="AV144" s="438">
        <f>COUNTIF($B$35:$H$35,"20")</f>
        <v>0</v>
      </c>
      <c r="AW144" s="304">
        <f>COUNTIF($B$38:$H$38,"20")</f>
        <v>0</v>
      </c>
      <c r="AX144" s="304">
        <f>COUNTIF($B$41:$H$41,"20")</f>
        <v>0</v>
      </c>
      <c r="AY144" s="305">
        <f>COUNTIF($B$44:$H$44,"20")</f>
        <v>0</v>
      </c>
      <c r="AZ144" s="306">
        <f>COUNTIF($B$53:$H$53,"20")</f>
        <v>0</v>
      </c>
      <c r="BA144" s="301">
        <f>COUNTIF($B$56:$H$56,"20")</f>
        <v>0</v>
      </c>
      <c r="BB144" s="301">
        <f>COUNTIF($B$59:$H$59,"20")</f>
        <v>0</v>
      </c>
      <c r="BC144" s="301">
        <f>COUNTIF($B$62:$H$62,"62")</f>
        <v>0</v>
      </c>
      <c r="BD144" s="302">
        <f>COUNTIF($B$65:$H$65,"20")</f>
        <v>0</v>
      </c>
      <c r="BE144" s="303">
        <f>COUNTIF($B$74:$H$74,"20")</f>
        <v>0</v>
      </c>
      <c r="BF144" s="304">
        <f>COUNTIF($B$77:$H$77,"20")</f>
        <v>0</v>
      </c>
      <c r="BG144" s="304">
        <f>COUNTIF($B$80:$H$80,"20")</f>
        <v>0</v>
      </c>
      <c r="BH144" s="304">
        <f>COUNTIF($B$83:$H$83,"20")</f>
        <v>0</v>
      </c>
      <c r="BI144" s="305">
        <f>COUNTIF($B$86:$H$86,"20")</f>
        <v>0</v>
      </c>
    </row>
    <row r="145" spans="1:61" s="143" customFormat="1" ht="26.25" thickBot="1">
      <c r="A145" s="228"/>
      <c r="P145" s="142"/>
      <c r="Q145" s="142"/>
      <c r="R145" s="142"/>
      <c r="S145" s="142"/>
      <c r="T145" s="142"/>
      <c r="U145" s="142"/>
      <c r="V145" s="142"/>
      <c r="W145" s="145"/>
      <c r="X145" s="145"/>
      <c r="Y145" s="145"/>
      <c r="Z145" s="145"/>
      <c r="AA145" s="145"/>
      <c r="AB145" s="145"/>
      <c r="AC145" s="145"/>
      <c r="AD145" s="145"/>
      <c r="AE145" s="145"/>
      <c r="AF145" s="145"/>
      <c r="AG145" s="439" t="s">
        <v>71</v>
      </c>
      <c r="AH145" s="440">
        <v>21</v>
      </c>
      <c r="AI145" s="432"/>
      <c r="AJ145" s="433"/>
      <c r="AK145" s="242"/>
      <c r="AL145" s="242"/>
      <c r="AM145" s="444">
        <v>1</v>
      </c>
      <c r="AN145" s="445"/>
      <c r="AO145" s="242"/>
      <c r="AP145" s="434" t="s">
        <v>196</v>
      </c>
      <c r="AQ145" s="435"/>
      <c r="AR145" s="435"/>
      <c r="AS145" s="435"/>
      <c r="AT145" s="436"/>
      <c r="AU145" s="437"/>
      <c r="AV145" s="438"/>
      <c r="AW145" s="304"/>
      <c r="AX145" s="304"/>
      <c r="AY145" s="305"/>
      <c r="AZ145" s="300" t="s">
        <v>196</v>
      </c>
      <c r="BA145" s="301"/>
      <c r="BB145" s="301"/>
      <c r="BC145" s="301"/>
      <c r="BD145" s="302"/>
      <c r="BE145" s="303"/>
      <c r="BF145" s="304"/>
      <c r="BG145" s="304"/>
      <c r="BH145" s="304"/>
      <c r="BI145" s="305"/>
    </row>
    <row r="146" spans="1:61" s="143" customFormat="1" ht="15">
      <c r="A146" s="228"/>
      <c r="P146" s="142"/>
      <c r="Q146" s="142"/>
      <c r="R146" s="142"/>
      <c r="S146" s="142"/>
      <c r="T146" s="142"/>
      <c r="U146" s="142"/>
      <c r="V146" s="142"/>
      <c r="W146" s="145"/>
      <c r="X146" s="145"/>
      <c r="Y146" s="145"/>
      <c r="Z146" s="145"/>
      <c r="AA146" s="145"/>
      <c r="AB146" s="145"/>
      <c r="AC146" s="145"/>
      <c r="AD146" s="145"/>
      <c r="AE146" s="145"/>
      <c r="AF146" s="145"/>
      <c r="AG146" s="430">
        <f>SUM($AP146:$BI146)</f>
        <v>0</v>
      </c>
      <c r="AH146" s="431">
        <f>AG146/90</f>
        <v>0</v>
      </c>
      <c r="AI146" s="432">
        <f t="shared" si="52"/>
        <v>0</v>
      </c>
      <c r="AJ146" s="433"/>
      <c r="AK146" s="242"/>
      <c r="AL146" s="242"/>
      <c r="AM146" s="242"/>
      <c r="AN146" s="446"/>
      <c r="AO146" s="242"/>
      <c r="AP146" s="442">
        <f>COUNTIF($B$11:$H$11,"21")</f>
        <v>0</v>
      </c>
      <c r="AQ146" s="435">
        <f>COUNTIF($B$14:$H$14,"21")</f>
        <v>0</v>
      </c>
      <c r="AR146" s="435">
        <f>COUNTIF($B$17:$H$17,"21")</f>
        <v>0</v>
      </c>
      <c r="AS146" s="435">
        <f>COUNTIF($B$20:$H$20,"21")</f>
        <v>0</v>
      </c>
      <c r="AT146" s="436">
        <f>COUNTIF($B$23:$H$23,"21")</f>
        <v>0</v>
      </c>
      <c r="AU146" s="437">
        <f>COUNTIF($B$32:$H$32,"21")</f>
        <v>0</v>
      </c>
      <c r="AV146" s="438">
        <f>COUNTIF($B$35:$H$35,"21")</f>
        <v>0</v>
      </c>
      <c r="AW146" s="304">
        <f>COUNTIF($B$38:$H$38,"21")</f>
        <v>0</v>
      </c>
      <c r="AX146" s="304">
        <f>COUNTIF($B$41:$H$41,"21")</f>
        <v>0</v>
      </c>
      <c r="AY146" s="305">
        <f>COUNTIF($B$44:$H$44,"21")</f>
        <v>0</v>
      </c>
      <c r="AZ146" s="306">
        <f>COUNTIF($B$53:$H$53,"21")</f>
        <v>0</v>
      </c>
      <c r="BA146" s="301">
        <f>COUNTIF($B$56:$H$56,"21")</f>
        <v>0</v>
      </c>
      <c r="BB146" s="301">
        <f>COUNTIF($B$59:$H$59,"21")</f>
        <v>0</v>
      </c>
      <c r="BC146" s="301">
        <f>COUNTIF($B$62:$H$62,"21")</f>
        <v>0</v>
      </c>
      <c r="BD146" s="302">
        <f>COUNTIF($B$65:$H$65,"21")</f>
        <v>0</v>
      </c>
      <c r="BE146" s="303">
        <f>COUNTIF($B$74:$H$74,"21")</f>
        <v>0</v>
      </c>
      <c r="BF146" s="304">
        <f>COUNTIF($B$77:$H$77,"21")</f>
        <v>0</v>
      </c>
      <c r="BG146" s="304">
        <f>COUNTIF($B$80:$H$80,"21")</f>
        <v>0</v>
      </c>
      <c r="BH146" s="304">
        <f>COUNTIF($B$83:$H$83,"21")</f>
        <v>0</v>
      </c>
      <c r="BI146" s="305">
        <f>COUNTIF($B$86:$H$86,"21")</f>
        <v>0</v>
      </c>
    </row>
    <row r="147" spans="1:61" s="143" customFormat="1" ht="25.5">
      <c r="A147" s="228"/>
      <c r="P147" s="142"/>
      <c r="Q147" s="142"/>
      <c r="R147" s="142"/>
      <c r="S147" s="142"/>
      <c r="T147" s="142"/>
      <c r="U147" s="142"/>
      <c r="V147" s="142"/>
      <c r="W147" s="145"/>
      <c r="X147" s="145"/>
      <c r="Y147" s="145"/>
      <c r="Z147" s="145"/>
      <c r="AA147" s="145"/>
      <c r="AB147" s="145"/>
      <c r="AC147" s="145"/>
      <c r="AD147" s="145"/>
      <c r="AE147" s="145"/>
      <c r="AF147" s="145"/>
      <c r="AG147" s="439" t="s">
        <v>72</v>
      </c>
      <c r="AH147" s="440">
        <v>22</v>
      </c>
      <c r="AI147" s="432"/>
      <c r="AJ147" s="433"/>
      <c r="AK147" s="242"/>
      <c r="AL147" s="242"/>
      <c r="AM147" s="242"/>
      <c r="AN147" s="446"/>
      <c r="AO147" s="242"/>
      <c r="AP147" s="434" t="s">
        <v>197</v>
      </c>
      <c r="AQ147" s="435"/>
      <c r="AR147" s="435"/>
      <c r="AS147" s="435"/>
      <c r="AT147" s="436"/>
      <c r="AU147" s="437"/>
      <c r="AV147" s="438"/>
      <c r="AW147" s="304"/>
      <c r="AX147" s="304"/>
      <c r="AY147" s="305"/>
      <c r="AZ147" s="300" t="s">
        <v>197</v>
      </c>
      <c r="BA147" s="301"/>
      <c r="BB147" s="301"/>
      <c r="BC147" s="301"/>
      <c r="BD147" s="302"/>
      <c r="BE147" s="303"/>
      <c r="BF147" s="304"/>
      <c r="BG147" s="304"/>
      <c r="BH147" s="304"/>
      <c r="BI147" s="305"/>
    </row>
    <row r="148" spans="1:61" s="143" customFormat="1" ht="15">
      <c r="A148" s="228"/>
      <c r="P148" s="142"/>
      <c r="Q148" s="142"/>
      <c r="R148" s="142"/>
      <c r="S148" s="142"/>
      <c r="T148" s="142"/>
      <c r="U148" s="142"/>
      <c r="V148" s="142"/>
      <c r="W148" s="145"/>
      <c r="X148" s="145"/>
      <c r="Y148" s="145"/>
      <c r="Z148" s="145"/>
      <c r="AA148" s="145"/>
      <c r="AB148" s="145"/>
      <c r="AC148" s="145"/>
      <c r="AD148" s="145"/>
      <c r="AE148" s="145"/>
      <c r="AF148" s="145"/>
      <c r="AG148" s="430">
        <f>SUM($AP148:$BI148)</f>
        <v>0</v>
      </c>
      <c r="AH148" s="431">
        <f>AG148/90</f>
        <v>0</v>
      </c>
      <c r="AI148" s="432">
        <f t="shared" si="52"/>
        <v>0</v>
      </c>
      <c r="AJ148" s="433"/>
      <c r="AK148" s="242"/>
      <c r="AL148" s="242"/>
      <c r="AM148" s="242"/>
      <c r="AN148" s="446"/>
      <c r="AO148" s="242"/>
      <c r="AP148" s="442">
        <f>COUNTIF($B$11:$H$11,"22")</f>
        <v>0</v>
      </c>
      <c r="AQ148" s="435">
        <f>COUNTIF($B$14:$H$14,"22")</f>
        <v>0</v>
      </c>
      <c r="AR148" s="435">
        <f>COUNTIF($B$17:$H$17,"22")</f>
        <v>0</v>
      </c>
      <c r="AS148" s="435">
        <f>COUNTIF($B$20:$H$20,"22")</f>
        <v>0</v>
      </c>
      <c r="AT148" s="436">
        <f>COUNTIF($B$23:$H$23,"22")</f>
        <v>0</v>
      </c>
      <c r="AU148" s="437">
        <f>COUNTIF($B$32:$H$32,"22")</f>
        <v>0</v>
      </c>
      <c r="AV148" s="438">
        <f>COUNTIF($B$35:$H$35,"22")</f>
        <v>0</v>
      </c>
      <c r="AW148" s="304">
        <f>COUNTIF($B$38:$H$38,"22")</f>
        <v>0</v>
      </c>
      <c r="AX148" s="304">
        <f>COUNTIF($B$41:$H$41,"22")</f>
        <v>0</v>
      </c>
      <c r="AY148" s="305">
        <f>COUNTIF($B$44:$H$44,"22")</f>
        <v>0</v>
      </c>
      <c r="AZ148" s="306">
        <f>COUNTIF($B$53:$H$53,"22")</f>
        <v>0</v>
      </c>
      <c r="BA148" s="301">
        <f>COUNTIF($B$56:$H$56,"22")</f>
        <v>0</v>
      </c>
      <c r="BB148" s="301">
        <f>COUNTIF($B$59:$H$59,"22")</f>
        <v>0</v>
      </c>
      <c r="BC148" s="301">
        <f>COUNTIF($B$62:$H$62,"22")</f>
        <v>0</v>
      </c>
      <c r="BD148" s="302">
        <f>COUNTIF($B$65:$H$65,"22")</f>
        <v>0</v>
      </c>
      <c r="BE148" s="303">
        <f>COUNTIF($B$74:$H$74,"22")</f>
        <v>0</v>
      </c>
      <c r="BF148" s="304">
        <f>COUNTIF($B$77:$H$77,"22")</f>
        <v>0</v>
      </c>
      <c r="BG148" s="304">
        <f>COUNTIF($B$80:$H$80,"22")</f>
        <v>0</v>
      </c>
      <c r="BH148" s="304">
        <f>COUNTIF($B$83:$H$83,"22")</f>
        <v>0</v>
      </c>
      <c r="BI148" s="305">
        <f>COUNTIF($B$86:$H$86,"22")</f>
        <v>0</v>
      </c>
    </row>
    <row r="149" spans="1:61" s="143" customFormat="1" ht="25.5">
      <c r="A149" s="228"/>
      <c r="P149" s="142"/>
      <c r="Q149" s="142"/>
      <c r="R149" s="142"/>
      <c r="S149" s="142"/>
      <c r="T149" s="142"/>
      <c r="U149" s="142"/>
      <c r="V149" s="142"/>
      <c r="W149" s="145"/>
      <c r="X149" s="145"/>
      <c r="Y149" s="145"/>
      <c r="Z149" s="145"/>
      <c r="AA149" s="145"/>
      <c r="AB149" s="145"/>
      <c r="AC149" s="145"/>
      <c r="AD149" s="145"/>
      <c r="AE149" s="145"/>
      <c r="AF149" s="145"/>
      <c r="AG149" s="439" t="s">
        <v>73</v>
      </c>
      <c r="AH149" s="440">
        <v>23</v>
      </c>
      <c r="AI149" s="432"/>
      <c r="AJ149" s="433"/>
      <c r="AK149" s="242"/>
      <c r="AL149" s="242"/>
      <c r="AM149" s="242"/>
      <c r="AN149" s="446"/>
      <c r="AO149" s="242"/>
      <c r="AP149" s="434" t="s">
        <v>198</v>
      </c>
      <c r="AQ149" s="435"/>
      <c r="AR149" s="435"/>
      <c r="AS149" s="435"/>
      <c r="AT149" s="436"/>
      <c r="AU149" s="437"/>
      <c r="AV149" s="438"/>
      <c r="AW149" s="304"/>
      <c r="AX149" s="304"/>
      <c r="AY149" s="305"/>
      <c r="AZ149" s="300" t="s">
        <v>198</v>
      </c>
      <c r="BA149" s="301"/>
      <c r="BB149" s="301"/>
      <c r="BC149" s="301"/>
      <c r="BD149" s="302"/>
      <c r="BE149" s="303"/>
      <c r="BF149" s="304"/>
      <c r="BG149" s="304"/>
      <c r="BH149" s="304"/>
      <c r="BI149" s="305"/>
    </row>
    <row r="150" spans="1:61" s="143" customFormat="1" ht="15">
      <c r="A150" s="228"/>
      <c r="P150" s="142"/>
      <c r="Q150" s="142"/>
      <c r="R150" s="142"/>
      <c r="S150" s="142"/>
      <c r="T150" s="142"/>
      <c r="U150" s="142"/>
      <c r="V150" s="142"/>
      <c r="W150" s="145"/>
      <c r="X150" s="145"/>
      <c r="Y150" s="145"/>
      <c r="Z150" s="145"/>
      <c r="AA150" s="145"/>
      <c r="AB150" s="145"/>
      <c r="AC150" s="145"/>
      <c r="AD150" s="145"/>
      <c r="AE150" s="145"/>
      <c r="AF150" s="145"/>
      <c r="AG150" s="430">
        <f>SUM($AP150:$BI150)</f>
        <v>0</v>
      </c>
      <c r="AH150" s="431">
        <f>AG150/90</f>
        <v>0</v>
      </c>
      <c r="AI150" s="432">
        <f t="shared" si="52"/>
        <v>0</v>
      </c>
      <c r="AJ150" s="433"/>
      <c r="AK150" s="242"/>
      <c r="AL150" s="242"/>
      <c r="AM150" s="242"/>
      <c r="AN150" s="446"/>
      <c r="AO150" s="242"/>
      <c r="AP150" s="442">
        <f>COUNTIF($B$11:$H$11,"23")</f>
        <v>0</v>
      </c>
      <c r="AQ150" s="435">
        <f>COUNTIF($B$14:$H$14,"23")</f>
        <v>0</v>
      </c>
      <c r="AR150" s="435">
        <f>COUNTIF($B$17:$H$17,"23")</f>
        <v>0</v>
      </c>
      <c r="AS150" s="435">
        <f>COUNTIF($B$20:$H$20,"23")</f>
        <v>0</v>
      </c>
      <c r="AT150" s="436">
        <f>COUNTIF($B$23:$H$23,"23")</f>
        <v>0</v>
      </c>
      <c r="AU150" s="437">
        <f>COUNTIF($B$32:$H$32,"23")</f>
        <v>0</v>
      </c>
      <c r="AV150" s="438">
        <f>COUNTIF($B$35:$H$35,"23")</f>
        <v>0</v>
      </c>
      <c r="AW150" s="304">
        <f>COUNTIF($B$38:$H$38,"23")</f>
        <v>0</v>
      </c>
      <c r="AX150" s="304">
        <f>COUNTIF($B$41:$H$41,"23")</f>
        <v>0</v>
      </c>
      <c r="AY150" s="305">
        <f>COUNTIF($B$44:$H$44,"23")</f>
        <v>0</v>
      </c>
      <c r="AZ150" s="306">
        <f>COUNTIF($B$53:$H$53,"23")</f>
        <v>0</v>
      </c>
      <c r="BA150" s="301">
        <f>COUNTIF($B$56:$H$56,"23")</f>
        <v>0</v>
      </c>
      <c r="BB150" s="301">
        <f>COUNTIF($B$59:$H$59,"23")</f>
        <v>0</v>
      </c>
      <c r="BC150" s="301">
        <f>COUNTIF($B$62:$H$62,"23")</f>
        <v>0</v>
      </c>
      <c r="BD150" s="302">
        <f>COUNTIF($B$65:$H$65,"65")</f>
        <v>0</v>
      </c>
      <c r="BE150" s="303">
        <f>COUNTIF($B$74:$H$74,"23")</f>
        <v>0</v>
      </c>
      <c r="BF150" s="304">
        <f>COUNTIF($B$77:$H$77,"23")</f>
        <v>0</v>
      </c>
      <c r="BG150" s="304">
        <f>COUNTIF($B$80:$H$80,"23")</f>
        <v>0</v>
      </c>
      <c r="BH150" s="304">
        <f>COUNTIF($B$83:$H$83,"23")</f>
        <v>0</v>
      </c>
      <c r="BI150" s="305">
        <f>COUNTIF($B$86:$H$86,"23")</f>
        <v>0</v>
      </c>
    </row>
    <row r="151" spans="1:61" s="143" customFormat="1" ht="25.5">
      <c r="A151" s="228"/>
      <c r="P151" s="142"/>
      <c r="Q151" s="142"/>
      <c r="R151" s="142"/>
      <c r="S151" s="142"/>
      <c r="T151" s="142"/>
      <c r="U151" s="142"/>
      <c r="V151" s="142"/>
      <c r="W151" s="145"/>
      <c r="X151" s="145"/>
      <c r="Y151" s="145"/>
      <c r="Z151" s="145"/>
      <c r="AA151" s="145"/>
      <c r="AB151" s="145"/>
      <c r="AC151" s="145"/>
      <c r="AD151" s="145"/>
      <c r="AE151" s="145"/>
      <c r="AF151" s="145"/>
      <c r="AG151" s="439" t="s">
        <v>74</v>
      </c>
      <c r="AH151" s="440">
        <v>24</v>
      </c>
      <c r="AI151" s="432"/>
      <c r="AJ151" s="433"/>
      <c r="AK151" s="242"/>
      <c r="AL151" s="242"/>
      <c r="AM151" s="242"/>
      <c r="AN151" s="446"/>
      <c r="AO151" s="242"/>
      <c r="AP151" s="434" t="s">
        <v>199</v>
      </c>
      <c r="AQ151" s="435"/>
      <c r="AR151" s="435"/>
      <c r="AS151" s="435"/>
      <c r="AT151" s="436"/>
      <c r="AU151" s="437"/>
      <c r="AV151" s="438"/>
      <c r="AW151" s="304"/>
      <c r="AX151" s="304"/>
      <c r="AY151" s="305"/>
      <c r="AZ151" s="300" t="s">
        <v>199</v>
      </c>
      <c r="BA151" s="301"/>
      <c r="BB151" s="301"/>
      <c r="BC151" s="301"/>
      <c r="BD151" s="302"/>
      <c r="BE151" s="303"/>
      <c r="BF151" s="304"/>
      <c r="BG151" s="304"/>
      <c r="BH151" s="304"/>
      <c r="BI151" s="305"/>
    </row>
    <row r="152" spans="1:61" s="143" customFormat="1" ht="15">
      <c r="A152" s="228"/>
      <c r="P152" s="142"/>
      <c r="Q152" s="142"/>
      <c r="R152" s="142"/>
      <c r="S152" s="142"/>
      <c r="T152" s="142"/>
      <c r="U152" s="142"/>
      <c r="V152" s="142"/>
      <c r="W152" s="145"/>
      <c r="X152" s="145"/>
      <c r="Y152" s="145"/>
      <c r="Z152" s="145"/>
      <c r="AA152" s="145"/>
      <c r="AB152" s="145"/>
      <c r="AC152" s="145"/>
      <c r="AD152" s="145"/>
      <c r="AE152" s="145"/>
      <c r="AF152" s="145"/>
      <c r="AG152" s="430">
        <f>SUM($AP152:$BI152)</f>
        <v>0</v>
      </c>
      <c r="AH152" s="431">
        <f>AG152/90</f>
        <v>0</v>
      </c>
      <c r="AI152" s="432">
        <f t="shared" si="52"/>
        <v>0</v>
      </c>
      <c r="AJ152" s="433"/>
      <c r="AK152" s="242"/>
      <c r="AL152" s="242"/>
      <c r="AM152" s="242"/>
      <c r="AN152" s="446"/>
      <c r="AO152" s="242"/>
      <c r="AP152" s="442">
        <f>COUNTIF($B$11:$H$11,"24")</f>
        <v>0</v>
      </c>
      <c r="AQ152" s="435">
        <f>COUNTIF($B$14:$H$14,"24")</f>
        <v>0</v>
      </c>
      <c r="AR152" s="435">
        <f>COUNTIF($B$17:$H$17,"24")</f>
        <v>0</v>
      </c>
      <c r="AS152" s="435">
        <f>COUNTIF($B$20:$H$20,"24")</f>
        <v>0</v>
      </c>
      <c r="AT152" s="436">
        <f>COUNTIF($B$23:$H$23,"24")</f>
        <v>0</v>
      </c>
      <c r="AU152" s="437">
        <f>COUNTIF($B$32:$H$32,"24")</f>
        <v>0</v>
      </c>
      <c r="AV152" s="438">
        <f>COUNTIF($B$35:$H$35,"24")</f>
        <v>0</v>
      </c>
      <c r="AW152" s="304">
        <f>COUNTIF($B$38:$H$38,"24")</f>
        <v>0</v>
      </c>
      <c r="AX152" s="304">
        <f>COUNTIF($B$41:$H$41,"24")</f>
        <v>0</v>
      </c>
      <c r="AY152" s="305">
        <f>COUNTIF($B$44:$H$44,"24")</f>
        <v>0</v>
      </c>
      <c r="AZ152" s="306">
        <f>COUNTIF($B$53:$H$53,"24")</f>
        <v>0</v>
      </c>
      <c r="BA152" s="301">
        <f>COUNTIF($B$56:$H$56,"24")</f>
        <v>0</v>
      </c>
      <c r="BB152" s="301">
        <f>COUNTIF($B$59:$H$59,"24")</f>
        <v>0</v>
      </c>
      <c r="BC152" s="301">
        <f>COUNTIF($B$62:$H$62,"24")</f>
        <v>0</v>
      </c>
      <c r="BD152" s="302">
        <f>COUNTIF($B$65:$H$65,"24")</f>
        <v>0</v>
      </c>
      <c r="BE152" s="303">
        <f>COUNTIF($B$74:$H$74,"24")</f>
        <v>0</v>
      </c>
      <c r="BF152" s="304">
        <f>COUNTIF($B$77:$H$77,"24")</f>
        <v>0</v>
      </c>
      <c r="BG152" s="304">
        <f>COUNTIF($B$80:$H$80,"24")</f>
        <v>0</v>
      </c>
      <c r="BH152" s="304">
        <f>COUNTIF($B$83:$H$83,"24")</f>
        <v>0</v>
      </c>
      <c r="BI152" s="305">
        <f>COUNTIF($B$86:$H$86,"24")</f>
        <v>0</v>
      </c>
    </row>
    <row r="153" spans="1:61" s="143" customFormat="1" ht="25.5">
      <c r="A153" s="228"/>
      <c r="P153" s="142"/>
      <c r="Q153" s="142"/>
      <c r="R153" s="142"/>
      <c r="S153" s="142"/>
      <c r="T153" s="142"/>
      <c r="U153" s="142"/>
      <c r="V153" s="142"/>
      <c r="W153" s="145"/>
      <c r="X153" s="145"/>
      <c r="Y153" s="145"/>
      <c r="Z153" s="145"/>
      <c r="AA153" s="145"/>
      <c r="AB153" s="145"/>
      <c r="AC153" s="145"/>
      <c r="AD153" s="145"/>
      <c r="AE153" s="145"/>
      <c r="AF153" s="145"/>
      <c r="AG153" s="439" t="s">
        <v>75</v>
      </c>
      <c r="AH153" s="440">
        <v>25</v>
      </c>
      <c r="AI153" s="432"/>
      <c r="AJ153" s="433"/>
      <c r="AK153" s="242"/>
      <c r="AL153" s="242"/>
      <c r="AM153" s="242"/>
      <c r="AN153" s="446"/>
      <c r="AO153" s="242"/>
      <c r="AP153" s="434" t="s">
        <v>296</v>
      </c>
      <c r="AQ153" s="435"/>
      <c r="AR153" s="435"/>
      <c r="AS153" s="435"/>
      <c r="AT153" s="436"/>
      <c r="AU153" s="437"/>
      <c r="AV153" s="438"/>
      <c r="AW153" s="304"/>
      <c r="AX153" s="304"/>
      <c r="AY153" s="305"/>
      <c r="AZ153" s="300" t="s">
        <v>296</v>
      </c>
      <c r="BA153" s="301"/>
      <c r="BB153" s="301"/>
      <c r="BC153" s="301"/>
      <c r="BD153" s="302"/>
      <c r="BE153" s="303"/>
      <c r="BF153" s="304"/>
      <c r="BG153" s="304"/>
      <c r="BH153" s="304"/>
      <c r="BI153" s="305"/>
    </row>
    <row r="154" spans="1:61" s="143" customFormat="1" ht="15">
      <c r="A154" s="228"/>
      <c r="P154" s="142"/>
      <c r="Q154" s="142"/>
      <c r="R154" s="142"/>
      <c r="S154" s="142"/>
      <c r="T154" s="142"/>
      <c r="U154" s="142"/>
      <c r="V154" s="142"/>
      <c r="W154" s="145"/>
      <c r="X154" s="145"/>
      <c r="Y154" s="145"/>
      <c r="Z154" s="145"/>
      <c r="AA154" s="145"/>
      <c r="AB154" s="145"/>
      <c r="AC154" s="145"/>
      <c r="AD154" s="145"/>
      <c r="AE154" s="145"/>
      <c r="AF154" s="145"/>
      <c r="AG154" s="430">
        <f>SUM($AP154:$BI154)</f>
        <v>0</v>
      </c>
      <c r="AH154" s="431">
        <f>AG154/90</f>
        <v>0</v>
      </c>
      <c r="AI154" s="432">
        <f t="shared" si="52"/>
        <v>0</v>
      </c>
      <c r="AJ154" s="433"/>
      <c r="AK154" s="242"/>
      <c r="AL154" s="242"/>
      <c r="AM154" s="242"/>
      <c r="AN154" s="446"/>
      <c r="AO154" s="242"/>
      <c r="AP154" s="442">
        <f>COUNTIF($B$11:$H$11,"25")</f>
        <v>0</v>
      </c>
      <c r="AQ154" s="435">
        <f>COUNTIF($B$14:$H$14,"25")</f>
        <v>0</v>
      </c>
      <c r="AR154" s="435">
        <f>COUNTIF($B$17:$H$17,"25")</f>
        <v>0</v>
      </c>
      <c r="AS154" s="435">
        <f>COUNTIF($B$20:$H$20,"25")</f>
        <v>0</v>
      </c>
      <c r="AT154" s="436">
        <f>COUNTIF($B$23:$H$23,"25")</f>
        <v>0</v>
      </c>
      <c r="AU154" s="437">
        <f>COUNTIF($B$32:$H$32,"32")</f>
        <v>0</v>
      </c>
      <c r="AV154" s="438">
        <f>COUNTIF($B$35:$H$35,"25")</f>
        <v>0</v>
      </c>
      <c r="AW154" s="304">
        <f>COUNTIF($B$38:$H$38,"25")</f>
        <v>0</v>
      </c>
      <c r="AX154" s="304">
        <f>COUNTIF($B$41:$H$41,"25")</f>
        <v>0</v>
      </c>
      <c r="AY154" s="305">
        <f>COUNTIF($B$44:$H$44,"25")</f>
        <v>0</v>
      </c>
      <c r="AZ154" s="306">
        <f>COUNTIF($B$53:$H$53,"25")</f>
        <v>0</v>
      </c>
      <c r="BA154" s="301">
        <f>COUNTIF($B$56:$H$56,"25")</f>
        <v>0</v>
      </c>
      <c r="BB154" s="301">
        <f>COUNTIF($B$59:$H$59,"25")</f>
        <v>0</v>
      </c>
      <c r="BC154" s="301">
        <f>COUNTIF($B$62:$H$62,"25")</f>
        <v>0</v>
      </c>
      <c r="BD154" s="302">
        <f>COUNTIF($B$65:$H$65,"25")</f>
        <v>0</v>
      </c>
      <c r="BE154" s="303">
        <f>COUNTIF($B$74:$H$74,"74")</f>
        <v>0</v>
      </c>
      <c r="BF154" s="304">
        <f>COUNTIF($B$77:$H$77,"25")</f>
        <v>0</v>
      </c>
      <c r="BG154" s="304">
        <f>COUNTIF($B$80:$H$80,"25")</f>
        <v>0</v>
      </c>
      <c r="BH154" s="304">
        <f>COUNTIF($B$83:$H$83,"25")</f>
        <v>0</v>
      </c>
      <c r="BI154" s="305">
        <f>COUNTIF($B$86:$H$86,"25")</f>
        <v>0</v>
      </c>
    </row>
    <row r="155" spans="1:61" s="143" customFormat="1" ht="25.5">
      <c r="A155" s="228"/>
      <c r="P155" s="142"/>
      <c r="Q155" s="142"/>
      <c r="R155" s="142"/>
      <c r="S155" s="142"/>
      <c r="T155" s="142"/>
      <c r="U155" s="142"/>
      <c r="V155" s="142"/>
      <c r="W155" s="145"/>
      <c r="X155" s="145"/>
      <c r="Y155" s="145"/>
      <c r="Z155" s="145"/>
      <c r="AA155" s="145"/>
      <c r="AB155" s="145"/>
      <c r="AC155" s="145"/>
      <c r="AD155" s="145"/>
      <c r="AE155" s="145"/>
      <c r="AF155" s="145"/>
      <c r="AG155" s="439" t="s">
        <v>76</v>
      </c>
      <c r="AH155" s="440">
        <v>26</v>
      </c>
      <c r="AI155" s="432"/>
      <c r="AJ155" s="433"/>
      <c r="AK155" s="242"/>
      <c r="AL155" s="242"/>
      <c r="AM155" s="242"/>
      <c r="AN155" s="446"/>
      <c r="AO155" s="242"/>
      <c r="AP155" s="434" t="s">
        <v>297</v>
      </c>
      <c r="AQ155" s="435"/>
      <c r="AR155" s="435"/>
      <c r="AS155" s="435"/>
      <c r="AT155" s="436"/>
      <c r="AU155" s="437"/>
      <c r="AV155" s="438"/>
      <c r="AW155" s="304"/>
      <c r="AX155" s="304"/>
      <c r="AY155" s="305"/>
      <c r="AZ155" s="300" t="s">
        <v>297</v>
      </c>
      <c r="BA155" s="301"/>
      <c r="BB155" s="301"/>
      <c r="BC155" s="301"/>
      <c r="BD155" s="302"/>
      <c r="BE155" s="303"/>
      <c r="BF155" s="304"/>
      <c r="BG155" s="304"/>
      <c r="BH155" s="304"/>
      <c r="BI155" s="305"/>
    </row>
    <row r="156" spans="1:61" s="143" customFormat="1" ht="15">
      <c r="A156" s="228"/>
      <c r="P156" s="142"/>
      <c r="Q156" s="142"/>
      <c r="R156" s="142"/>
      <c r="S156" s="142"/>
      <c r="T156" s="142"/>
      <c r="U156" s="142"/>
      <c r="V156" s="142"/>
      <c r="W156" s="145"/>
      <c r="X156" s="145"/>
      <c r="Y156" s="145"/>
      <c r="Z156" s="145"/>
      <c r="AA156" s="145"/>
      <c r="AB156" s="145"/>
      <c r="AC156" s="145"/>
      <c r="AD156" s="145"/>
      <c r="AE156" s="145"/>
      <c r="AF156" s="145"/>
      <c r="AG156" s="430">
        <f>SUM($AP156:$BI156)</f>
        <v>0</v>
      </c>
      <c r="AH156" s="431">
        <f>AG156/90</f>
        <v>0</v>
      </c>
      <c r="AI156" s="432">
        <f t="shared" si="52"/>
        <v>0</v>
      </c>
      <c r="AJ156" s="433"/>
      <c r="AK156" s="242"/>
      <c r="AL156" s="242"/>
      <c r="AM156" s="242"/>
      <c r="AN156" s="446"/>
      <c r="AO156" s="242"/>
      <c r="AP156" s="442">
        <f>COUNTIF($B$11:$H$11,"26")</f>
        <v>0</v>
      </c>
      <c r="AQ156" s="435">
        <f>COUNTIF($B$14:$H$14,"26")</f>
        <v>0</v>
      </c>
      <c r="AR156" s="435">
        <f>COUNTIF($B$17:$H$17,"26")</f>
        <v>0</v>
      </c>
      <c r="AS156" s="435">
        <f>COUNTIF($B$20:$H$20,"26")</f>
        <v>0</v>
      </c>
      <c r="AT156" s="436">
        <f>COUNTIF($B$23:$H$23,"26")</f>
        <v>0</v>
      </c>
      <c r="AU156" s="437">
        <f>COUNTIF($B$32:$H$32,"26")</f>
        <v>0</v>
      </c>
      <c r="AV156" s="438">
        <f>COUNTIF($B$35:$H$35,"26")</f>
        <v>0</v>
      </c>
      <c r="AW156" s="304">
        <f>COUNTIF($B$38:$H$38,"26")</f>
        <v>0</v>
      </c>
      <c r="AX156" s="304">
        <f>COUNTIF($B$41:$H$41,"26")</f>
        <v>0</v>
      </c>
      <c r="AY156" s="305">
        <f>COUNTIF($B$44:$H$44,"26")</f>
        <v>0</v>
      </c>
      <c r="AZ156" s="306">
        <f>COUNTIF($B$53:$H$53,"26")</f>
        <v>0</v>
      </c>
      <c r="BA156" s="301">
        <f>COUNTIF($B$56:$H$56,"26")</f>
        <v>0</v>
      </c>
      <c r="BB156" s="301">
        <f>COUNTIF($B$59:$H$59,"26")</f>
        <v>0</v>
      </c>
      <c r="BC156" s="301">
        <f>COUNTIF($B$62:$H$62,"26")</f>
        <v>0</v>
      </c>
      <c r="BD156" s="302">
        <f>COUNTIF($B$65:$H$65,"26")</f>
        <v>0</v>
      </c>
      <c r="BE156" s="303">
        <f>COUNTIF($B$74:$H$74,"26")</f>
        <v>0</v>
      </c>
      <c r="BF156" s="304">
        <f>COUNTIF($B$77:$H$77,"26")</f>
        <v>0</v>
      </c>
      <c r="BG156" s="304">
        <f>COUNTIF($B$80:$H$80,"26")</f>
        <v>0</v>
      </c>
      <c r="BH156" s="304">
        <f>COUNTIF($B$83:$H$83,"26")</f>
        <v>0</v>
      </c>
      <c r="BI156" s="305">
        <f>COUNTIF($B$86:$H$86,"26")</f>
        <v>0</v>
      </c>
    </row>
    <row r="157" spans="1:61" s="143" customFormat="1" ht="25.5">
      <c r="A157" s="228"/>
      <c r="P157" s="142"/>
      <c r="Q157" s="142"/>
      <c r="R157" s="142"/>
      <c r="S157" s="142"/>
      <c r="T157" s="142"/>
      <c r="U157" s="142"/>
      <c r="V157" s="142"/>
      <c r="W157" s="145"/>
      <c r="X157" s="145"/>
      <c r="Y157" s="145"/>
      <c r="Z157" s="145"/>
      <c r="AA157" s="145"/>
      <c r="AB157" s="145"/>
      <c r="AC157" s="145"/>
      <c r="AD157" s="145"/>
      <c r="AE157" s="145"/>
      <c r="AF157" s="145"/>
      <c r="AG157" s="439" t="s">
        <v>77</v>
      </c>
      <c r="AH157" s="440">
        <v>27</v>
      </c>
      <c r="AI157" s="432"/>
      <c r="AJ157" s="433"/>
      <c r="AK157" s="242"/>
      <c r="AL157" s="242"/>
      <c r="AM157" s="242"/>
      <c r="AN157" s="446"/>
      <c r="AO157" s="242"/>
      <c r="AP157" s="434" t="s">
        <v>298</v>
      </c>
      <c r="AQ157" s="435"/>
      <c r="AR157" s="435"/>
      <c r="AS157" s="435"/>
      <c r="AT157" s="436"/>
      <c r="AU157" s="437"/>
      <c r="AV157" s="438"/>
      <c r="AW157" s="304"/>
      <c r="AX157" s="304"/>
      <c r="AY157" s="305"/>
      <c r="AZ157" s="300" t="s">
        <v>298</v>
      </c>
      <c r="BA157" s="301"/>
      <c r="BB157" s="301"/>
      <c r="BC157" s="301"/>
      <c r="BD157" s="302"/>
      <c r="BE157" s="303"/>
      <c r="BF157" s="304"/>
      <c r="BG157" s="304"/>
      <c r="BH157" s="304"/>
      <c r="BI157" s="305"/>
    </row>
    <row r="158" spans="1:61" s="143" customFormat="1" ht="15">
      <c r="A158" s="228"/>
      <c r="P158" s="142"/>
      <c r="Q158" s="142"/>
      <c r="R158" s="142"/>
      <c r="S158" s="142"/>
      <c r="T158" s="142"/>
      <c r="U158" s="142"/>
      <c r="V158" s="142"/>
      <c r="W158" s="145"/>
      <c r="X158" s="145"/>
      <c r="Y158" s="145"/>
      <c r="Z158" s="145"/>
      <c r="AA158" s="145"/>
      <c r="AB158" s="145"/>
      <c r="AC158" s="145"/>
      <c r="AD158" s="145"/>
      <c r="AE158" s="145"/>
      <c r="AF158" s="145"/>
      <c r="AG158" s="430">
        <f>SUM($AP158:$BI158)</f>
        <v>0</v>
      </c>
      <c r="AH158" s="431">
        <f>AG158/90</f>
        <v>0</v>
      </c>
      <c r="AI158" s="432">
        <f t="shared" si="52"/>
        <v>0</v>
      </c>
      <c r="AJ158" s="433"/>
      <c r="AK158" s="242"/>
      <c r="AL158" s="242"/>
      <c r="AM158" s="242"/>
      <c r="AN158" s="446"/>
      <c r="AO158" s="242"/>
      <c r="AP158" s="442">
        <f>COUNTIF($B$11:$H$11,"27")</f>
        <v>0</v>
      </c>
      <c r="AQ158" s="435">
        <f>COUNTIF($B$14:$H$14,"27")</f>
        <v>0</v>
      </c>
      <c r="AR158" s="435">
        <f>COUNTIF($B$17:$H$17,"27")</f>
        <v>0</v>
      </c>
      <c r="AS158" s="435">
        <f>COUNTIF($B$20:$H$20,"27")</f>
        <v>0</v>
      </c>
      <c r="AT158" s="436">
        <f>COUNTIF($B$23:$H$23,"27")</f>
        <v>0</v>
      </c>
      <c r="AU158" s="437">
        <f>COUNTIF($B$32:$H$32,"27")</f>
        <v>0</v>
      </c>
      <c r="AV158" s="438">
        <f>COUNTIF($B$35:$H$35,"27")</f>
        <v>0</v>
      </c>
      <c r="AW158" s="304">
        <f>COUNTIF($B$38:$H$38,"27")</f>
        <v>0</v>
      </c>
      <c r="AX158" s="304">
        <f>COUNTIF($B$41:$H$41,"27")</f>
        <v>0</v>
      </c>
      <c r="AY158" s="305">
        <f>COUNTIF($B$44:$H$44,"27")</f>
        <v>0</v>
      </c>
      <c r="AZ158" s="306">
        <f>COUNTIF($B$53:$H$53,"27")</f>
        <v>0</v>
      </c>
      <c r="BA158" s="301">
        <f>COUNTIF($B$56:$H$56,"27")</f>
        <v>0</v>
      </c>
      <c r="BB158" s="301">
        <f>COUNTIF($B$59:$H$59,"27")</f>
        <v>0</v>
      </c>
      <c r="BC158" s="301">
        <f>COUNTIF($B$62:$H$62,"27")</f>
        <v>0</v>
      </c>
      <c r="BD158" s="302">
        <f>COUNTIF($B$65:$H$65,"27")</f>
        <v>0</v>
      </c>
      <c r="BE158" s="303">
        <f>COUNTIF($B$74:$H$74,"27")</f>
        <v>0</v>
      </c>
      <c r="BF158" s="304">
        <f>COUNTIF($B$77:$H$77,"27")</f>
        <v>0</v>
      </c>
      <c r="BG158" s="304">
        <f>COUNTIF($B$80:$H$80,"27")</f>
        <v>0</v>
      </c>
      <c r="BH158" s="304">
        <f>COUNTIF($B$83:$H$83,"27")</f>
        <v>0</v>
      </c>
      <c r="BI158" s="305">
        <f>COUNTIF($B$86:$H$86,"27")</f>
        <v>0</v>
      </c>
    </row>
    <row r="159" spans="1:61" s="143" customFormat="1" ht="25.5">
      <c r="A159" s="228"/>
      <c r="P159" s="142"/>
      <c r="Q159" s="142"/>
      <c r="R159" s="142"/>
      <c r="S159" s="142"/>
      <c r="T159" s="142"/>
      <c r="U159" s="142"/>
      <c r="V159" s="142"/>
      <c r="W159" s="145"/>
      <c r="X159" s="145"/>
      <c r="Y159" s="145"/>
      <c r="Z159" s="145"/>
      <c r="AA159" s="145"/>
      <c r="AB159" s="145"/>
      <c r="AC159" s="145"/>
      <c r="AD159" s="145"/>
      <c r="AE159" s="145"/>
      <c r="AF159" s="145"/>
      <c r="AG159" s="439" t="s">
        <v>78</v>
      </c>
      <c r="AH159" s="440">
        <v>28</v>
      </c>
      <c r="AI159" s="432"/>
      <c r="AJ159" s="433"/>
      <c r="AK159" s="242"/>
      <c r="AL159" s="242"/>
      <c r="AM159" s="242"/>
      <c r="AN159" s="446"/>
      <c r="AO159" s="242"/>
      <c r="AP159" s="434" t="s">
        <v>299</v>
      </c>
      <c r="AQ159" s="435"/>
      <c r="AR159" s="435"/>
      <c r="AS159" s="435"/>
      <c r="AT159" s="436"/>
      <c r="AU159" s="437"/>
      <c r="AV159" s="438"/>
      <c r="AW159" s="304"/>
      <c r="AX159" s="304"/>
      <c r="AY159" s="305"/>
      <c r="AZ159" s="300" t="s">
        <v>299</v>
      </c>
      <c r="BA159" s="301"/>
      <c r="BB159" s="301"/>
      <c r="BC159" s="301"/>
      <c r="BD159" s="302"/>
      <c r="BE159" s="303"/>
      <c r="BF159" s="304"/>
      <c r="BG159" s="304"/>
      <c r="BH159" s="304"/>
      <c r="BI159" s="305"/>
    </row>
    <row r="160" spans="1:61" s="143" customFormat="1" ht="15">
      <c r="A160" s="228"/>
      <c r="P160" s="142"/>
      <c r="Q160" s="142"/>
      <c r="R160" s="142"/>
      <c r="S160" s="142"/>
      <c r="T160" s="142"/>
      <c r="U160" s="142"/>
      <c r="V160" s="142"/>
      <c r="W160" s="145"/>
      <c r="X160" s="145"/>
      <c r="Y160" s="145"/>
      <c r="Z160" s="145"/>
      <c r="AA160" s="145"/>
      <c r="AB160" s="145"/>
      <c r="AC160" s="145"/>
      <c r="AD160" s="145"/>
      <c r="AE160" s="145"/>
      <c r="AF160" s="145"/>
      <c r="AG160" s="430">
        <f>SUM($AP160:$BI160)</f>
        <v>0</v>
      </c>
      <c r="AH160" s="431">
        <f>AG160/90</f>
        <v>0</v>
      </c>
      <c r="AI160" s="432">
        <f t="shared" si="52"/>
        <v>0</v>
      </c>
      <c r="AJ160" s="433"/>
      <c r="AK160" s="242"/>
      <c r="AL160" s="242"/>
      <c r="AM160" s="242"/>
      <c r="AN160" s="446"/>
      <c r="AO160" s="242"/>
      <c r="AP160" s="442">
        <f>COUNTIF($B$11:$H$11,"28")</f>
        <v>0</v>
      </c>
      <c r="AQ160" s="435">
        <f>COUNTIF($B$14:$H$14,"28")</f>
        <v>0</v>
      </c>
      <c r="AR160" s="435">
        <f>COUNTIF($B$17:$H$17,"28")</f>
        <v>0</v>
      </c>
      <c r="AS160" s="435">
        <f>COUNTIF($B$20:$H$20,"28")</f>
        <v>0</v>
      </c>
      <c r="AT160" s="436">
        <f>COUNTIF($B$23:$H$23,"28")</f>
        <v>0</v>
      </c>
      <c r="AU160" s="437">
        <f>COUNTIF($B$32:$H$32,"28")</f>
        <v>0</v>
      </c>
      <c r="AV160" s="438">
        <f>COUNTIF($B$35:$H$35,"28")</f>
        <v>0</v>
      </c>
      <c r="AW160" s="304">
        <f>COUNTIF($B$38:$H$38,"28")</f>
        <v>0</v>
      </c>
      <c r="AX160" s="304">
        <f>COUNTIF($B$41:$H$41,"28")</f>
        <v>0</v>
      </c>
      <c r="AY160" s="305">
        <f>COUNTIF($B$44:$H$44,"28")</f>
        <v>0</v>
      </c>
      <c r="AZ160" s="306">
        <f>COUNTIF($B$53:$H$53,"28")</f>
        <v>0</v>
      </c>
      <c r="BA160" s="301">
        <f>COUNTIF($B$56:$H$56,"28")</f>
        <v>0</v>
      </c>
      <c r="BB160" s="301">
        <f>COUNTIF($B$59:$H$59,"28")</f>
        <v>0</v>
      </c>
      <c r="BC160" s="301">
        <f>COUNTIF($B$62:$H$62,"28")</f>
        <v>0</v>
      </c>
      <c r="BD160" s="302">
        <f>COUNTIF($B$65:$H$65,"28")</f>
        <v>0</v>
      </c>
      <c r="BE160" s="303">
        <f>COUNTIF($B$74:$H$74,"28")</f>
        <v>0</v>
      </c>
      <c r="BF160" s="304">
        <f>COUNTIF($B$77:$H$77,"28")</f>
        <v>0</v>
      </c>
      <c r="BG160" s="304">
        <f>COUNTIF($B$80:$H$80,"28")</f>
        <v>0</v>
      </c>
      <c r="BH160" s="304">
        <f>COUNTIF($B$83:$H$83,"28")</f>
        <v>0</v>
      </c>
      <c r="BI160" s="305">
        <f>COUNTIF($B$86:$H$86,"28")</f>
        <v>0</v>
      </c>
    </row>
    <row r="161" spans="1:61" s="143" customFormat="1" ht="25.5">
      <c r="A161" s="228"/>
      <c r="P161" s="142"/>
      <c r="Q161" s="142"/>
      <c r="R161" s="142"/>
      <c r="S161" s="142"/>
      <c r="T161" s="142"/>
      <c r="U161" s="142"/>
      <c r="V161" s="142"/>
      <c r="W161" s="145"/>
      <c r="X161" s="145"/>
      <c r="Y161" s="145"/>
      <c r="Z161" s="145"/>
      <c r="AA161" s="145"/>
      <c r="AB161" s="145"/>
      <c r="AC161" s="145"/>
      <c r="AD161" s="145"/>
      <c r="AE161" s="145"/>
      <c r="AF161" s="145"/>
      <c r="AG161" s="439" t="s">
        <v>79</v>
      </c>
      <c r="AH161" s="440">
        <v>29</v>
      </c>
      <c r="AI161" s="432"/>
      <c r="AJ161" s="433"/>
      <c r="AK161" s="242"/>
      <c r="AL161" s="242"/>
      <c r="AM161" s="242"/>
      <c r="AN161" s="446"/>
      <c r="AO161" s="242"/>
      <c r="AP161" s="434" t="s">
        <v>300</v>
      </c>
      <c r="AQ161" s="435"/>
      <c r="AR161" s="435"/>
      <c r="AS161" s="435"/>
      <c r="AT161" s="436"/>
      <c r="AU161" s="437"/>
      <c r="AV161" s="438"/>
      <c r="AW161" s="304"/>
      <c r="AX161" s="304"/>
      <c r="AY161" s="305"/>
      <c r="AZ161" s="300" t="s">
        <v>300</v>
      </c>
      <c r="BA161" s="301"/>
      <c r="BB161" s="301"/>
      <c r="BC161" s="301"/>
      <c r="BD161" s="302"/>
      <c r="BE161" s="303"/>
      <c r="BF161" s="304"/>
      <c r="BG161" s="304"/>
      <c r="BH161" s="304"/>
      <c r="BI161" s="305"/>
    </row>
    <row r="162" spans="1:61" s="143" customFormat="1" ht="15">
      <c r="A162" s="228"/>
      <c r="P162" s="142"/>
      <c r="Q162" s="142"/>
      <c r="R162" s="142"/>
      <c r="S162" s="142"/>
      <c r="T162" s="142"/>
      <c r="U162" s="142"/>
      <c r="V162" s="142"/>
      <c r="W162" s="145"/>
      <c r="X162" s="145"/>
      <c r="Y162" s="145"/>
      <c r="Z162" s="145"/>
      <c r="AA162" s="145"/>
      <c r="AB162" s="145"/>
      <c r="AC162" s="145"/>
      <c r="AD162" s="145"/>
      <c r="AE162" s="145"/>
      <c r="AF162" s="145"/>
      <c r="AG162" s="430">
        <f>SUM($AP162:$BI162)</f>
        <v>0</v>
      </c>
      <c r="AH162" s="431">
        <f>AG162/90</f>
        <v>0</v>
      </c>
      <c r="AI162" s="432">
        <f t="shared" si="52"/>
        <v>0</v>
      </c>
      <c r="AJ162" s="433"/>
      <c r="AK162" s="242"/>
      <c r="AL162" s="242"/>
      <c r="AM162" s="242"/>
      <c r="AN162" s="446"/>
      <c r="AO162" s="242"/>
      <c r="AP162" s="442">
        <f>COUNTIF($B$11:$H$11,"29")</f>
        <v>0</v>
      </c>
      <c r="AQ162" s="435">
        <f>COUNTIF($B$14:$H$14,"29")</f>
        <v>0</v>
      </c>
      <c r="AR162" s="435">
        <f>COUNTIF($B$17:$H$17,"29")</f>
        <v>0</v>
      </c>
      <c r="AS162" s="435">
        <f>COUNTIF($B$20:$H$20,"29")</f>
        <v>0</v>
      </c>
      <c r="AT162" s="436">
        <f>COUNTIF($B$23:$H$23,"29")</f>
        <v>0</v>
      </c>
      <c r="AU162" s="437">
        <f>COUNTIF($B$32:$H$32,"29")</f>
        <v>0</v>
      </c>
      <c r="AV162" s="438">
        <f>COUNTIF($B$35:$H$35,"29")</f>
        <v>0</v>
      </c>
      <c r="AW162" s="304">
        <f>COUNTIF($B$38:$H$38,"29")</f>
        <v>0</v>
      </c>
      <c r="AX162" s="304">
        <f>COUNTIF($B$41:$H$41,"29")</f>
        <v>0</v>
      </c>
      <c r="AY162" s="305">
        <f>COUNTIF($B$44:$H$44,"29")</f>
        <v>0</v>
      </c>
      <c r="AZ162" s="306">
        <f>COUNTIF($B$53:$H$53,"29")</f>
        <v>0</v>
      </c>
      <c r="BA162" s="301">
        <f>COUNTIF($B$56:$H$56,"29")</f>
        <v>0</v>
      </c>
      <c r="BB162" s="301">
        <f>COUNTIF($B$59:$H$59,"29")</f>
        <v>0</v>
      </c>
      <c r="BC162" s="301">
        <f>COUNTIF($B$62:$H$62,"29")</f>
        <v>0</v>
      </c>
      <c r="BD162" s="302">
        <f>COUNTIF($B$65:$H$65,"29")</f>
        <v>0</v>
      </c>
      <c r="BE162" s="303">
        <f>COUNTIF($B$74:$H$74,"29")</f>
        <v>0</v>
      </c>
      <c r="BF162" s="304">
        <f>COUNTIF($B$77:$H$77,"29")</f>
        <v>0</v>
      </c>
      <c r="BG162" s="304">
        <f>COUNTIF($B$80:$H$80,"29")</f>
        <v>0</v>
      </c>
      <c r="BH162" s="304">
        <f>COUNTIF($B$83:$H$83,"29")</f>
        <v>0</v>
      </c>
      <c r="BI162" s="305">
        <f>COUNTIF($B$86:$H$86,"29")</f>
        <v>0</v>
      </c>
    </row>
    <row r="163" spans="1:61" s="143" customFormat="1" ht="25.5">
      <c r="A163" s="228"/>
      <c r="P163" s="142"/>
      <c r="Q163" s="142"/>
      <c r="R163" s="142"/>
      <c r="S163" s="142"/>
      <c r="T163" s="142"/>
      <c r="U163" s="142"/>
      <c r="V163" s="142"/>
      <c r="W163" s="145"/>
      <c r="X163" s="145"/>
      <c r="Y163" s="145"/>
      <c r="Z163" s="145"/>
      <c r="AA163" s="145"/>
      <c r="AB163" s="145"/>
      <c r="AC163" s="145"/>
      <c r="AD163" s="145"/>
      <c r="AE163" s="145"/>
      <c r="AF163" s="145"/>
      <c r="AG163" s="439" t="s">
        <v>200</v>
      </c>
      <c r="AH163" s="440">
        <v>30</v>
      </c>
      <c r="AI163" s="432"/>
      <c r="AJ163" s="433"/>
      <c r="AK163" s="242"/>
      <c r="AL163" s="242"/>
      <c r="AM163" s="242"/>
      <c r="AN163" s="446"/>
      <c r="AO163" s="242"/>
      <c r="AP163" s="434" t="s">
        <v>301</v>
      </c>
      <c r="AQ163" s="435"/>
      <c r="AR163" s="435"/>
      <c r="AS163" s="435"/>
      <c r="AT163" s="436"/>
      <c r="AU163" s="437"/>
      <c r="AV163" s="438"/>
      <c r="AW163" s="304"/>
      <c r="AX163" s="304"/>
      <c r="AY163" s="305"/>
      <c r="AZ163" s="300" t="s">
        <v>301</v>
      </c>
      <c r="BA163" s="301"/>
      <c r="BB163" s="301"/>
      <c r="BC163" s="301"/>
      <c r="BD163" s="302"/>
      <c r="BE163" s="303"/>
      <c r="BF163" s="304"/>
      <c r="BG163" s="304"/>
      <c r="BH163" s="304"/>
      <c r="BI163" s="305"/>
    </row>
    <row r="164" spans="1:61" s="143" customFormat="1" ht="15">
      <c r="A164" s="228"/>
      <c r="P164" s="142"/>
      <c r="Q164" s="142"/>
      <c r="R164" s="142"/>
      <c r="S164" s="142"/>
      <c r="T164" s="142"/>
      <c r="U164" s="142"/>
      <c r="V164" s="142"/>
      <c r="W164" s="145"/>
      <c r="X164" s="145"/>
      <c r="Y164" s="145"/>
      <c r="Z164" s="145"/>
      <c r="AA164" s="145"/>
      <c r="AB164" s="145"/>
      <c r="AC164" s="145"/>
      <c r="AD164" s="145"/>
      <c r="AE164" s="145"/>
      <c r="AF164" s="145"/>
      <c r="AG164" s="430">
        <f>SUM($AP164:$BI164)</f>
        <v>0</v>
      </c>
      <c r="AH164" s="431">
        <f>AG164/90</f>
        <v>0</v>
      </c>
      <c r="AI164" s="432">
        <f t="shared" si="52"/>
        <v>0</v>
      </c>
      <c r="AJ164" s="433"/>
      <c r="AK164" s="242"/>
      <c r="AL164" s="242"/>
      <c r="AM164" s="242"/>
      <c r="AN164" s="446"/>
      <c r="AO164" s="242"/>
      <c r="AP164" s="442">
        <f>COUNTIF($B$11:$H$11,"30")</f>
        <v>0</v>
      </c>
      <c r="AQ164" s="435">
        <f>COUNTIF($B$14:$H$14,"30")</f>
        <v>0</v>
      </c>
      <c r="AR164" s="435">
        <f>COUNTIF($B$17:$H$17,"30")</f>
        <v>0</v>
      </c>
      <c r="AS164" s="435">
        <f>COUNTIF($B$20:$H$20,"30")</f>
        <v>0</v>
      </c>
      <c r="AT164" s="436">
        <f>COUNTIF($B$23:$H$23,"30")</f>
        <v>0</v>
      </c>
      <c r="AU164" s="437">
        <f>COUNTIF($B$32:$H$32,"30")</f>
        <v>0</v>
      </c>
      <c r="AV164" s="438">
        <f>COUNTIF($B$35:$H$35,"30")</f>
        <v>0</v>
      </c>
      <c r="AW164" s="304">
        <f>COUNTIF($B$38:$H$38,"30")</f>
        <v>0</v>
      </c>
      <c r="AX164" s="304">
        <f>COUNTIF($B$41:$H$41,"30")</f>
        <v>0</v>
      </c>
      <c r="AY164" s="305">
        <f>COUNTIF($B$44:$H$44,"30")</f>
        <v>0</v>
      </c>
      <c r="AZ164" s="306">
        <f>COUNTIF($B$53:$H$53,"30")</f>
        <v>0</v>
      </c>
      <c r="BA164" s="301">
        <f>COUNTIF($B$56:$H$56,"30")</f>
        <v>0</v>
      </c>
      <c r="BB164" s="301">
        <f>COUNTIF($B$59:$H$59,"30")</f>
        <v>0</v>
      </c>
      <c r="BC164" s="301">
        <f>COUNTIF($B$62:$H$62,"30")</f>
        <v>0</v>
      </c>
      <c r="BD164" s="302">
        <f>COUNTIF($B$65:$H$65,"30")</f>
        <v>0</v>
      </c>
      <c r="BE164" s="303">
        <f>COUNTIF($B$74:$H$74,"30")</f>
        <v>0</v>
      </c>
      <c r="BF164" s="304">
        <f>COUNTIF($B$77:$H$77,"30")</f>
        <v>0</v>
      </c>
      <c r="BG164" s="304">
        <f>COUNTIF($B$80:$H$80,"30")</f>
        <v>0</v>
      </c>
      <c r="BH164" s="304">
        <f>COUNTIF($B$83:$H$83,"30")</f>
        <v>0</v>
      </c>
      <c r="BI164" s="305">
        <f>COUNTIF($B$86:$H$86,"30")</f>
        <v>0</v>
      </c>
    </row>
    <row r="165" spans="1:61" s="143" customFormat="1" ht="25.5">
      <c r="A165" s="228"/>
      <c r="P165" s="142"/>
      <c r="Q165" s="142"/>
      <c r="R165" s="142"/>
      <c r="S165" s="142"/>
      <c r="T165" s="142"/>
      <c r="U165" s="142"/>
      <c r="V165" s="142"/>
      <c r="W165" s="145"/>
      <c r="X165" s="145"/>
      <c r="Y165" s="145"/>
      <c r="Z165" s="145"/>
      <c r="AA165" s="145"/>
      <c r="AB165" s="145"/>
      <c r="AC165" s="145"/>
      <c r="AD165" s="145"/>
      <c r="AE165" s="145"/>
      <c r="AF165" s="145"/>
      <c r="AG165" s="439" t="s">
        <v>201</v>
      </c>
      <c r="AH165" s="440">
        <v>31</v>
      </c>
      <c r="AI165" s="432"/>
      <c r="AJ165" s="433"/>
      <c r="AK165" s="242"/>
      <c r="AL165" s="242"/>
      <c r="AM165" s="242"/>
      <c r="AN165" s="446"/>
      <c r="AO165" s="242"/>
      <c r="AP165" s="434" t="s">
        <v>302</v>
      </c>
      <c r="AQ165" s="435"/>
      <c r="AR165" s="435"/>
      <c r="AS165" s="435"/>
      <c r="AT165" s="436"/>
      <c r="AU165" s="437"/>
      <c r="AV165" s="438"/>
      <c r="AW165" s="304"/>
      <c r="AX165" s="304"/>
      <c r="AY165" s="305"/>
      <c r="AZ165" s="300" t="s">
        <v>302</v>
      </c>
      <c r="BA165" s="301"/>
      <c r="BB165" s="301"/>
      <c r="BC165" s="301"/>
      <c r="BD165" s="302"/>
      <c r="BE165" s="303"/>
      <c r="BF165" s="304"/>
      <c r="BG165" s="304"/>
      <c r="BH165" s="304"/>
      <c r="BI165" s="305"/>
    </row>
    <row r="166" spans="1:61" s="143" customFormat="1" ht="15">
      <c r="A166" s="228"/>
      <c r="P166" s="142"/>
      <c r="Q166" s="142"/>
      <c r="R166" s="142"/>
      <c r="S166" s="142"/>
      <c r="T166" s="142"/>
      <c r="U166" s="142"/>
      <c r="V166" s="142"/>
      <c r="W166" s="145"/>
      <c r="X166" s="145"/>
      <c r="Y166" s="145"/>
      <c r="Z166" s="145"/>
      <c r="AA166" s="145"/>
      <c r="AB166" s="145"/>
      <c r="AC166" s="145"/>
      <c r="AD166" s="145"/>
      <c r="AE166" s="145"/>
      <c r="AF166" s="145"/>
      <c r="AG166" s="430">
        <f>SUM($AP166:$BI166)</f>
        <v>0</v>
      </c>
      <c r="AH166" s="431">
        <f>AG166/90</f>
        <v>0</v>
      </c>
      <c r="AI166" s="432">
        <f t="shared" si="52"/>
        <v>0</v>
      </c>
      <c r="AJ166" s="433"/>
      <c r="AK166" s="242"/>
      <c r="AL166" s="242"/>
      <c r="AM166" s="242"/>
      <c r="AN166" s="446"/>
      <c r="AO166" s="242"/>
      <c r="AP166" s="442">
        <f>COUNTIF($B$11:$H$11,"31")</f>
        <v>0</v>
      </c>
      <c r="AQ166" s="435">
        <f>COUNTIF($B$14:$H$14,"31")</f>
        <v>0</v>
      </c>
      <c r="AR166" s="435">
        <f>COUNTIF($B$17:$H$17,"31")</f>
        <v>0</v>
      </c>
      <c r="AS166" s="435">
        <f>COUNTIF($B$20:$H$20,"31")</f>
        <v>0</v>
      </c>
      <c r="AT166" s="436">
        <f>COUNTIF($B$23:$H$23,"31")</f>
        <v>0</v>
      </c>
      <c r="AU166" s="437">
        <f>COUNTIF($B$32:$H$32,"31")</f>
        <v>0</v>
      </c>
      <c r="AV166" s="438">
        <f>COUNTIF($B$35:$H$35,"31")</f>
        <v>0</v>
      </c>
      <c r="AW166" s="304">
        <f>COUNTIF($B$38:$H$38,"31")</f>
        <v>0</v>
      </c>
      <c r="AX166" s="304">
        <f>COUNTIF($B$41:$H$41,"31")</f>
        <v>0</v>
      </c>
      <c r="AY166" s="305">
        <f>COUNTIF($B$44:$H$44,"31")</f>
        <v>0</v>
      </c>
      <c r="AZ166" s="306">
        <f>COUNTIF($B$53:$H$53,"31")</f>
        <v>0</v>
      </c>
      <c r="BA166" s="301">
        <f>COUNTIF($B$56:$H$56,"31")</f>
        <v>0</v>
      </c>
      <c r="BB166" s="301">
        <f>COUNTIF($B$59:$H$59,"31")</f>
        <v>0</v>
      </c>
      <c r="BC166" s="301">
        <f>COUNTIF($B$62:$H$62,"31")</f>
        <v>0</v>
      </c>
      <c r="BD166" s="302">
        <f>COUNTIF($B$65:$H$65,"31")</f>
        <v>0</v>
      </c>
      <c r="BE166" s="303">
        <f>COUNTIF($B$74:$H$74,"31")</f>
        <v>0</v>
      </c>
      <c r="BF166" s="304">
        <f>COUNTIF($B$77:$H$77,"31")</f>
        <v>0</v>
      </c>
      <c r="BG166" s="304">
        <f>COUNTIF($B$80:$H$80,"31")</f>
        <v>0</v>
      </c>
      <c r="BH166" s="304">
        <f>COUNTIF($B$83:$H$83,"31")</f>
        <v>0</v>
      </c>
      <c r="BI166" s="305">
        <f>COUNTIF($B$86:$H$86,"31")</f>
        <v>0</v>
      </c>
    </row>
    <row r="167" spans="1:61" s="143" customFormat="1" ht="25.5">
      <c r="A167" s="228"/>
      <c r="P167" s="142"/>
      <c r="Q167" s="142"/>
      <c r="R167" s="142"/>
      <c r="S167" s="142"/>
      <c r="T167" s="142"/>
      <c r="U167" s="142"/>
      <c r="V167" s="142"/>
      <c r="W167" s="145"/>
      <c r="X167" s="145"/>
      <c r="Y167" s="145"/>
      <c r="Z167" s="145"/>
      <c r="AA167" s="145"/>
      <c r="AB167" s="145"/>
      <c r="AC167" s="145"/>
      <c r="AD167" s="145"/>
      <c r="AE167" s="145"/>
      <c r="AF167" s="145"/>
      <c r="AG167" s="439" t="s">
        <v>202</v>
      </c>
      <c r="AH167" s="440">
        <v>32</v>
      </c>
      <c r="AI167" s="432"/>
      <c r="AJ167" s="433"/>
      <c r="AK167" s="242"/>
      <c r="AL167" s="242"/>
      <c r="AM167" s="242"/>
      <c r="AN167" s="446"/>
      <c r="AO167" s="242"/>
      <c r="AP167" s="434" t="s">
        <v>303</v>
      </c>
      <c r="AQ167" s="435"/>
      <c r="AR167" s="435"/>
      <c r="AS167" s="435"/>
      <c r="AT167" s="436"/>
      <c r="AU167" s="437"/>
      <c r="AV167" s="438"/>
      <c r="AW167" s="304"/>
      <c r="AX167" s="304"/>
      <c r="AY167" s="305"/>
      <c r="AZ167" s="300" t="s">
        <v>303</v>
      </c>
      <c r="BA167" s="301"/>
      <c r="BB167" s="301"/>
      <c r="BC167" s="301"/>
      <c r="BD167" s="302"/>
      <c r="BE167" s="303"/>
      <c r="BF167" s="304"/>
      <c r="BG167" s="304"/>
      <c r="BH167" s="304"/>
      <c r="BI167" s="305"/>
    </row>
    <row r="168" spans="1:61" s="143" customFormat="1" ht="15">
      <c r="A168" s="228"/>
      <c r="P168" s="142"/>
      <c r="Q168" s="142"/>
      <c r="R168" s="142"/>
      <c r="S168" s="142"/>
      <c r="T168" s="142"/>
      <c r="U168" s="142"/>
      <c r="V168" s="142"/>
      <c r="W168" s="145"/>
      <c r="X168" s="145"/>
      <c r="Y168" s="145"/>
      <c r="Z168" s="145"/>
      <c r="AA168" s="145"/>
      <c r="AB168" s="145"/>
      <c r="AC168" s="145"/>
      <c r="AD168" s="145"/>
      <c r="AE168" s="145"/>
      <c r="AF168" s="145"/>
      <c r="AG168" s="430">
        <f>SUM($AP168:$BI168)</f>
        <v>0</v>
      </c>
      <c r="AH168" s="431">
        <f>AG168/90</f>
        <v>0</v>
      </c>
      <c r="AI168" s="432">
        <f t="shared" si="52"/>
        <v>0</v>
      </c>
      <c r="AJ168" s="433"/>
      <c r="AK168" s="242"/>
      <c r="AL168" s="242"/>
      <c r="AM168" s="242"/>
      <c r="AN168" s="446"/>
      <c r="AO168" s="242"/>
      <c r="AP168" s="442">
        <f>COUNTIF($B$11:$H$11,"32")</f>
        <v>0</v>
      </c>
      <c r="AQ168" s="435">
        <f>COUNTIF($B$14:$H$14,"32")</f>
        <v>0</v>
      </c>
      <c r="AR168" s="435">
        <f>COUNTIF($B$17:$H$17,"32")</f>
        <v>0</v>
      </c>
      <c r="AS168" s="435">
        <f>COUNTIF($B$20:$H$20,"32")</f>
        <v>0</v>
      </c>
      <c r="AT168" s="436">
        <f>COUNTIF($B$23:$H$23,"32")</f>
        <v>0</v>
      </c>
      <c r="AU168" s="437">
        <f>COUNTIF($B$32:$H$32,"32")</f>
        <v>0</v>
      </c>
      <c r="AV168" s="438">
        <f>COUNTIF($B$35:$H$35,"35")</f>
        <v>0</v>
      </c>
      <c r="AW168" s="304">
        <f>COUNTIF($B$38:$H$38,"32")</f>
        <v>0</v>
      </c>
      <c r="AX168" s="304">
        <f>COUNTIF($B$41:$H$41,"32")</f>
        <v>0</v>
      </c>
      <c r="AY168" s="305">
        <f>COUNTIF($B$44:$H$44,"32")</f>
        <v>0</v>
      </c>
      <c r="AZ168" s="306">
        <f>COUNTIF($B$53:$H$53,"32")</f>
        <v>0</v>
      </c>
      <c r="BA168" s="301">
        <f>COUNTIF($B$56:$H$56,"32")</f>
        <v>0</v>
      </c>
      <c r="BB168" s="301">
        <f>COUNTIF($B$59:$H$59,"32")</f>
        <v>0</v>
      </c>
      <c r="BC168" s="301">
        <f>COUNTIF($B$62:$H$62,"32")</f>
        <v>0</v>
      </c>
      <c r="BD168" s="302">
        <f>COUNTIF($B$65:$H$65,"32")</f>
        <v>0</v>
      </c>
      <c r="BE168" s="303">
        <f>COUNTIF($B$74:$H$74,"74")</f>
        <v>0</v>
      </c>
      <c r="BF168" s="304">
        <f>COUNTIF($B$77:$H$77,"77")</f>
        <v>0</v>
      </c>
      <c r="BG168" s="304">
        <f>COUNTIF($B$80:$H$80,"32")</f>
        <v>0</v>
      </c>
      <c r="BH168" s="304">
        <f>COUNTIF($B$83:$H$83,"32")</f>
        <v>0</v>
      </c>
      <c r="BI168" s="305">
        <f>COUNTIF($B$86:$H$86,"32")</f>
        <v>0</v>
      </c>
    </row>
    <row r="169" spans="1:61" s="143" customFormat="1" ht="25.5">
      <c r="A169" s="228"/>
      <c r="P169" s="142"/>
      <c r="Q169" s="142"/>
      <c r="R169" s="142"/>
      <c r="S169" s="142"/>
      <c r="T169" s="142"/>
      <c r="U169" s="142"/>
      <c r="V169" s="142"/>
      <c r="W169" s="145"/>
      <c r="X169" s="145"/>
      <c r="Y169" s="145"/>
      <c r="Z169" s="145"/>
      <c r="AA169" s="145"/>
      <c r="AB169" s="145"/>
      <c r="AC169" s="145"/>
      <c r="AD169" s="145"/>
      <c r="AE169" s="145"/>
      <c r="AF169" s="145"/>
      <c r="AG169" s="439" t="s">
        <v>203</v>
      </c>
      <c r="AH169" s="440">
        <v>33</v>
      </c>
      <c r="AI169" s="432"/>
      <c r="AJ169" s="433"/>
      <c r="AK169" s="242"/>
      <c r="AL169" s="242"/>
      <c r="AM169" s="242"/>
      <c r="AN169" s="446"/>
      <c r="AO169" s="242"/>
      <c r="AP169" s="434" t="s">
        <v>304</v>
      </c>
      <c r="AQ169" s="435"/>
      <c r="AR169" s="435"/>
      <c r="AS169" s="435"/>
      <c r="AT169" s="436"/>
      <c r="AU169" s="437"/>
      <c r="AV169" s="438"/>
      <c r="AW169" s="304"/>
      <c r="AX169" s="304"/>
      <c r="AY169" s="305"/>
      <c r="AZ169" s="300" t="s">
        <v>304</v>
      </c>
      <c r="BA169" s="301"/>
      <c r="BB169" s="301"/>
      <c r="BC169" s="301"/>
      <c r="BD169" s="302"/>
      <c r="BE169" s="303"/>
      <c r="BF169" s="304"/>
      <c r="BG169" s="304"/>
      <c r="BH169" s="304"/>
      <c r="BI169" s="305"/>
    </row>
    <row r="170" spans="1:61" s="143" customFormat="1" ht="15">
      <c r="A170" s="228"/>
      <c r="P170" s="142"/>
      <c r="Q170" s="142"/>
      <c r="R170" s="142"/>
      <c r="S170" s="142"/>
      <c r="T170" s="142"/>
      <c r="U170" s="142"/>
      <c r="V170" s="142"/>
      <c r="W170" s="145"/>
      <c r="X170" s="145"/>
      <c r="Y170" s="145"/>
      <c r="Z170" s="145"/>
      <c r="AA170" s="145"/>
      <c r="AB170" s="145"/>
      <c r="AC170" s="145"/>
      <c r="AD170" s="145"/>
      <c r="AE170" s="145"/>
      <c r="AF170" s="145"/>
      <c r="AG170" s="430">
        <f>SUM($AP170:$BI170)</f>
        <v>0</v>
      </c>
      <c r="AH170" s="431">
        <f>AG170/90</f>
        <v>0</v>
      </c>
      <c r="AI170" s="432">
        <f t="shared" si="52"/>
        <v>0</v>
      </c>
      <c r="AJ170" s="433"/>
      <c r="AK170" s="242"/>
      <c r="AL170" s="242"/>
      <c r="AM170" s="242"/>
      <c r="AN170" s="446"/>
      <c r="AO170" s="242"/>
      <c r="AP170" s="442">
        <f>COUNTIF($B$11:$H$11,"33")</f>
        <v>0</v>
      </c>
      <c r="AQ170" s="435">
        <f>COUNTIF($B$14:$H$14,"33")</f>
        <v>0</v>
      </c>
      <c r="AR170" s="435">
        <f>COUNTIF($B$17:$H$17,"33")</f>
        <v>0</v>
      </c>
      <c r="AS170" s="435">
        <f>COUNTIF($B$20:$H$20,"33")</f>
        <v>0</v>
      </c>
      <c r="AT170" s="436">
        <f>COUNTIF($B$23:$H$23,"33")</f>
        <v>0</v>
      </c>
      <c r="AU170" s="437">
        <f>COUNTIF($B$32:$H$32,"33")</f>
        <v>0</v>
      </c>
      <c r="AV170" s="438">
        <f>COUNTIF($B$35:$H$35,"33")</f>
        <v>0</v>
      </c>
      <c r="AW170" s="304">
        <f>COUNTIF($B$38:$H$38,"33")</f>
        <v>0</v>
      </c>
      <c r="AX170" s="304">
        <f>COUNTIF($B$41:$H$41,"33")</f>
        <v>0</v>
      </c>
      <c r="AY170" s="305">
        <f>COUNTIF($B$44:$H$44,"33")</f>
        <v>0</v>
      </c>
      <c r="AZ170" s="306">
        <f>COUNTIF($B$53:$H$53,"33")</f>
        <v>0</v>
      </c>
      <c r="BA170" s="301">
        <f>COUNTIF($B$56:$H$56,"33")</f>
        <v>0</v>
      </c>
      <c r="BB170" s="301">
        <f>COUNTIF($B$59:$H$59,"33")</f>
        <v>0</v>
      </c>
      <c r="BC170" s="301">
        <f>COUNTIF($B$62:$H$62,"33")</f>
        <v>0</v>
      </c>
      <c r="BD170" s="302">
        <f>COUNTIF($B$65:$H$65,"33")</f>
        <v>0</v>
      </c>
      <c r="BE170" s="303">
        <f>COUNTIF($B$74:$H$74,"33")</f>
        <v>0</v>
      </c>
      <c r="BF170" s="304">
        <f>COUNTIF($B$77:$H$77,"33")</f>
        <v>0</v>
      </c>
      <c r="BG170" s="304">
        <f>COUNTIF($B$80:$H$80,"33")</f>
        <v>0</v>
      </c>
      <c r="BH170" s="304">
        <f>COUNTIF($B$83:$H$83,"33")</f>
        <v>0</v>
      </c>
      <c r="BI170" s="305">
        <f>COUNTIF($B$86:$H$86,"33")</f>
        <v>0</v>
      </c>
    </row>
    <row r="171" spans="1:61" s="143" customFormat="1" ht="25.5">
      <c r="A171" s="228"/>
      <c r="P171" s="142"/>
      <c r="Q171" s="142"/>
      <c r="R171" s="142"/>
      <c r="S171" s="142"/>
      <c r="T171" s="142"/>
      <c r="U171" s="142"/>
      <c r="V171" s="142"/>
      <c r="W171" s="145"/>
      <c r="X171" s="145"/>
      <c r="Y171" s="145"/>
      <c r="Z171" s="145"/>
      <c r="AA171" s="145"/>
      <c r="AB171" s="145"/>
      <c r="AC171" s="145"/>
      <c r="AD171" s="145"/>
      <c r="AE171" s="145"/>
      <c r="AF171" s="145"/>
      <c r="AG171" s="439" t="s">
        <v>204</v>
      </c>
      <c r="AH171" s="440">
        <v>34</v>
      </c>
      <c r="AI171" s="432"/>
      <c r="AJ171" s="433"/>
      <c r="AK171" s="242"/>
      <c r="AL171" s="242"/>
      <c r="AM171" s="242"/>
      <c r="AN171" s="446"/>
      <c r="AO171" s="242"/>
      <c r="AP171" s="434" t="s">
        <v>305</v>
      </c>
      <c r="AQ171" s="435"/>
      <c r="AR171" s="435"/>
      <c r="AS171" s="435"/>
      <c r="AT171" s="436"/>
      <c r="AU171" s="437"/>
      <c r="AV171" s="438"/>
      <c r="AW171" s="304"/>
      <c r="AX171" s="304"/>
      <c r="AY171" s="305"/>
      <c r="AZ171" s="300" t="s">
        <v>305</v>
      </c>
      <c r="BA171" s="301"/>
      <c r="BB171" s="301"/>
      <c r="BC171" s="301"/>
      <c r="BD171" s="302"/>
      <c r="BE171" s="303"/>
      <c r="BF171" s="304"/>
      <c r="BG171" s="304"/>
      <c r="BH171" s="304"/>
      <c r="BI171" s="305"/>
    </row>
    <row r="172" spans="1:61" s="143" customFormat="1" ht="15">
      <c r="A172" s="228"/>
      <c r="P172" s="142"/>
      <c r="Q172" s="142"/>
      <c r="R172" s="142"/>
      <c r="S172" s="142"/>
      <c r="T172" s="142"/>
      <c r="U172" s="142"/>
      <c r="V172" s="142"/>
      <c r="W172" s="145"/>
      <c r="X172" s="145"/>
      <c r="Y172" s="145"/>
      <c r="Z172" s="145"/>
      <c r="AA172" s="145"/>
      <c r="AB172" s="145"/>
      <c r="AC172" s="145"/>
      <c r="AD172" s="145"/>
      <c r="AE172" s="145"/>
      <c r="AF172" s="145"/>
      <c r="AG172" s="430">
        <f>SUM($AP172:$BI172)</f>
        <v>0</v>
      </c>
      <c r="AH172" s="431">
        <f>AG172/90</f>
        <v>0</v>
      </c>
      <c r="AI172" s="432">
        <f t="shared" ref="AI172:AI194" si="53">$AH171*$AG172*12</f>
        <v>0</v>
      </c>
      <c r="AJ172" s="433"/>
      <c r="AK172" s="242"/>
      <c r="AL172" s="242"/>
      <c r="AM172" s="242"/>
      <c r="AN172" s="446"/>
      <c r="AO172" s="242"/>
      <c r="AP172" s="442">
        <f>COUNTIF($B$11:$H$11,"34")</f>
        <v>0</v>
      </c>
      <c r="AQ172" s="435">
        <f>COUNTIF($B$14:$H$14,"34")</f>
        <v>0</v>
      </c>
      <c r="AR172" s="435">
        <f>COUNTIF($B$17:$H$17,"34")</f>
        <v>0</v>
      </c>
      <c r="AS172" s="435">
        <f>COUNTIF($B$20:$H$20,"34")</f>
        <v>0</v>
      </c>
      <c r="AT172" s="436">
        <f>COUNTIF($B$23:$H$23,"34")</f>
        <v>0</v>
      </c>
      <c r="AU172" s="437">
        <f>COUNTIF($B$32:$H$32,"34")</f>
        <v>0</v>
      </c>
      <c r="AV172" s="438">
        <f>COUNTIF($B$35:$H$35,"34")</f>
        <v>0</v>
      </c>
      <c r="AW172" s="304">
        <f>COUNTIF($B$38:$H$38,"34")</f>
        <v>0</v>
      </c>
      <c r="AX172" s="304">
        <f>COUNTIF($B$41:$H$41,"34")</f>
        <v>0</v>
      </c>
      <c r="AY172" s="305">
        <f>COUNTIF($B$44:$H$44,"34")</f>
        <v>0</v>
      </c>
      <c r="AZ172" s="306">
        <f>COUNTIF($B$53:$H$53,"34")</f>
        <v>0</v>
      </c>
      <c r="BA172" s="301">
        <f>COUNTIF($B$56:$H$56,"34")</f>
        <v>0</v>
      </c>
      <c r="BB172" s="301">
        <f>COUNTIF($B$59:$H$59,"34")</f>
        <v>0</v>
      </c>
      <c r="BC172" s="301">
        <f>COUNTIF($B$62:$H$62,"34")</f>
        <v>0</v>
      </c>
      <c r="BD172" s="302">
        <f>COUNTIF($B$65:$H$65,"34")</f>
        <v>0</v>
      </c>
      <c r="BE172" s="303">
        <f>COUNTIF($B$74:$H$74,"34")</f>
        <v>0</v>
      </c>
      <c r="BF172" s="304">
        <f>COUNTIF($B$77:$H$77,"34")</f>
        <v>0</v>
      </c>
      <c r="BG172" s="304">
        <f>COUNTIF($B$80:$H$80,"34")</f>
        <v>0</v>
      </c>
      <c r="BH172" s="304">
        <f>COUNTIF($B$83:$H$83,"34")</f>
        <v>0</v>
      </c>
      <c r="BI172" s="305">
        <f>COUNTIF($B$86:$H$86,"34")</f>
        <v>0</v>
      </c>
    </row>
    <row r="173" spans="1:61" s="143" customFormat="1" ht="25.5">
      <c r="A173" s="228"/>
      <c r="P173" s="142"/>
      <c r="Q173" s="142"/>
      <c r="R173" s="142"/>
      <c r="S173" s="142"/>
      <c r="T173" s="142"/>
      <c r="U173" s="142"/>
      <c r="V173" s="142"/>
      <c r="W173" s="145"/>
      <c r="X173" s="145"/>
      <c r="Y173" s="145"/>
      <c r="Z173" s="145"/>
      <c r="AA173" s="145"/>
      <c r="AB173" s="145"/>
      <c r="AC173" s="145"/>
      <c r="AD173" s="145"/>
      <c r="AE173" s="145"/>
      <c r="AF173" s="145"/>
      <c r="AG173" s="439" t="s">
        <v>205</v>
      </c>
      <c r="AH173" s="440">
        <v>35</v>
      </c>
      <c r="AI173" s="432"/>
      <c r="AJ173" s="433"/>
      <c r="AK173" s="242"/>
      <c r="AL173" s="242"/>
      <c r="AM173" s="242"/>
      <c r="AN173" s="446"/>
      <c r="AO173" s="242"/>
      <c r="AP173" s="434" t="s">
        <v>306</v>
      </c>
      <c r="AQ173" s="435"/>
      <c r="AR173" s="435"/>
      <c r="AS173" s="435"/>
      <c r="AT173" s="436"/>
      <c r="AU173" s="437"/>
      <c r="AV173" s="438"/>
      <c r="AW173" s="304"/>
      <c r="AX173" s="304"/>
      <c r="AY173" s="305"/>
      <c r="AZ173" s="300" t="s">
        <v>306</v>
      </c>
      <c r="BA173" s="301"/>
      <c r="BB173" s="301"/>
      <c r="BC173" s="301"/>
      <c r="BD173" s="302"/>
      <c r="BE173" s="303"/>
      <c r="BF173" s="304"/>
      <c r="BG173" s="304"/>
      <c r="BH173" s="304"/>
      <c r="BI173" s="305"/>
    </row>
    <row r="174" spans="1:61" s="143" customFormat="1" ht="15">
      <c r="A174" s="228"/>
      <c r="P174" s="142"/>
      <c r="Q174" s="142"/>
      <c r="R174" s="142"/>
      <c r="S174" s="142"/>
      <c r="T174" s="142"/>
      <c r="U174" s="142"/>
      <c r="V174" s="142"/>
      <c r="W174" s="145"/>
      <c r="X174" s="145"/>
      <c r="Y174" s="145"/>
      <c r="Z174" s="145"/>
      <c r="AA174" s="145"/>
      <c r="AB174" s="145"/>
      <c r="AC174" s="145"/>
      <c r="AD174" s="145"/>
      <c r="AE174" s="145"/>
      <c r="AF174" s="145"/>
      <c r="AG174" s="430">
        <f>SUM($AP174:$BI174)</f>
        <v>0</v>
      </c>
      <c r="AH174" s="431">
        <f>AG174/90</f>
        <v>0</v>
      </c>
      <c r="AI174" s="432">
        <f t="shared" si="53"/>
        <v>0</v>
      </c>
      <c r="AJ174" s="433"/>
      <c r="AK174" s="242"/>
      <c r="AL174" s="242"/>
      <c r="AM174" s="242"/>
      <c r="AN174" s="446"/>
      <c r="AO174" s="242"/>
      <c r="AP174" s="442">
        <f>COUNTIF($B$11:$H$11,"35")</f>
        <v>0</v>
      </c>
      <c r="AQ174" s="435">
        <f>COUNTIF($B$14:$H$14,"35")</f>
        <v>0</v>
      </c>
      <c r="AR174" s="435">
        <f>COUNTIF($B$17:$H$17,"35")</f>
        <v>0</v>
      </c>
      <c r="AS174" s="435">
        <f>COUNTIF($B$20:$H$20,"35")</f>
        <v>0</v>
      </c>
      <c r="AT174" s="436">
        <f>COUNTIF($B$23:$H$23,"35")</f>
        <v>0</v>
      </c>
      <c r="AU174" s="437">
        <f>COUNTIF($B$32:$H$32,"35")</f>
        <v>0</v>
      </c>
      <c r="AV174" s="438">
        <f>COUNTIF($B$35:$H$35,"35")</f>
        <v>0</v>
      </c>
      <c r="AW174" s="304">
        <f>COUNTIF($B$38:$H$38,"38")</f>
        <v>0</v>
      </c>
      <c r="AX174" s="304">
        <f>COUNTIF($B$41:$H$41,"35")</f>
        <v>0</v>
      </c>
      <c r="AY174" s="305">
        <f>COUNTIF($B$44:$H$44,"35")</f>
        <v>0</v>
      </c>
      <c r="AZ174" s="306">
        <f>COUNTIF($B$53:$H$53,"35")</f>
        <v>0</v>
      </c>
      <c r="BA174" s="301">
        <f>COUNTIF($B$56:$H$56,"35")</f>
        <v>0</v>
      </c>
      <c r="BB174" s="301">
        <f>COUNTIF($B$59:$H$59,"35")</f>
        <v>0</v>
      </c>
      <c r="BC174" s="301">
        <f>COUNTIF($B$62:$H$62,"35")</f>
        <v>0</v>
      </c>
      <c r="BD174" s="302">
        <f>COUNTIF($B$65:$H$65,"35")</f>
        <v>0</v>
      </c>
      <c r="BE174" s="303">
        <f>COUNTIF($B$74:$H$74,"35")</f>
        <v>0</v>
      </c>
      <c r="BF174" s="304">
        <f>COUNTIF($B$77:$H$77,"77")</f>
        <v>0</v>
      </c>
      <c r="BG174" s="304">
        <f>COUNTIF($B$80:$H$80,"80")</f>
        <v>0</v>
      </c>
      <c r="BH174" s="304">
        <f>COUNTIF($B$83:$H$83,"35")</f>
        <v>0</v>
      </c>
      <c r="BI174" s="305">
        <f>COUNTIF($B$86:$H$86,"35")</f>
        <v>0</v>
      </c>
    </row>
    <row r="175" spans="1:61" s="143" customFormat="1" ht="25.5">
      <c r="A175" s="228"/>
      <c r="P175" s="142"/>
      <c r="Q175" s="142"/>
      <c r="R175" s="142"/>
      <c r="S175" s="142"/>
      <c r="T175" s="142"/>
      <c r="U175" s="142"/>
      <c r="V175" s="142"/>
      <c r="W175" s="145"/>
      <c r="X175" s="145"/>
      <c r="Y175" s="145"/>
      <c r="Z175" s="145"/>
      <c r="AA175" s="145"/>
      <c r="AB175" s="145"/>
      <c r="AC175" s="145"/>
      <c r="AD175" s="145"/>
      <c r="AE175" s="145"/>
      <c r="AF175" s="145"/>
      <c r="AG175" s="439" t="s">
        <v>206</v>
      </c>
      <c r="AH175" s="440">
        <v>36</v>
      </c>
      <c r="AI175" s="432"/>
      <c r="AJ175" s="433"/>
      <c r="AK175" s="242"/>
      <c r="AL175" s="242"/>
      <c r="AM175" s="242"/>
      <c r="AN175" s="446"/>
      <c r="AO175" s="242"/>
      <c r="AP175" s="434" t="s">
        <v>307</v>
      </c>
      <c r="AQ175" s="435"/>
      <c r="AR175" s="435"/>
      <c r="AS175" s="435"/>
      <c r="AT175" s="436"/>
      <c r="AU175" s="437"/>
      <c r="AV175" s="438"/>
      <c r="AW175" s="304"/>
      <c r="AX175" s="304"/>
      <c r="AY175" s="305"/>
      <c r="AZ175" s="300" t="s">
        <v>307</v>
      </c>
      <c r="BA175" s="301"/>
      <c r="BB175" s="301"/>
      <c r="BC175" s="301"/>
      <c r="BD175" s="302"/>
      <c r="BE175" s="303"/>
      <c r="BF175" s="304"/>
      <c r="BG175" s="304"/>
      <c r="BH175" s="304"/>
      <c r="BI175" s="305"/>
    </row>
    <row r="176" spans="1:61" s="143" customFormat="1" ht="15">
      <c r="A176" s="228"/>
      <c r="P176" s="142"/>
      <c r="Q176" s="142"/>
      <c r="R176" s="142"/>
      <c r="S176" s="142"/>
      <c r="T176" s="142"/>
      <c r="U176" s="142"/>
      <c r="V176" s="142"/>
      <c r="W176" s="145"/>
      <c r="X176" s="145"/>
      <c r="Y176" s="145"/>
      <c r="Z176" s="145"/>
      <c r="AA176" s="145"/>
      <c r="AB176" s="145"/>
      <c r="AC176" s="145"/>
      <c r="AD176" s="145"/>
      <c r="AE176" s="145"/>
      <c r="AF176" s="145"/>
      <c r="AG176" s="430">
        <f>SUM($AP176:$BI176)</f>
        <v>0</v>
      </c>
      <c r="AH176" s="431">
        <f>AG176/90</f>
        <v>0</v>
      </c>
      <c r="AI176" s="432">
        <f t="shared" si="53"/>
        <v>0</v>
      </c>
      <c r="AJ176" s="433"/>
      <c r="AK176" s="242"/>
      <c r="AL176" s="242"/>
      <c r="AM176" s="242"/>
      <c r="AN176" s="446"/>
      <c r="AO176" s="242"/>
      <c r="AP176" s="442">
        <f>COUNTIF($B$11:$H$11,"36")</f>
        <v>0</v>
      </c>
      <c r="AQ176" s="435">
        <f>COUNTIF($B$14:$H$14,"36")</f>
        <v>0</v>
      </c>
      <c r="AR176" s="435">
        <f>COUNTIF($B$17:$H$17,"36")</f>
        <v>0</v>
      </c>
      <c r="AS176" s="435">
        <f>COUNTIF($B$20:$H$20,"36")</f>
        <v>0</v>
      </c>
      <c r="AT176" s="436">
        <f>COUNTIF($B$23:$H$23,"36")</f>
        <v>0</v>
      </c>
      <c r="AU176" s="437">
        <f>COUNTIF($B$32:$H$32,"36")</f>
        <v>0</v>
      </c>
      <c r="AV176" s="438">
        <f>COUNTIF($B$35:$H$35,"36")</f>
        <v>0</v>
      </c>
      <c r="AW176" s="304">
        <f>COUNTIF($B$38:$H$38,"36")</f>
        <v>0</v>
      </c>
      <c r="AX176" s="304">
        <f>COUNTIF($B$41:$H$41,"36")</f>
        <v>0</v>
      </c>
      <c r="AY176" s="305">
        <f>COUNTIF($B$44:$H$44,"36")</f>
        <v>0</v>
      </c>
      <c r="AZ176" s="306">
        <f>COUNTIF($B$53:$H$53,"36")</f>
        <v>0</v>
      </c>
      <c r="BA176" s="301">
        <f>COUNTIF($B$56:$H$56,"36")</f>
        <v>0</v>
      </c>
      <c r="BB176" s="301">
        <f>COUNTIF($B$59:$H$59,"36")</f>
        <v>0</v>
      </c>
      <c r="BC176" s="301">
        <f>COUNTIF($B$62:$H$62,"36")</f>
        <v>0</v>
      </c>
      <c r="BD176" s="302">
        <f>COUNTIF($B$65:$H$65,"36")</f>
        <v>0</v>
      </c>
      <c r="BE176" s="303">
        <f>COUNTIF($B$74:$H$74,"36")</f>
        <v>0</v>
      </c>
      <c r="BF176" s="304">
        <f>COUNTIF($B$77:$H$77,"36")</f>
        <v>0</v>
      </c>
      <c r="BG176" s="304">
        <f>COUNTIF($B$80:$H$80,"36")</f>
        <v>0</v>
      </c>
      <c r="BH176" s="304">
        <f>COUNTIF($B$83:$H$83,"36")</f>
        <v>0</v>
      </c>
      <c r="BI176" s="305">
        <f>COUNTIF($B$86:$H$86,"36")</f>
        <v>0</v>
      </c>
    </row>
    <row r="177" spans="1:61" s="143" customFormat="1" ht="25.5">
      <c r="A177" s="228"/>
      <c r="P177" s="142"/>
      <c r="Q177" s="142"/>
      <c r="R177" s="142"/>
      <c r="S177" s="142"/>
      <c r="T177" s="142"/>
      <c r="U177" s="142"/>
      <c r="V177" s="142"/>
      <c r="W177" s="145"/>
      <c r="X177" s="145"/>
      <c r="Y177" s="145"/>
      <c r="Z177" s="145"/>
      <c r="AA177" s="145"/>
      <c r="AB177" s="145"/>
      <c r="AC177" s="145"/>
      <c r="AD177" s="145"/>
      <c r="AE177" s="145"/>
      <c r="AF177" s="145"/>
      <c r="AG177" s="439" t="s">
        <v>207</v>
      </c>
      <c r="AH177" s="440">
        <v>37</v>
      </c>
      <c r="AI177" s="432"/>
      <c r="AJ177" s="433"/>
      <c r="AK177" s="242"/>
      <c r="AL177" s="242"/>
      <c r="AM177" s="242"/>
      <c r="AN177" s="446"/>
      <c r="AO177" s="242"/>
      <c r="AP177" s="434" t="s">
        <v>234</v>
      </c>
      <c r="AQ177" s="435"/>
      <c r="AR177" s="435"/>
      <c r="AS177" s="435"/>
      <c r="AT177" s="436"/>
      <c r="AU177" s="437"/>
      <c r="AV177" s="438"/>
      <c r="AW177" s="304"/>
      <c r="AX177" s="304"/>
      <c r="AY177" s="305"/>
      <c r="AZ177" s="300" t="s">
        <v>234</v>
      </c>
      <c r="BA177" s="301"/>
      <c r="BB177" s="301"/>
      <c r="BC177" s="301"/>
      <c r="BD177" s="302"/>
      <c r="BE177" s="303"/>
      <c r="BF177" s="304"/>
      <c r="BG177" s="304"/>
      <c r="BH177" s="304"/>
      <c r="BI177" s="305"/>
    </row>
    <row r="178" spans="1:61" s="143" customFormat="1" ht="15">
      <c r="A178" s="228"/>
      <c r="P178" s="142"/>
      <c r="Q178" s="142"/>
      <c r="R178" s="142"/>
      <c r="S178" s="142"/>
      <c r="T178" s="142"/>
      <c r="U178" s="142"/>
      <c r="V178" s="142"/>
      <c r="W178" s="145"/>
      <c r="X178" s="145"/>
      <c r="Y178" s="145"/>
      <c r="Z178" s="145"/>
      <c r="AA178" s="145"/>
      <c r="AB178" s="145"/>
      <c r="AC178" s="145"/>
      <c r="AD178" s="145"/>
      <c r="AE178" s="145"/>
      <c r="AF178" s="145"/>
      <c r="AG178" s="430">
        <f>SUM($AP178:$BI178)</f>
        <v>0</v>
      </c>
      <c r="AH178" s="431">
        <f>AG178/90</f>
        <v>0</v>
      </c>
      <c r="AI178" s="432">
        <f t="shared" si="53"/>
        <v>0</v>
      </c>
      <c r="AJ178" s="433"/>
      <c r="AK178" s="242"/>
      <c r="AL178" s="242"/>
      <c r="AM178" s="242"/>
      <c r="AN178" s="446"/>
      <c r="AO178" s="242"/>
      <c r="AP178" s="442">
        <f>COUNTIF($B$11:$H$11,"37")</f>
        <v>0</v>
      </c>
      <c r="AQ178" s="435">
        <f>COUNTIF($B$14:$H$14,"37")</f>
        <v>0</v>
      </c>
      <c r="AR178" s="435">
        <f>COUNTIF($B$17:$H$17,"37")</f>
        <v>0</v>
      </c>
      <c r="AS178" s="435">
        <f>COUNTIF($B$20:$H$20,"37")</f>
        <v>0</v>
      </c>
      <c r="AT178" s="436">
        <f>COUNTIF($B$23:$H$23,"37")</f>
        <v>0</v>
      </c>
      <c r="AU178" s="437">
        <f>COUNTIF($B$32:$H$32,"37")</f>
        <v>0</v>
      </c>
      <c r="AV178" s="438">
        <f>COUNTIF($B$35:$H$35,"37")</f>
        <v>0</v>
      </c>
      <c r="AW178" s="304">
        <f>COUNTIF($B$38:$H$38,"37")</f>
        <v>0</v>
      </c>
      <c r="AX178" s="304">
        <f>COUNTIF($B$41:$H$41,"37")</f>
        <v>0</v>
      </c>
      <c r="AY178" s="305">
        <f>COUNTIF($B$44:$H$44,"37")</f>
        <v>0</v>
      </c>
      <c r="AZ178" s="306">
        <f>COUNTIF($B$53:$H$53,"37")</f>
        <v>0</v>
      </c>
      <c r="BA178" s="301">
        <f>COUNTIF($B$56:$H$56,"37")</f>
        <v>0</v>
      </c>
      <c r="BB178" s="301">
        <f>COUNTIF($B$59:$H$59,"37")</f>
        <v>0</v>
      </c>
      <c r="BC178" s="301">
        <f>COUNTIF($B$62:$H$62,"37")</f>
        <v>0</v>
      </c>
      <c r="BD178" s="302">
        <f>COUNTIF($B$65:$H$65,"37")</f>
        <v>0</v>
      </c>
      <c r="BE178" s="303">
        <f>COUNTIF($B$74:$H$74,"37")</f>
        <v>0</v>
      </c>
      <c r="BF178" s="304">
        <f>COUNTIF($B$77:$H$77,"37")</f>
        <v>0</v>
      </c>
      <c r="BG178" s="304">
        <f>COUNTIF($B$80:$H$80,"37")</f>
        <v>0</v>
      </c>
      <c r="BH178" s="304">
        <f>COUNTIF($B$83:$H$83,"37")</f>
        <v>0</v>
      </c>
      <c r="BI178" s="305">
        <f>COUNTIF($B$86:$H$86,"37")</f>
        <v>0</v>
      </c>
    </row>
    <row r="179" spans="1:61" s="143" customFormat="1" ht="25.5">
      <c r="A179" s="228"/>
      <c r="P179" s="142"/>
      <c r="Q179" s="142"/>
      <c r="R179" s="142"/>
      <c r="S179" s="142"/>
      <c r="T179" s="142"/>
      <c r="U179" s="142"/>
      <c r="V179" s="142"/>
      <c r="W179" s="145"/>
      <c r="X179" s="145"/>
      <c r="Y179" s="145"/>
      <c r="Z179" s="145"/>
      <c r="AA179" s="145"/>
      <c r="AB179" s="145"/>
      <c r="AC179" s="145"/>
      <c r="AD179" s="145"/>
      <c r="AE179" s="145"/>
      <c r="AF179" s="145"/>
      <c r="AG179" s="439" t="s">
        <v>208</v>
      </c>
      <c r="AH179" s="440">
        <v>38</v>
      </c>
      <c r="AI179" s="432"/>
      <c r="AJ179" s="433"/>
      <c r="AK179" s="242"/>
      <c r="AL179" s="242"/>
      <c r="AM179" s="242"/>
      <c r="AN179" s="446"/>
      <c r="AO179" s="242"/>
      <c r="AP179" s="434" t="s">
        <v>235</v>
      </c>
      <c r="AQ179" s="435"/>
      <c r="AR179" s="435"/>
      <c r="AS179" s="435"/>
      <c r="AT179" s="436"/>
      <c r="AU179" s="437"/>
      <c r="AV179" s="438"/>
      <c r="AW179" s="304"/>
      <c r="AX179" s="304"/>
      <c r="AY179" s="305"/>
      <c r="AZ179" s="300" t="s">
        <v>235</v>
      </c>
      <c r="BA179" s="301"/>
      <c r="BB179" s="301"/>
      <c r="BC179" s="301"/>
      <c r="BD179" s="302"/>
      <c r="BE179" s="303"/>
      <c r="BF179" s="304"/>
      <c r="BG179" s="304"/>
      <c r="BH179" s="304"/>
      <c r="BI179" s="305"/>
    </row>
    <row r="180" spans="1:61" s="143" customFormat="1" ht="15">
      <c r="A180" s="228"/>
      <c r="P180" s="142"/>
      <c r="Q180" s="142"/>
      <c r="R180" s="142"/>
      <c r="S180" s="142"/>
      <c r="T180" s="142"/>
      <c r="U180" s="142"/>
      <c r="V180" s="142"/>
      <c r="W180" s="145"/>
      <c r="X180" s="145"/>
      <c r="Y180" s="145"/>
      <c r="Z180" s="145"/>
      <c r="AA180" s="145"/>
      <c r="AB180" s="145"/>
      <c r="AC180" s="145"/>
      <c r="AD180" s="145"/>
      <c r="AE180" s="145"/>
      <c r="AF180" s="145"/>
      <c r="AG180" s="430">
        <f>SUM($AP180:$BI180)</f>
        <v>0</v>
      </c>
      <c r="AH180" s="431">
        <f>AG180/90</f>
        <v>0</v>
      </c>
      <c r="AI180" s="432">
        <f t="shared" si="53"/>
        <v>0</v>
      </c>
      <c r="AJ180" s="433"/>
      <c r="AK180" s="242"/>
      <c r="AL180" s="242"/>
      <c r="AM180" s="242"/>
      <c r="AN180" s="446"/>
      <c r="AO180" s="242"/>
      <c r="AP180" s="442">
        <f>COUNTIF($B$11:$H$11,"38")</f>
        <v>0</v>
      </c>
      <c r="AQ180" s="435">
        <f>COUNTIF($B$14:$H$14,"38")</f>
        <v>0</v>
      </c>
      <c r="AR180" s="435">
        <f>COUNTIF($B$17:$H$17,"38")</f>
        <v>0</v>
      </c>
      <c r="AS180" s="435">
        <f>COUNTIF($B$20:$H$20,"38")</f>
        <v>0</v>
      </c>
      <c r="AT180" s="436">
        <f>COUNTIF($B$23:$H$23,"38")</f>
        <v>0</v>
      </c>
      <c r="AU180" s="437">
        <f>COUNTIF($B$32:$H$32,"38")</f>
        <v>0</v>
      </c>
      <c r="AV180" s="438">
        <f>COUNTIF($B$35:$H$35,"38")</f>
        <v>0</v>
      </c>
      <c r="AW180" s="304">
        <f>COUNTIF($B$38:$H$38,"38")</f>
        <v>0</v>
      </c>
      <c r="AX180" s="304">
        <f>COUNTIF($B$41:$H$41,"41")</f>
        <v>0</v>
      </c>
      <c r="AY180" s="305">
        <f>COUNTIF($B$44:$H$44,"38")</f>
        <v>0</v>
      </c>
      <c r="AZ180" s="306">
        <f>COUNTIF($B$53:$H$53,"38")</f>
        <v>0</v>
      </c>
      <c r="BA180" s="301">
        <f>COUNTIF($B$56:$H$56,"38")</f>
        <v>0</v>
      </c>
      <c r="BB180" s="301">
        <f>COUNTIF($B$59:$H$59,"38")</f>
        <v>0</v>
      </c>
      <c r="BC180" s="301">
        <f>COUNTIF($B$62:$H$62,"38")</f>
        <v>0</v>
      </c>
      <c r="BD180" s="302">
        <f>COUNTIF($B$65:$H$65,"38")</f>
        <v>0</v>
      </c>
      <c r="BE180" s="303">
        <f>COUNTIF($B$74:$H$74,"38")</f>
        <v>0</v>
      </c>
      <c r="BF180" s="304">
        <f>COUNTIF($B$77:$H$77,"38")</f>
        <v>0</v>
      </c>
      <c r="BG180" s="304">
        <f>COUNTIF($B$80:$H$80,"80")</f>
        <v>0</v>
      </c>
      <c r="BH180" s="304">
        <f>COUNTIF($B$83:$H$83,"83")</f>
        <v>0</v>
      </c>
      <c r="BI180" s="305">
        <f>COUNTIF($B$86:$H$86,"38")</f>
        <v>0</v>
      </c>
    </row>
    <row r="181" spans="1:61" s="143" customFormat="1" ht="25.5">
      <c r="A181" s="228"/>
      <c r="P181" s="142"/>
      <c r="Q181" s="142"/>
      <c r="R181" s="142"/>
      <c r="S181" s="142"/>
      <c r="T181" s="142"/>
      <c r="U181" s="142"/>
      <c r="V181" s="142"/>
      <c r="W181" s="145"/>
      <c r="X181" s="145"/>
      <c r="Y181" s="145"/>
      <c r="Z181" s="145"/>
      <c r="AA181" s="145"/>
      <c r="AB181" s="145"/>
      <c r="AC181" s="145"/>
      <c r="AD181" s="145"/>
      <c r="AE181" s="145"/>
      <c r="AF181" s="145"/>
      <c r="AG181" s="439" t="s">
        <v>209</v>
      </c>
      <c r="AH181" s="440">
        <v>39</v>
      </c>
      <c r="AI181" s="432"/>
      <c r="AJ181" s="433"/>
      <c r="AK181" s="242"/>
      <c r="AL181" s="242"/>
      <c r="AM181" s="242"/>
      <c r="AN181" s="446"/>
      <c r="AO181" s="242"/>
      <c r="AP181" s="434" t="s">
        <v>236</v>
      </c>
      <c r="AQ181" s="435"/>
      <c r="AR181" s="435"/>
      <c r="AS181" s="435"/>
      <c r="AT181" s="436"/>
      <c r="AU181" s="437"/>
      <c r="AV181" s="438"/>
      <c r="AW181" s="304"/>
      <c r="AX181" s="304"/>
      <c r="AY181" s="305"/>
      <c r="AZ181" s="300" t="s">
        <v>236</v>
      </c>
      <c r="BA181" s="301"/>
      <c r="BB181" s="301"/>
      <c r="BC181" s="301"/>
      <c r="BD181" s="302"/>
      <c r="BE181" s="303"/>
      <c r="BF181" s="304"/>
      <c r="BG181" s="304"/>
      <c r="BH181" s="304"/>
      <c r="BI181" s="305"/>
    </row>
    <row r="182" spans="1:61" s="143" customFormat="1" ht="15">
      <c r="A182" s="228"/>
      <c r="P182" s="142"/>
      <c r="Q182" s="142"/>
      <c r="R182" s="142"/>
      <c r="S182" s="142"/>
      <c r="T182" s="142"/>
      <c r="U182" s="142"/>
      <c r="V182" s="142"/>
      <c r="W182" s="145"/>
      <c r="X182" s="145"/>
      <c r="Y182" s="145"/>
      <c r="Z182" s="145"/>
      <c r="AA182" s="145"/>
      <c r="AB182" s="145"/>
      <c r="AC182" s="145"/>
      <c r="AD182" s="145"/>
      <c r="AE182" s="145"/>
      <c r="AF182" s="145"/>
      <c r="AG182" s="430">
        <f>SUM($AP182:$BI182)</f>
        <v>0</v>
      </c>
      <c r="AH182" s="431">
        <f>AG182/90</f>
        <v>0</v>
      </c>
      <c r="AI182" s="432">
        <f t="shared" si="53"/>
        <v>0</v>
      </c>
      <c r="AJ182" s="433"/>
      <c r="AK182" s="242"/>
      <c r="AL182" s="242"/>
      <c r="AM182" s="242"/>
      <c r="AN182" s="446"/>
      <c r="AO182" s="242"/>
      <c r="AP182" s="442">
        <f>COUNTIF($B$11:$H$11,"39")</f>
        <v>0</v>
      </c>
      <c r="AQ182" s="435">
        <f>COUNTIF($B$14:$H$14,"39")</f>
        <v>0</v>
      </c>
      <c r="AR182" s="435">
        <f>COUNTIF($B$17:$H$17,"39")</f>
        <v>0</v>
      </c>
      <c r="AS182" s="435">
        <f>COUNTIF($B$20:$H$20,"39")</f>
        <v>0</v>
      </c>
      <c r="AT182" s="436">
        <f>COUNTIF($B$23:$H$23,"39")</f>
        <v>0</v>
      </c>
      <c r="AU182" s="437">
        <f>COUNTIF($B$32:$H$32,"39")</f>
        <v>0</v>
      </c>
      <c r="AV182" s="438">
        <f>COUNTIF($B$35:$H$35,"39")</f>
        <v>0</v>
      </c>
      <c r="AW182" s="304">
        <f>COUNTIF($B$38:$H$38,"39")</f>
        <v>0</v>
      </c>
      <c r="AX182" s="304">
        <f>COUNTIF($B$41:$H$41,"39")</f>
        <v>0</v>
      </c>
      <c r="AY182" s="305">
        <f>COUNTIF($B$44:$H$44,"39")</f>
        <v>0</v>
      </c>
      <c r="AZ182" s="306">
        <f>COUNTIF($B$53:$H$53,"39")</f>
        <v>0</v>
      </c>
      <c r="BA182" s="301">
        <f>COUNTIF($B$56:$H$56,"39")</f>
        <v>0</v>
      </c>
      <c r="BB182" s="301">
        <f>COUNTIF($B$59:$H$59,"39")</f>
        <v>0</v>
      </c>
      <c r="BC182" s="301">
        <f>COUNTIF($B$62:$H$62,"39")</f>
        <v>0</v>
      </c>
      <c r="BD182" s="302">
        <f>COUNTIF($B$65:$H$65,"39")</f>
        <v>0</v>
      </c>
      <c r="BE182" s="303">
        <f>COUNTIF($B$74:$H$74,"39")</f>
        <v>0</v>
      </c>
      <c r="BF182" s="304">
        <f>COUNTIF($B$77:$H$77,"39")</f>
        <v>0</v>
      </c>
      <c r="BG182" s="304">
        <f>COUNTIF($B$80:$H$80,"39")</f>
        <v>0</v>
      </c>
      <c r="BH182" s="304">
        <f>COUNTIF($B$83:$H$83,"39")</f>
        <v>0</v>
      </c>
      <c r="BI182" s="305">
        <f>COUNTIF($B$86:$H$86,"39")</f>
        <v>0</v>
      </c>
    </row>
    <row r="183" spans="1:61" s="143" customFormat="1" ht="25.5">
      <c r="A183" s="228"/>
      <c r="P183" s="142"/>
      <c r="Q183" s="142"/>
      <c r="R183" s="142"/>
      <c r="S183" s="142"/>
      <c r="T183" s="142"/>
      <c r="U183" s="142"/>
      <c r="V183" s="142"/>
      <c r="W183" s="145"/>
      <c r="X183" s="145"/>
      <c r="Y183" s="145"/>
      <c r="Z183" s="145"/>
      <c r="AA183" s="145"/>
      <c r="AB183" s="145"/>
      <c r="AC183" s="145"/>
      <c r="AD183" s="145"/>
      <c r="AE183" s="145"/>
      <c r="AF183" s="145"/>
      <c r="AG183" s="439" t="s">
        <v>308</v>
      </c>
      <c r="AH183" s="440">
        <v>40</v>
      </c>
      <c r="AI183" s="432"/>
      <c r="AJ183" s="433"/>
      <c r="AK183" s="242"/>
      <c r="AL183" s="242"/>
      <c r="AM183" s="242"/>
      <c r="AN183" s="446"/>
      <c r="AO183" s="242"/>
      <c r="AP183" s="434" t="s">
        <v>237</v>
      </c>
      <c r="AQ183" s="435"/>
      <c r="AR183" s="435"/>
      <c r="AS183" s="435"/>
      <c r="AT183" s="436"/>
      <c r="AU183" s="437"/>
      <c r="AV183" s="438"/>
      <c r="AW183" s="304"/>
      <c r="AX183" s="304"/>
      <c r="AY183" s="305"/>
      <c r="AZ183" s="300" t="s">
        <v>237</v>
      </c>
      <c r="BA183" s="301"/>
      <c r="BB183" s="301"/>
      <c r="BC183" s="301"/>
      <c r="BD183" s="302"/>
      <c r="BE183" s="303"/>
      <c r="BF183" s="304"/>
      <c r="BG183" s="304"/>
      <c r="BH183" s="304"/>
      <c r="BI183" s="305"/>
    </row>
    <row r="184" spans="1:61" s="143" customFormat="1" ht="15">
      <c r="A184" s="228"/>
      <c r="P184" s="142"/>
      <c r="Q184" s="142"/>
      <c r="R184" s="142"/>
      <c r="S184" s="142"/>
      <c r="T184" s="142"/>
      <c r="U184" s="142"/>
      <c r="V184" s="142"/>
      <c r="W184" s="145"/>
      <c r="X184" s="145"/>
      <c r="Y184" s="145"/>
      <c r="Z184" s="145"/>
      <c r="AA184" s="145"/>
      <c r="AB184" s="145"/>
      <c r="AC184" s="145"/>
      <c r="AD184" s="145"/>
      <c r="AE184" s="145"/>
      <c r="AF184" s="145"/>
      <c r="AG184" s="430">
        <f>SUM($AP184:$BI184)</f>
        <v>0</v>
      </c>
      <c r="AH184" s="431">
        <f>AG184/90</f>
        <v>0</v>
      </c>
      <c r="AI184" s="432">
        <f t="shared" si="53"/>
        <v>0</v>
      </c>
      <c r="AJ184" s="433"/>
      <c r="AK184" s="242"/>
      <c r="AL184" s="242"/>
      <c r="AM184" s="242"/>
      <c r="AN184" s="446"/>
      <c r="AO184" s="242"/>
      <c r="AP184" s="442">
        <f>COUNTIF($B$11:$H$11,"40")</f>
        <v>0</v>
      </c>
      <c r="AQ184" s="435">
        <f>COUNTIF($B$14:$H$14,"40")</f>
        <v>0</v>
      </c>
      <c r="AR184" s="435">
        <f>COUNTIF($B$17:$H$17,"40")</f>
        <v>0</v>
      </c>
      <c r="AS184" s="435">
        <f>COUNTIF($B$20:$H$20,"40")</f>
        <v>0</v>
      </c>
      <c r="AT184" s="436">
        <f>COUNTIF($B$23:$H$23,"40")</f>
        <v>0</v>
      </c>
      <c r="AU184" s="437">
        <f>COUNTIF($B$32:$H$32,"40")</f>
        <v>0</v>
      </c>
      <c r="AV184" s="438">
        <f>COUNTIF($B$35:$H$35,"40")</f>
        <v>0</v>
      </c>
      <c r="AW184" s="304">
        <f>COUNTIF($B$38:$H$38,"40")</f>
        <v>0</v>
      </c>
      <c r="AX184" s="304">
        <f>COUNTIF($B$41:$H$41,"40")</f>
        <v>0</v>
      </c>
      <c r="AY184" s="305">
        <f>COUNTIF($B$44:$H$44,"40")</f>
        <v>0</v>
      </c>
      <c r="AZ184" s="306">
        <f>COUNTIF($B$53:$H$53,"40")</f>
        <v>0</v>
      </c>
      <c r="BA184" s="301">
        <f>COUNTIF($B$56:$H$56,"40")</f>
        <v>0</v>
      </c>
      <c r="BB184" s="301">
        <f>COUNTIF($B$59:$H$59,"40")</f>
        <v>0</v>
      </c>
      <c r="BC184" s="301">
        <f>COUNTIF($B$62:$H$62,"40")</f>
        <v>0</v>
      </c>
      <c r="BD184" s="302">
        <f>COUNTIF($B$65:$H$65,"40")</f>
        <v>0</v>
      </c>
      <c r="BE184" s="303">
        <f>COUNTIF($B$74:$H$74,"40")</f>
        <v>0</v>
      </c>
      <c r="BF184" s="304">
        <f>COUNTIF($B$77:$H$77,"40")</f>
        <v>0</v>
      </c>
      <c r="BG184" s="304">
        <f>COUNTIF($B$80:$H$80,"40")</f>
        <v>0</v>
      </c>
      <c r="BH184" s="304">
        <f>COUNTIF($B$83:$H$83,"40")</f>
        <v>0</v>
      </c>
      <c r="BI184" s="305">
        <f>COUNTIF($B$86:$H$86,"40")</f>
        <v>0</v>
      </c>
    </row>
    <row r="185" spans="1:61" ht="25.5">
      <c r="A185" s="227"/>
      <c r="W185" s="353"/>
      <c r="X185" s="322"/>
      <c r="Y185" s="405"/>
      <c r="Z185" s="405"/>
      <c r="AA185" s="145"/>
      <c r="AB185" s="405"/>
      <c r="AC185" s="405"/>
      <c r="AD185" s="405"/>
      <c r="AE185" s="405"/>
      <c r="AF185" s="405"/>
      <c r="AG185" s="423" t="s">
        <v>309</v>
      </c>
      <c r="AH185" s="424">
        <v>41</v>
      </c>
      <c r="AI185" s="411"/>
      <c r="AJ185" s="417"/>
      <c r="AK185" s="397"/>
      <c r="AL185" s="397"/>
      <c r="AM185" s="397"/>
      <c r="AN185" s="447"/>
      <c r="AO185" s="397"/>
      <c r="AP185" s="425" t="s">
        <v>51</v>
      </c>
      <c r="AQ185" s="426"/>
      <c r="AR185" s="426"/>
      <c r="AS185" s="426"/>
      <c r="AT185" s="427"/>
      <c r="AU185" s="428"/>
      <c r="AV185" s="429"/>
      <c r="AW185" s="261"/>
      <c r="AX185" s="261"/>
      <c r="AY185" s="262"/>
      <c r="AZ185" s="257" t="s">
        <v>51</v>
      </c>
      <c r="BA185" s="258"/>
      <c r="BB185" s="258"/>
      <c r="BC185" s="258"/>
      <c r="BD185" s="259"/>
      <c r="BE185" s="260"/>
      <c r="BF185" s="261"/>
      <c r="BG185" s="261"/>
      <c r="BH185" s="261"/>
      <c r="BI185" s="262"/>
    </row>
    <row r="186" spans="1:61" ht="15">
      <c r="A186" s="227"/>
      <c r="W186" s="353"/>
      <c r="X186" s="322"/>
      <c r="Y186" s="405"/>
      <c r="Z186" s="405"/>
      <c r="AA186" s="145"/>
      <c r="AB186" s="405"/>
      <c r="AC186" s="405"/>
      <c r="AD186" s="405"/>
      <c r="AE186" s="405"/>
      <c r="AF186" s="405"/>
      <c r="AG186" s="415">
        <f>SUM($AP186:$BI186)</f>
        <v>0</v>
      </c>
      <c r="AH186" s="416">
        <f>AG186/90</f>
        <v>0</v>
      </c>
      <c r="AI186" s="411">
        <f t="shared" si="53"/>
        <v>0</v>
      </c>
      <c r="AJ186" s="417"/>
      <c r="AK186" s="397"/>
      <c r="AL186" s="397"/>
      <c r="AM186" s="397"/>
      <c r="AN186" s="447"/>
      <c r="AO186" s="397"/>
      <c r="AP186" s="448">
        <f>COUNTIF($B$11:$H$11,"41")</f>
        <v>0</v>
      </c>
      <c r="AQ186" s="426">
        <f>COUNTIF($B$14:$H$14,"41")</f>
        <v>0</v>
      </c>
      <c r="AR186" s="426">
        <f>COUNTIF($B$17:$H$17,"41")</f>
        <v>0</v>
      </c>
      <c r="AS186" s="426">
        <f>COUNTIF($B$20:$H$20,"41")</f>
        <v>0</v>
      </c>
      <c r="AT186" s="427">
        <f>COUNTIF($B$23:$H$23,"41")</f>
        <v>0</v>
      </c>
      <c r="AU186" s="428">
        <f>COUNTIF($B$32:$H$32,"41")</f>
        <v>0</v>
      </c>
      <c r="AV186" s="429">
        <f>COUNTIF($B$35:$H$35,"41")</f>
        <v>0</v>
      </c>
      <c r="AW186" s="261">
        <f>COUNTIF($B$38:$H$38,"41")</f>
        <v>0</v>
      </c>
      <c r="AX186" s="261">
        <f>COUNTIF($B$41:$H$41,"41")</f>
        <v>0</v>
      </c>
      <c r="AY186" s="262">
        <f>COUNTIF($B$44:$H$44,"44")</f>
        <v>0</v>
      </c>
      <c r="AZ186" s="263">
        <f>COUNTIF($B$53:$H$53,"41")</f>
        <v>0</v>
      </c>
      <c r="BA186" s="258">
        <f>COUNTIF($B$56:$H$56,"41")</f>
        <v>0</v>
      </c>
      <c r="BB186" s="258">
        <f>COUNTIF($B$59:$H$59,"41")</f>
        <v>0</v>
      </c>
      <c r="BC186" s="258">
        <f>COUNTIF($B$62:$H$62,"41")</f>
        <v>0</v>
      </c>
      <c r="BD186" s="259">
        <f>COUNTIF($B$65:$H$65,"41")</f>
        <v>0</v>
      </c>
      <c r="BE186" s="260">
        <f>COUNTIF($B$74:$H$74,"41")</f>
        <v>0</v>
      </c>
      <c r="BF186" s="261">
        <f>COUNTIF($B$77:$H$77,"41")</f>
        <v>0</v>
      </c>
      <c r="BG186" s="261">
        <f>COUNTIF($B$80:$H$80,"41")</f>
        <v>0</v>
      </c>
      <c r="BH186" s="261">
        <f>COUNTIF($B$83:$H$83,"83")</f>
        <v>0</v>
      </c>
      <c r="BI186" s="262">
        <f>COUNTIF($B$86:$H$86,"86")</f>
        <v>0</v>
      </c>
    </row>
    <row r="187" spans="1:61" ht="25.5">
      <c r="A187" s="227"/>
      <c r="W187" s="353"/>
      <c r="X187" s="322"/>
      <c r="Y187" s="405"/>
      <c r="Z187" s="405"/>
      <c r="AA187" s="145"/>
      <c r="AB187" s="405"/>
      <c r="AC187" s="405"/>
      <c r="AD187" s="405"/>
      <c r="AE187" s="405"/>
      <c r="AF187" s="405"/>
      <c r="AG187" s="423" t="s">
        <v>310</v>
      </c>
      <c r="AH187" s="424">
        <v>42</v>
      </c>
      <c r="AI187" s="411"/>
      <c r="AJ187" s="417"/>
      <c r="AK187" s="397"/>
      <c r="AL187" s="397"/>
      <c r="AM187" s="397"/>
      <c r="AN187" s="447"/>
      <c r="AO187" s="397"/>
      <c r="AP187" s="425" t="s">
        <v>52</v>
      </c>
      <c r="AQ187" s="426"/>
      <c r="AR187" s="426"/>
      <c r="AS187" s="426"/>
      <c r="AT187" s="427"/>
      <c r="AU187" s="428"/>
      <c r="AV187" s="429"/>
      <c r="AW187" s="261"/>
      <c r="AX187" s="261"/>
      <c r="AY187" s="262"/>
      <c r="AZ187" s="257" t="s">
        <v>52</v>
      </c>
      <c r="BA187" s="258"/>
      <c r="BB187" s="258"/>
      <c r="BC187" s="258"/>
      <c r="BD187" s="259"/>
      <c r="BE187" s="260"/>
      <c r="BF187" s="261"/>
      <c r="BG187" s="261"/>
      <c r="BH187" s="261"/>
      <c r="BI187" s="262"/>
    </row>
    <row r="188" spans="1:61" ht="15">
      <c r="A188" s="227"/>
      <c r="W188" s="353"/>
      <c r="X188" s="322"/>
      <c r="Y188" s="405"/>
      <c r="Z188" s="405"/>
      <c r="AA188" s="145"/>
      <c r="AB188" s="405"/>
      <c r="AC188" s="405"/>
      <c r="AD188" s="405"/>
      <c r="AE188" s="405"/>
      <c r="AF188" s="405"/>
      <c r="AG188" s="415">
        <f>SUM($AP184:$BI184)</f>
        <v>0</v>
      </c>
      <c r="AH188" s="416">
        <f>AG184/90</f>
        <v>0</v>
      </c>
      <c r="AI188" s="411">
        <f t="shared" si="53"/>
        <v>0</v>
      </c>
      <c r="AJ188" s="417"/>
      <c r="AK188" s="397"/>
      <c r="AL188" s="397"/>
      <c r="AM188" s="397"/>
      <c r="AN188" s="447"/>
      <c r="AO188" s="397"/>
      <c r="AP188" s="448">
        <f>COUNTIF($B$11:$H$11,"42")</f>
        <v>0</v>
      </c>
      <c r="AQ188" s="426">
        <f>COUNTIF($B$14:$H$14,"42")</f>
        <v>0</v>
      </c>
      <c r="AR188" s="426">
        <f>COUNTIF($B$17:$H$17,"42")</f>
        <v>0</v>
      </c>
      <c r="AS188" s="426">
        <f>COUNTIF($B$20:$H$20,"42")</f>
        <v>0</v>
      </c>
      <c r="AT188" s="427">
        <f>COUNTIF($B$23:$H$23,"42")</f>
        <v>0</v>
      </c>
      <c r="AU188" s="428">
        <f>COUNTIF($B$32:$H$32,"42")</f>
        <v>0</v>
      </c>
      <c r="AV188" s="429">
        <f>COUNTIF($B$35:$H$35,"42")</f>
        <v>0</v>
      </c>
      <c r="AW188" s="261">
        <f>COUNTIF($B$38:$H$38,"42")</f>
        <v>0</v>
      </c>
      <c r="AX188" s="261">
        <f>COUNTIF($B$41:$H$41,"42")</f>
        <v>0</v>
      </c>
      <c r="AY188" s="262">
        <f>COUNTIF($B$44:$H$44,"42")</f>
        <v>0</v>
      </c>
      <c r="AZ188" s="263">
        <f>COUNTIF($B$53:$H$53,"42")</f>
        <v>0</v>
      </c>
      <c r="BA188" s="258">
        <f>COUNTIF($B$56:$H$56,"42")</f>
        <v>0</v>
      </c>
      <c r="BB188" s="258">
        <f>COUNTIF($B$59:$H$59,"42")</f>
        <v>0</v>
      </c>
      <c r="BC188" s="258">
        <f>COUNTIF($B$62:$H$62,"42")</f>
        <v>0</v>
      </c>
      <c r="BD188" s="259">
        <f>COUNTIF($B$65:$H$65,"42")</f>
        <v>0</v>
      </c>
      <c r="BE188" s="260">
        <f>COUNTIF($B$74:$H$74,"42")</f>
        <v>0</v>
      </c>
      <c r="BF188" s="261">
        <f>COUNTIF($B$77:$H$77,"42")</f>
        <v>0</v>
      </c>
      <c r="BG188" s="261">
        <f>COUNTIF($B$80:$H$80,"42")</f>
        <v>0</v>
      </c>
      <c r="BH188" s="261">
        <f>COUNTIF($B$83:$H$83,"42")</f>
        <v>0</v>
      </c>
      <c r="BI188" s="262">
        <f>COUNTIF($B$86:$H$86,"42")</f>
        <v>0</v>
      </c>
    </row>
    <row r="189" spans="1:61" ht="25.5">
      <c r="A189" s="227"/>
      <c r="W189" s="353"/>
      <c r="X189" s="322"/>
      <c r="Y189" s="405"/>
      <c r="Z189" s="405"/>
      <c r="AA189" s="145"/>
      <c r="AB189" s="405"/>
      <c r="AC189" s="405"/>
      <c r="AD189" s="405"/>
      <c r="AE189" s="405"/>
      <c r="AF189" s="405"/>
      <c r="AG189" s="423" t="s">
        <v>311</v>
      </c>
      <c r="AH189" s="424">
        <v>43</v>
      </c>
      <c r="AI189" s="411"/>
      <c r="AJ189" s="417"/>
      <c r="AK189" s="397"/>
      <c r="AL189" s="397"/>
      <c r="AM189" s="397"/>
      <c r="AN189" s="447"/>
      <c r="AO189" s="397"/>
      <c r="AP189" s="425" t="s">
        <v>53</v>
      </c>
      <c r="AQ189" s="426"/>
      <c r="AR189" s="426"/>
      <c r="AS189" s="426"/>
      <c r="AT189" s="427"/>
      <c r="AU189" s="428"/>
      <c r="AV189" s="429"/>
      <c r="AW189" s="261"/>
      <c r="AX189" s="261"/>
      <c r="AY189" s="262"/>
      <c r="AZ189" s="257" t="s">
        <v>53</v>
      </c>
      <c r="BA189" s="258"/>
      <c r="BB189" s="258"/>
      <c r="BC189" s="258"/>
      <c r="BD189" s="259"/>
      <c r="BE189" s="260"/>
      <c r="BF189" s="261"/>
      <c r="BG189" s="261"/>
      <c r="BH189" s="261"/>
      <c r="BI189" s="262"/>
    </row>
    <row r="190" spans="1:61" ht="15">
      <c r="A190" s="227"/>
      <c r="W190" s="353"/>
      <c r="X190" s="322"/>
      <c r="Y190" s="405"/>
      <c r="Z190" s="405"/>
      <c r="AA190" s="145"/>
      <c r="AB190" s="405"/>
      <c r="AC190" s="405"/>
      <c r="AD190" s="405"/>
      <c r="AE190" s="405"/>
      <c r="AF190" s="405"/>
      <c r="AG190" s="415">
        <f>SUM($AP190:$BI190)</f>
        <v>0</v>
      </c>
      <c r="AH190" s="416">
        <f>AG190/90</f>
        <v>0</v>
      </c>
      <c r="AI190" s="411">
        <f t="shared" si="53"/>
        <v>0</v>
      </c>
      <c r="AJ190" s="417"/>
      <c r="AK190" s="397"/>
      <c r="AL190" s="397"/>
      <c r="AM190" s="397"/>
      <c r="AN190" s="447"/>
      <c r="AO190" s="397"/>
      <c r="AP190" s="448">
        <f>COUNTIF($B$11:$H$11,"43")</f>
        <v>0</v>
      </c>
      <c r="AQ190" s="426">
        <f>COUNTIF($B$14:$H$14,"43")</f>
        <v>0</v>
      </c>
      <c r="AR190" s="426">
        <f>COUNTIF($B$17:$H$17,"43")</f>
        <v>0</v>
      </c>
      <c r="AS190" s="426">
        <f>COUNTIF($B$20:$H$20,"43")</f>
        <v>0</v>
      </c>
      <c r="AT190" s="427">
        <f>COUNTIF($B$23:$H$23,"43")</f>
        <v>0</v>
      </c>
      <c r="AU190" s="428">
        <f>COUNTIF($B$32:$H$32,"43")</f>
        <v>0</v>
      </c>
      <c r="AV190" s="429">
        <f>COUNTIF($B$35:$H$35,"43")</f>
        <v>0</v>
      </c>
      <c r="AW190" s="261">
        <f>COUNTIF($B$38:$H$38,"43")</f>
        <v>0</v>
      </c>
      <c r="AX190" s="261">
        <f>COUNTIF($B$41:$H$41,"43")</f>
        <v>0</v>
      </c>
      <c r="AY190" s="262">
        <f>COUNTIF($B$44:$H$44,"43")</f>
        <v>0</v>
      </c>
      <c r="AZ190" s="263">
        <f>COUNTIF($B$53:$H$53,"43")</f>
        <v>0</v>
      </c>
      <c r="BA190" s="258">
        <f>COUNTIF($B$56:$H$56,"43")</f>
        <v>0</v>
      </c>
      <c r="BB190" s="258">
        <f>COUNTIF($B$59:$H$59,"43")</f>
        <v>0</v>
      </c>
      <c r="BC190" s="258">
        <f>COUNTIF($B$62:$H$62,"43")</f>
        <v>0</v>
      </c>
      <c r="BD190" s="259">
        <f>COUNTIF($B$65:$H$65,"43")</f>
        <v>0</v>
      </c>
      <c r="BE190" s="260">
        <f>COUNTIF($B$74:$H$74,"43")</f>
        <v>0</v>
      </c>
      <c r="BF190" s="261">
        <f>COUNTIF($B$77:$H$77,"43")</f>
        <v>0</v>
      </c>
      <c r="BG190" s="261">
        <f>COUNTIF($B$80:$H$80,"43")</f>
        <v>0</v>
      </c>
      <c r="BH190" s="261">
        <f>COUNTIF($B$83:$H$83,"43")</f>
        <v>0</v>
      </c>
      <c r="BI190" s="262">
        <f>COUNTIF($B$86:$H$86,"43")</f>
        <v>0</v>
      </c>
    </row>
    <row r="191" spans="1:61" ht="25.5">
      <c r="A191" s="227"/>
      <c r="W191" s="353"/>
      <c r="X191" s="322"/>
      <c r="Y191" s="405"/>
      <c r="Z191" s="405"/>
      <c r="AA191" s="145"/>
      <c r="AB191" s="405"/>
      <c r="AC191" s="405"/>
      <c r="AD191" s="405"/>
      <c r="AE191" s="405"/>
      <c r="AF191" s="405"/>
      <c r="AG191" s="423" t="s">
        <v>122</v>
      </c>
      <c r="AH191" s="424">
        <v>44</v>
      </c>
      <c r="AI191" s="411"/>
      <c r="AJ191" s="417"/>
      <c r="AK191" s="397"/>
      <c r="AL191" s="397"/>
      <c r="AM191" s="397"/>
      <c r="AN191" s="447"/>
      <c r="AO191" s="397"/>
      <c r="AP191" s="425" t="s">
        <v>54</v>
      </c>
      <c r="AQ191" s="426"/>
      <c r="AR191" s="426"/>
      <c r="AS191" s="426"/>
      <c r="AT191" s="427"/>
      <c r="AU191" s="428"/>
      <c r="AV191" s="429"/>
      <c r="AW191" s="261"/>
      <c r="AX191" s="261"/>
      <c r="AY191" s="262"/>
      <c r="AZ191" s="257" t="s">
        <v>54</v>
      </c>
      <c r="BA191" s="258"/>
      <c r="BB191" s="258"/>
      <c r="BC191" s="258"/>
      <c r="BD191" s="259"/>
      <c r="BE191" s="260"/>
      <c r="BF191" s="261"/>
      <c r="BG191" s="261"/>
      <c r="BH191" s="261"/>
      <c r="BI191" s="262"/>
    </row>
    <row r="192" spans="1:61" ht="15">
      <c r="A192" s="227"/>
      <c r="W192" s="353"/>
      <c r="X192" s="322"/>
      <c r="Y192" s="405"/>
      <c r="Z192" s="405"/>
      <c r="AA192" s="145"/>
      <c r="AB192" s="405"/>
      <c r="AC192" s="405"/>
      <c r="AD192" s="405"/>
      <c r="AE192" s="405"/>
      <c r="AF192" s="405"/>
      <c r="AG192" s="415">
        <f>SUM($AP192:$BI192)</f>
        <v>0</v>
      </c>
      <c r="AH192" s="416">
        <f>AG192/90</f>
        <v>0</v>
      </c>
      <c r="AI192" s="411">
        <f t="shared" si="53"/>
        <v>0</v>
      </c>
      <c r="AJ192" s="417"/>
      <c r="AK192" s="397"/>
      <c r="AL192" s="397"/>
      <c r="AM192" s="397"/>
      <c r="AN192" s="447"/>
      <c r="AO192" s="397"/>
      <c r="AP192" s="448">
        <f>COUNTIF($B$11:$H$11,"44")</f>
        <v>0</v>
      </c>
      <c r="AQ192" s="426">
        <f>COUNTIF($B$14:$H$14,"44")</f>
        <v>0</v>
      </c>
      <c r="AR192" s="426">
        <f>COUNTIF($B$17:$H$17,"44")</f>
        <v>0</v>
      </c>
      <c r="AS192" s="426">
        <f>COUNTIF($B$20:$H$20,"44")</f>
        <v>0</v>
      </c>
      <c r="AT192" s="427">
        <f>COUNTIF($B$23:$H$23,"44")</f>
        <v>0</v>
      </c>
      <c r="AU192" s="428">
        <f>COUNTIF($B$32:$H$32,"44")</f>
        <v>0</v>
      </c>
      <c r="AV192" s="429">
        <f>COUNTIF($B$35:$H$35,"44")</f>
        <v>0</v>
      </c>
      <c r="AW192" s="261">
        <f>COUNTIF($B$38:$H$38,"44")</f>
        <v>0</v>
      </c>
      <c r="AX192" s="261">
        <f>COUNTIF($B$41:$H$41,"44")</f>
        <v>0</v>
      </c>
      <c r="AY192" s="262">
        <f>COUNTIF($B$44:$H$44,"44")</f>
        <v>0</v>
      </c>
      <c r="AZ192" s="263">
        <f>COUNTIF($B$53:$H$53,"44")</f>
        <v>0</v>
      </c>
      <c r="BA192" s="258">
        <f>COUNTIF($B$56:$H$56,"44")</f>
        <v>0</v>
      </c>
      <c r="BB192" s="258">
        <f>COUNTIF($B$59:$H$59,"44")</f>
        <v>0</v>
      </c>
      <c r="BC192" s="258">
        <f>COUNTIF($B$62:$H$62,"44")</f>
        <v>0</v>
      </c>
      <c r="BD192" s="259">
        <f>COUNTIF($B$65:$H$65,"44")</f>
        <v>0</v>
      </c>
      <c r="BE192" s="260">
        <f>COUNTIF($B$74:$H$74,"44")</f>
        <v>0</v>
      </c>
      <c r="BF192" s="261">
        <f>COUNTIF($B$77:$H$77,"44")</f>
        <v>0</v>
      </c>
      <c r="BG192" s="261">
        <f>COUNTIF($B$80:$H$80,"44")</f>
        <v>0</v>
      </c>
      <c r="BH192" s="261">
        <f>COUNTIF($B$83:$H$83,"86")</f>
        <v>0</v>
      </c>
      <c r="BI192" s="262">
        <f>COUNTIF($B$86:$H$86,"86")</f>
        <v>0</v>
      </c>
    </row>
    <row r="193" spans="1:145" ht="25.5">
      <c r="A193" s="227"/>
      <c r="W193" s="353"/>
      <c r="X193" s="322"/>
      <c r="Y193" s="405"/>
      <c r="Z193" s="405"/>
      <c r="AA193" s="145"/>
      <c r="AB193" s="405"/>
      <c r="AC193" s="405"/>
      <c r="AD193" s="405"/>
      <c r="AE193" s="405"/>
      <c r="AF193" s="405"/>
      <c r="AG193" s="423" t="s">
        <v>123</v>
      </c>
      <c r="AH193" s="424">
        <v>45</v>
      </c>
      <c r="AI193" s="411"/>
      <c r="AJ193" s="417"/>
      <c r="AK193" s="397"/>
      <c r="AL193" s="397"/>
      <c r="AM193" s="397"/>
      <c r="AN193" s="447"/>
      <c r="AO193" s="397"/>
      <c r="AP193" s="425" t="s">
        <v>55</v>
      </c>
      <c r="AQ193" s="426"/>
      <c r="AR193" s="426"/>
      <c r="AS193" s="426"/>
      <c r="AT193" s="427"/>
      <c r="AU193" s="428"/>
      <c r="AV193" s="429"/>
      <c r="AW193" s="261"/>
      <c r="AX193" s="261"/>
      <c r="AY193" s="262"/>
      <c r="AZ193" s="257" t="s">
        <v>55</v>
      </c>
      <c r="BA193" s="258"/>
      <c r="BB193" s="258"/>
      <c r="BC193" s="258"/>
      <c r="BD193" s="259"/>
      <c r="BE193" s="260"/>
      <c r="BF193" s="261"/>
      <c r="BG193" s="261"/>
      <c r="BH193" s="261"/>
      <c r="BI193" s="262"/>
    </row>
    <row r="194" spans="1:145" ht="15">
      <c r="A194" s="227"/>
      <c r="W194" s="353"/>
      <c r="X194" s="322"/>
      <c r="Y194" s="405"/>
      <c r="Z194" s="405"/>
      <c r="AA194" s="145"/>
      <c r="AB194" s="405"/>
      <c r="AC194" s="405"/>
      <c r="AD194" s="405"/>
      <c r="AE194" s="405"/>
      <c r="AF194" s="405"/>
      <c r="AG194" s="415">
        <f>SUM($AP194:$BI194)</f>
        <v>0</v>
      </c>
      <c r="AH194" s="416">
        <f>AG194/90</f>
        <v>0</v>
      </c>
      <c r="AI194" s="411">
        <f t="shared" si="53"/>
        <v>0</v>
      </c>
      <c r="AJ194" s="417"/>
      <c r="AK194" s="397"/>
      <c r="AL194" s="397"/>
      <c r="AM194" s="397"/>
      <c r="AN194" s="447"/>
      <c r="AO194" s="397"/>
      <c r="AP194" s="448">
        <f>COUNTIF($B$11:$H$11,"45")</f>
        <v>0</v>
      </c>
      <c r="AQ194" s="426">
        <f>COUNTIF($B$14:$H$14,"45")</f>
        <v>0</v>
      </c>
      <c r="AR194" s="426">
        <f>COUNTIF($B$17:$H$17,"45")</f>
        <v>0</v>
      </c>
      <c r="AS194" s="426">
        <f>COUNTIF($B$20:$H$20,"45")</f>
        <v>0</v>
      </c>
      <c r="AT194" s="427">
        <f>COUNTIF($B$23:$H$23,"45")</f>
        <v>0</v>
      </c>
      <c r="AU194" s="428">
        <f>COUNTIF($B$32:$H$32,"45")</f>
        <v>0</v>
      </c>
      <c r="AV194" s="429">
        <f>COUNTIF($B$35:$H$35,"45")</f>
        <v>0</v>
      </c>
      <c r="AW194" s="261">
        <f>COUNTIF($B$38:$H$38,"45")</f>
        <v>0</v>
      </c>
      <c r="AX194" s="261">
        <f>COUNTIF($B$41:$H$41,"45")</f>
        <v>0</v>
      </c>
      <c r="AY194" s="262">
        <f>COUNTIF($B$44:$H$44,"45")</f>
        <v>0</v>
      </c>
      <c r="AZ194" s="263">
        <f>COUNTIF($B$53:$H$53,"45")</f>
        <v>0</v>
      </c>
      <c r="BA194" s="258">
        <f>COUNTIF($B$56:$H$56,"45")</f>
        <v>0</v>
      </c>
      <c r="BB194" s="258">
        <f>COUNTIF($B$59:$H$59,"45")</f>
        <v>0</v>
      </c>
      <c r="BC194" s="258">
        <f>COUNTIF($B$62:$H$62,"45")</f>
        <v>0</v>
      </c>
      <c r="BD194" s="259">
        <f>COUNTIF($B$65:$H$65,"45")</f>
        <v>0</v>
      </c>
      <c r="BE194" s="260">
        <f>COUNTIF($B$74:$H$74,"45")</f>
        <v>0</v>
      </c>
      <c r="BF194" s="261">
        <f>COUNTIF($B$77:$H$77,"45")</f>
        <v>0</v>
      </c>
      <c r="BG194" s="261">
        <f>COUNTIF($B$80:$H$80,"45")</f>
        <v>0</v>
      </c>
      <c r="BH194" s="261">
        <f>COUNTIF($B$83:$H$83,"45")</f>
        <v>0</v>
      </c>
      <c r="BI194" s="262">
        <f>COUNTIF($B$86:$H$86,"45")</f>
        <v>0</v>
      </c>
    </row>
    <row r="195" spans="1:145" ht="13.5" thickBot="1">
      <c r="W195" s="353"/>
      <c r="X195" s="405"/>
      <c r="Y195" s="405"/>
      <c r="Z195" s="405"/>
      <c r="AA195" s="145"/>
      <c r="AB195" s="405"/>
      <c r="AC195" s="405"/>
      <c r="AD195" s="396"/>
      <c r="AE195" s="396"/>
      <c r="AF195" s="396"/>
      <c r="AG195" s="449"/>
      <c r="AH195" s="450" t="s">
        <v>351</v>
      </c>
      <c r="AI195" s="451">
        <f>SUM($AI$104:$AI$194)/1000</f>
        <v>0</v>
      </c>
      <c r="AJ195" s="452"/>
      <c r="AK195" s="397"/>
      <c r="AL195" s="396" t="s">
        <v>352</v>
      </c>
      <c r="AM195" s="2"/>
      <c r="AN195" s="453"/>
      <c r="AP195" s="454"/>
      <c r="AQ195" s="455"/>
      <c r="AR195" s="455"/>
      <c r="AS195" s="455"/>
      <c r="AT195" s="456"/>
      <c r="AU195" s="457"/>
      <c r="AV195" s="458"/>
      <c r="AW195" s="233"/>
      <c r="AX195" s="233"/>
      <c r="AY195" s="234"/>
      <c r="AZ195" s="230"/>
      <c r="BA195" s="229"/>
      <c r="BB195" s="229"/>
      <c r="BC195" s="229"/>
      <c r="BD195" s="231"/>
      <c r="BE195" s="232"/>
      <c r="BF195" s="233"/>
      <c r="BG195" s="233"/>
      <c r="BH195" s="233"/>
      <c r="BI195" s="250"/>
    </row>
    <row r="196" spans="1:145">
      <c r="B196" s="154"/>
      <c r="C196" s="154"/>
      <c r="D196" s="154"/>
      <c r="E196" s="154"/>
      <c r="F196" s="154"/>
      <c r="G196" s="154"/>
      <c r="H196" s="154"/>
      <c r="I196" s="154"/>
      <c r="J196" s="154"/>
      <c r="K196" s="154"/>
      <c r="L196" s="154"/>
      <c r="M196" s="249"/>
      <c r="N196" s="249"/>
      <c r="O196" s="249"/>
      <c r="P196" s="353"/>
      <c r="Q196" s="353"/>
      <c r="R196" s="353"/>
      <c r="S196" s="353"/>
      <c r="T196" s="353"/>
      <c r="U196" s="353"/>
      <c r="V196" s="179"/>
      <c r="W196" s="179"/>
      <c r="X196" s="396"/>
      <c r="Y196" s="396"/>
      <c r="Z196" s="396"/>
      <c r="AB196" s="396"/>
    </row>
    <row r="197" spans="1:145" s="237" customFormat="1">
      <c r="A197" s="236"/>
      <c r="B197" s="239" t="s">
        <v>356</v>
      </c>
      <c r="C197" s="239" t="s">
        <v>357</v>
      </c>
      <c r="D197" s="239" t="s">
        <v>358</v>
      </c>
      <c r="E197" s="239" t="s">
        <v>359</v>
      </c>
      <c r="F197" s="239" t="s">
        <v>360</v>
      </c>
      <c r="G197" s="239" t="s">
        <v>361</v>
      </c>
      <c r="H197" s="239" t="s">
        <v>362</v>
      </c>
      <c r="I197" s="239" t="s">
        <v>363</v>
      </c>
      <c r="J197" s="239" t="s">
        <v>364</v>
      </c>
      <c r="K197" s="239" t="s">
        <v>365</v>
      </c>
      <c r="L197" s="239" t="s">
        <v>366</v>
      </c>
      <c r="M197" s="239" t="s">
        <v>367</v>
      </c>
      <c r="N197" s="239" t="s">
        <v>368</v>
      </c>
      <c r="O197" s="239" t="s">
        <v>369</v>
      </c>
      <c r="P197" s="460" t="s">
        <v>370</v>
      </c>
      <c r="Q197" s="460" t="s">
        <v>371</v>
      </c>
      <c r="R197" s="460" t="s">
        <v>372</v>
      </c>
      <c r="S197" s="460" t="s">
        <v>373</v>
      </c>
      <c r="T197" s="460" t="s">
        <v>374</v>
      </c>
      <c r="U197" s="460"/>
      <c r="V197" s="460" t="s">
        <v>375</v>
      </c>
      <c r="W197" s="460" t="s">
        <v>376</v>
      </c>
      <c r="X197" s="460" t="s">
        <v>377</v>
      </c>
      <c r="Y197" s="460" t="s">
        <v>378</v>
      </c>
      <c r="Z197" s="460" t="s">
        <v>379</v>
      </c>
      <c r="AA197" s="461" t="s">
        <v>380</v>
      </c>
      <c r="AB197" s="460" t="s">
        <v>381</v>
      </c>
      <c r="AC197" s="460" t="s">
        <v>382</v>
      </c>
      <c r="AD197" s="460" t="s">
        <v>383</v>
      </c>
      <c r="AE197" s="460" t="s">
        <v>384</v>
      </c>
      <c r="AF197" s="460" t="s">
        <v>385</v>
      </c>
      <c r="AG197" s="460" t="s">
        <v>386</v>
      </c>
      <c r="AH197" s="460" t="s">
        <v>387</v>
      </c>
      <c r="AI197" s="460" t="s">
        <v>388</v>
      </c>
      <c r="AJ197" s="460"/>
      <c r="AK197" s="460"/>
      <c r="AL197" s="460" t="s">
        <v>389</v>
      </c>
      <c r="AM197" s="460" t="s">
        <v>390</v>
      </c>
      <c r="AN197" s="462" t="s">
        <v>391</v>
      </c>
      <c r="AO197" s="463" t="s">
        <v>392</v>
      </c>
      <c r="AP197" s="463" t="s">
        <v>393</v>
      </c>
      <c r="AQ197" s="463" t="s">
        <v>394</v>
      </c>
      <c r="AR197" s="464" t="s">
        <v>395</v>
      </c>
      <c r="AS197" s="463" t="s">
        <v>396</v>
      </c>
      <c r="AT197" s="464" t="s">
        <v>397</v>
      </c>
      <c r="AU197" s="464" t="s">
        <v>398</v>
      </c>
      <c r="AV197" s="464" t="s">
        <v>399</v>
      </c>
      <c r="AW197" s="238" t="s">
        <v>400</v>
      </c>
      <c r="AX197" s="238" t="s">
        <v>401</v>
      </c>
      <c r="AY197" s="238" t="s">
        <v>402</v>
      </c>
      <c r="AZ197" s="238" t="s">
        <v>403</v>
      </c>
      <c r="BA197" s="238" t="s">
        <v>404</v>
      </c>
      <c r="BB197" s="238" t="s">
        <v>405</v>
      </c>
      <c r="BC197" s="238" t="s">
        <v>406</v>
      </c>
      <c r="BD197" s="238" t="s">
        <v>407</v>
      </c>
      <c r="BE197" s="238" t="s">
        <v>408</v>
      </c>
      <c r="BF197" s="238" t="s">
        <v>409</v>
      </c>
      <c r="BG197" s="238" t="s">
        <v>410</v>
      </c>
      <c r="BH197" s="238" t="s">
        <v>411</v>
      </c>
      <c r="BI197" s="238" t="s">
        <v>412</v>
      </c>
      <c r="BJ197" s="238" t="s">
        <v>413</v>
      </c>
      <c r="BK197" s="238" t="s">
        <v>414</v>
      </c>
      <c r="BL197" s="238" t="s">
        <v>415</v>
      </c>
      <c r="BM197" s="238" t="s">
        <v>416</v>
      </c>
      <c r="BN197" s="238" t="s">
        <v>417</v>
      </c>
      <c r="BO197" s="238" t="s">
        <v>418</v>
      </c>
      <c r="BP197" s="238" t="s">
        <v>419</v>
      </c>
      <c r="BQ197" s="238" t="s">
        <v>420</v>
      </c>
      <c r="BR197" s="238" t="s">
        <v>421</v>
      </c>
      <c r="BS197" s="238" t="s">
        <v>422</v>
      </c>
      <c r="BT197" s="238" t="s">
        <v>423</v>
      </c>
      <c r="BU197" s="238" t="s">
        <v>424</v>
      </c>
      <c r="BV197" s="238" t="s">
        <v>425</v>
      </c>
      <c r="BW197" s="239" t="s">
        <v>426</v>
      </c>
      <c r="BX197" s="239" t="s">
        <v>427</v>
      </c>
      <c r="BY197" s="239" t="s">
        <v>428</v>
      </c>
      <c r="BZ197" s="239" t="s">
        <v>429</v>
      </c>
      <c r="CA197" s="239" t="s">
        <v>430</v>
      </c>
      <c r="CB197" s="239" t="s">
        <v>431</v>
      </c>
      <c r="CC197" s="239" t="s">
        <v>432</v>
      </c>
      <c r="CD197" s="239" t="s">
        <v>433</v>
      </c>
      <c r="CE197" s="239" t="s">
        <v>434</v>
      </c>
      <c r="CF197" s="239" t="s">
        <v>435</v>
      </c>
      <c r="CG197" s="239" t="s">
        <v>436</v>
      </c>
      <c r="CH197" s="239" t="s">
        <v>437</v>
      </c>
      <c r="CI197" s="239" t="s">
        <v>438</v>
      </c>
      <c r="CJ197" s="239" t="s">
        <v>439</v>
      </c>
      <c r="CK197" s="239" t="s">
        <v>440</v>
      </c>
      <c r="CL197" s="239" t="s">
        <v>441</v>
      </c>
      <c r="CM197" s="239" t="s">
        <v>442</v>
      </c>
      <c r="CN197" s="239" t="s">
        <v>443</v>
      </c>
      <c r="CO197" s="239" t="s">
        <v>444</v>
      </c>
      <c r="CP197" s="239" t="s">
        <v>445</v>
      </c>
      <c r="CQ197" s="239" t="s">
        <v>446</v>
      </c>
      <c r="CR197" s="239" t="s">
        <v>447</v>
      </c>
      <c r="CS197" s="239" t="s">
        <v>448</v>
      </c>
      <c r="CT197" s="239" t="s">
        <v>449</v>
      </c>
      <c r="CU197" s="239" t="s">
        <v>450</v>
      </c>
      <c r="CV197" s="239" t="s">
        <v>451</v>
      </c>
      <c r="CW197" s="239" t="s">
        <v>452</v>
      </c>
      <c r="CX197" s="239" t="s">
        <v>453</v>
      </c>
      <c r="CY197" s="239" t="s">
        <v>454</v>
      </c>
      <c r="CZ197" s="239" t="s">
        <v>455</v>
      </c>
      <c r="DA197" s="239" t="s">
        <v>456</v>
      </c>
      <c r="DB197" s="239" t="s">
        <v>457</v>
      </c>
      <c r="DC197" s="239" t="s">
        <v>458</v>
      </c>
      <c r="DD197" s="239" t="s">
        <v>459</v>
      </c>
      <c r="DE197" s="239" t="s">
        <v>460</v>
      </c>
      <c r="DF197" s="238" t="s">
        <v>461</v>
      </c>
      <c r="DG197" s="238" t="s">
        <v>462</v>
      </c>
      <c r="DH197" s="238" t="s">
        <v>463</v>
      </c>
      <c r="DI197" s="238" t="s">
        <v>464</v>
      </c>
      <c r="DJ197" s="238" t="s">
        <v>465</v>
      </c>
      <c r="DK197" s="238" t="s">
        <v>466</v>
      </c>
      <c r="DL197" s="238" t="s">
        <v>467</v>
      </c>
      <c r="DM197" s="238" t="s">
        <v>468</v>
      </c>
      <c r="DN197" s="238" t="s">
        <v>469</v>
      </c>
      <c r="DO197" s="238" t="s">
        <v>470</v>
      </c>
      <c r="DP197" s="238" t="s">
        <v>471</v>
      </c>
      <c r="DQ197" s="238" t="s">
        <v>472</v>
      </c>
      <c r="DR197" s="238" t="s">
        <v>473</v>
      </c>
      <c r="DS197" s="238" t="s">
        <v>474</v>
      </c>
      <c r="DT197" s="238" t="s">
        <v>475</v>
      </c>
      <c r="DU197" s="238" t="s">
        <v>476</v>
      </c>
      <c r="DV197" s="238" t="s">
        <v>477</v>
      </c>
      <c r="DW197" s="238" t="s">
        <v>478</v>
      </c>
      <c r="DX197" s="238" t="s">
        <v>479</v>
      </c>
      <c r="DY197" s="238" t="s">
        <v>480</v>
      </c>
      <c r="DZ197" s="238" t="s">
        <v>481</v>
      </c>
      <c r="EA197" s="238" t="s">
        <v>482</v>
      </c>
      <c r="EB197" s="238" t="s">
        <v>483</v>
      </c>
      <c r="EC197" s="238" t="s">
        <v>484</v>
      </c>
      <c r="ED197" s="238" t="s">
        <v>485</v>
      </c>
      <c r="EE197" s="238" t="s">
        <v>486</v>
      </c>
      <c r="EF197" s="238" t="s">
        <v>487</v>
      </c>
      <c r="EG197" s="238" t="s">
        <v>488</v>
      </c>
      <c r="EH197" s="238" t="s">
        <v>489</v>
      </c>
      <c r="EI197" s="238" t="s">
        <v>490</v>
      </c>
      <c r="EJ197" s="238" t="s">
        <v>491</v>
      </c>
      <c r="EK197" s="238" t="s">
        <v>492</v>
      </c>
      <c r="EL197" s="238" t="s">
        <v>493</v>
      </c>
      <c r="EM197" s="238" t="s">
        <v>494</v>
      </c>
      <c r="EN197" s="238" t="s">
        <v>495</v>
      </c>
      <c r="EO197"/>
    </row>
    <row r="198" spans="1:145">
      <c r="J198" s="205"/>
      <c r="K198" s="205"/>
      <c r="L198" s="205"/>
      <c r="M198" s="203"/>
      <c r="N198" s="203"/>
      <c r="O198" s="203"/>
      <c r="P198" s="405"/>
      <c r="Q198" s="405"/>
      <c r="R198" s="405"/>
      <c r="S198" s="405"/>
      <c r="T198" s="405"/>
      <c r="U198" s="405"/>
      <c r="V198" s="396"/>
      <c r="W198" s="396"/>
      <c r="X198" s="396"/>
      <c r="Y198" s="396"/>
      <c r="Z198" s="396"/>
      <c r="AB198" s="396"/>
    </row>
    <row r="199" spans="1:145">
      <c r="I199" s="205"/>
      <c r="J199" s="205"/>
      <c r="K199" s="205"/>
      <c r="L199" s="205"/>
      <c r="M199" s="203"/>
      <c r="N199" s="203"/>
      <c r="O199" s="203"/>
      <c r="P199" s="405"/>
      <c r="Q199" s="405"/>
      <c r="R199" s="405"/>
      <c r="S199" s="405"/>
      <c r="T199" s="405"/>
      <c r="U199" s="405"/>
      <c r="V199" s="396"/>
      <c r="W199" s="396"/>
      <c r="X199" s="396"/>
      <c r="Y199" s="396"/>
      <c r="Z199" s="396"/>
      <c r="AB199" s="396"/>
    </row>
    <row r="200" spans="1:145">
      <c r="I200" s="205"/>
      <c r="J200" s="205"/>
      <c r="K200" s="205"/>
      <c r="L200" s="205"/>
      <c r="M200" s="203"/>
      <c r="N200" s="203"/>
      <c r="O200" s="203"/>
      <c r="P200" s="405"/>
      <c r="Q200" s="405"/>
      <c r="R200" s="405"/>
      <c r="S200" s="405"/>
      <c r="T200" s="405"/>
      <c r="U200" s="405"/>
      <c r="V200" s="396"/>
      <c r="W200" s="396"/>
      <c r="X200" s="396"/>
      <c r="Y200" s="396"/>
      <c r="Z200" s="396"/>
      <c r="AB200" s="396"/>
    </row>
    <row r="201" spans="1:145">
      <c r="I201" s="205"/>
      <c r="J201" s="241"/>
      <c r="K201" s="205"/>
      <c r="L201" s="205"/>
      <c r="M201" s="203"/>
      <c r="N201" s="203"/>
      <c r="O201" s="203"/>
      <c r="P201" s="405"/>
      <c r="Q201" s="405"/>
      <c r="R201" s="405"/>
      <c r="S201" s="405"/>
      <c r="T201" s="405"/>
      <c r="U201" s="405"/>
      <c r="V201" s="396"/>
      <c r="W201" s="396"/>
      <c r="X201" s="396"/>
      <c r="Y201" s="396"/>
      <c r="Z201" s="396"/>
      <c r="AB201" s="396"/>
    </row>
    <row r="202" spans="1:145">
      <c r="I202" s="205"/>
      <c r="J202" s="205"/>
      <c r="K202" s="205"/>
      <c r="L202" s="205"/>
      <c r="M202" s="203"/>
      <c r="N202" s="203"/>
      <c r="O202" s="203"/>
      <c r="P202" s="405"/>
      <c r="Q202" s="405"/>
      <c r="R202" s="405"/>
      <c r="S202" s="405"/>
      <c r="T202" s="405"/>
      <c r="U202" s="405"/>
      <c r="V202" s="396"/>
      <c r="W202" s="396"/>
      <c r="X202" s="396"/>
      <c r="Y202" s="396"/>
      <c r="Z202" s="396"/>
      <c r="AB202" s="396"/>
    </row>
    <row r="203" spans="1:145">
      <c r="I203" s="205"/>
      <c r="J203" s="205"/>
      <c r="K203" s="205"/>
      <c r="L203" s="205"/>
      <c r="M203" s="203"/>
      <c r="N203" s="203"/>
      <c r="O203" s="203"/>
      <c r="P203" s="405"/>
      <c r="Q203" s="405"/>
      <c r="R203" s="405"/>
      <c r="S203" s="405"/>
      <c r="T203" s="405"/>
      <c r="U203" s="405"/>
      <c r="V203" s="396"/>
      <c r="W203" s="396"/>
      <c r="X203" s="396"/>
      <c r="Y203" s="396"/>
      <c r="Z203" s="396"/>
      <c r="AB203" s="396"/>
    </row>
    <row r="204" spans="1:145">
      <c r="I204" s="205"/>
      <c r="J204" s="205"/>
      <c r="K204" s="205"/>
      <c r="L204" s="205"/>
      <c r="M204" s="203"/>
      <c r="N204" s="203"/>
      <c r="O204" s="203"/>
      <c r="P204" s="405"/>
      <c r="Q204" s="405"/>
      <c r="R204" s="405"/>
      <c r="S204" s="405"/>
      <c r="T204" s="405"/>
      <c r="U204" s="405"/>
      <c r="V204" s="396"/>
      <c r="W204" s="396"/>
      <c r="X204" s="396"/>
      <c r="Y204" s="396"/>
      <c r="Z204" s="396"/>
      <c r="AB204" s="396"/>
    </row>
    <row r="205" spans="1:145">
      <c r="I205" s="205"/>
      <c r="J205" s="205"/>
      <c r="K205" s="205"/>
      <c r="L205" s="205"/>
      <c r="M205" s="202"/>
      <c r="N205" s="202"/>
      <c r="O205" s="202"/>
      <c r="P205" s="396"/>
      <c r="Q205" s="396"/>
      <c r="R205" s="396"/>
      <c r="S205" s="396"/>
      <c r="T205" s="396"/>
      <c r="U205" s="396"/>
      <c r="V205" s="396"/>
      <c r="W205" s="396"/>
      <c r="X205" s="396"/>
      <c r="Y205" s="396"/>
      <c r="Z205" s="396"/>
      <c r="AB205" s="396"/>
    </row>
    <row r="206" spans="1:145">
      <c r="I206" s="205"/>
      <c r="J206" s="154"/>
      <c r="K206" s="154"/>
      <c r="L206" s="154"/>
      <c r="M206" s="202"/>
      <c r="N206" s="202"/>
      <c r="O206" s="202"/>
      <c r="P206" s="396"/>
      <c r="Q206" s="396"/>
      <c r="R206" s="396"/>
      <c r="S206" s="396"/>
      <c r="T206" s="396"/>
      <c r="U206" s="396"/>
      <c r="V206" s="396"/>
      <c r="W206" s="396"/>
      <c r="X206" s="396"/>
      <c r="Y206" s="396"/>
      <c r="Z206" s="396"/>
      <c r="AB206" s="396"/>
    </row>
    <row r="207" spans="1:145">
      <c r="I207" s="205"/>
      <c r="J207" s="154"/>
      <c r="K207" s="154"/>
      <c r="L207" s="154"/>
      <c r="M207" s="202"/>
      <c r="N207" s="202"/>
      <c r="O207" s="202"/>
      <c r="P207" s="396"/>
      <c r="Q207" s="396"/>
      <c r="R207" s="396"/>
      <c r="S207" s="396"/>
      <c r="T207" s="396"/>
      <c r="U207" s="396"/>
      <c r="V207" s="396"/>
      <c r="W207" s="396"/>
      <c r="X207" s="396"/>
      <c r="Y207" s="396"/>
      <c r="Z207" s="396"/>
      <c r="AB207" s="396"/>
    </row>
    <row r="208" spans="1:145">
      <c r="I208" s="205"/>
      <c r="J208" s="154"/>
      <c r="K208" s="154"/>
      <c r="L208" s="154"/>
      <c r="M208" s="202"/>
      <c r="N208" s="202"/>
      <c r="O208" s="202"/>
      <c r="P208" s="396"/>
      <c r="Q208" s="396"/>
      <c r="R208" s="396"/>
      <c r="S208" s="396"/>
      <c r="T208" s="396"/>
      <c r="U208" s="396"/>
      <c r="V208" s="396"/>
      <c r="W208" s="396"/>
      <c r="X208" s="396"/>
      <c r="Y208" s="396"/>
      <c r="Z208" s="396"/>
      <c r="AB208" s="396"/>
    </row>
    <row r="209" spans="2:28">
      <c r="I209" s="205"/>
      <c r="J209" s="154"/>
      <c r="K209" s="154"/>
      <c r="L209" s="154"/>
      <c r="M209" s="202"/>
      <c r="N209" s="202"/>
      <c r="O209" s="202"/>
      <c r="P209" s="396"/>
      <c r="Q209" s="396"/>
      <c r="R209" s="396"/>
      <c r="S209" s="396"/>
      <c r="T209" s="396"/>
      <c r="U209" s="396"/>
      <c r="V209" s="396"/>
      <c r="W209" s="396"/>
      <c r="X209" s="396"/>
      <c r="Y209" s="396"/>
      <c r="Z209" s="396"/>
      <c r="AB209" s="396"/>
    </row>
    <row r="210" spans="2:28">
      <c r="I210" s="205"/>
      <c r="J210" s="154"/>
      <c r="K210" s="154"/>
      <c r="L210" s="154"/>
      <c r="M210" s="202"/>
      <c r="N210" s="202"/>
      <c r="O210" s="202"/>
      <c r="P210" s="396"/>
      <c r="Q210" s="396"/>
      <c r="R210" s="396"/>
      <c r="S210" s="396"/>
      <c r="T210" s="396"/>
      <c r="U210" s="396"/>
      <c r="V210" s="396"/>
      <c r="W210" s="396"/>
      <c r="X210" s="396"/>
      <c r="Y210" s="396"/>
      <c r="Z210" s="396"/>
      <c r="AB210" s="396"/>
    </row>
    <row r="211" spans="2:28">
      <c r="I211" s="205"/>
      <c r="J211" s="154"/>
      <c r="K211" s="154"/>
      <c r="L211" s="154"/>
      <c r="M211" s="202"/>
      <c r="N211" s="202"/>
      <c r="O211" s="202"/>
      <c r="P211" s="396"/>
      <c r="Q211" s="396"/>
      <c r="R211" s="396"/>
      <c r="S211" s="396"/>
      <c r="T211" s="396"/>
      <c r="U211" s="396"/>
      <c r="V211" s="396"/>
      <c r="W211" s="396"/>
      <c r="X211" s="396"/>
      <c r="Y211" s="396"/>
      <c r="Z211" s="396"/>
      <c r="AB211" s="396"/>
    </row>
    <row r="212" spans="2:28">
      <c r="I212" s="205"/>
      <c r="J212" s="154"/>
      <c r="K212" s="154"/>
      <c r="L212" s="154"/>
      <c r="M212" s="202"/>
      <c r="N212" s="202"/>
      <c r="O212" s="202"/>
      <c r="P212" s="396"/>
      <c r="Q212" s="396"/>
      <c r="R212" s="396"/>
      <c r="S212" s="396"/>
      <c r="T212" s="396"/>
      <c r="U212" s="396"/>
      <c r="V212" s="396"/>
      <c r="W212" s="396"/>
      <c r="X212" s="396"/>
      <c r="Y212" s="396"/>
      <c r="Z212" s="396"/>
      <c r="AB212" s="396"/>
    </row>
    <row r="213" spans="2:28">
      <c r="I213" s="205"/>
      <c r="J213" s="154"/>
      <c r="K213" s="154"/>
      <c r="L213" s="154"/>
      <c r="M213" s="202"/>
      <c r="N213" s="202"/>
      <c r="O213" s="202"/>
      <c r="P213" s="396"/>
      <c r="Q213" s="396"/>
      <c r="R213" s="396"/>
      <c r="S213" s="396"/>
      <c r="T213" s="396"/>
      <c r="U213" s="396"/>
      <c r="V213" s="396"/>
      <c r="W213" s="396"/>
      <c r="X213" s="396"/>
      <c r="Y213" s="396"/>
      <c r="Z213" s="396"/>
      <c r="AB213" s="396"/>
    </row>
    <row r="214" spans="2:28">
      <c r="I214" s="205"/>
      <c r="J214" s="154"/>
      <c r="K214" s="154"/>
      <c r="L214" s="154"/>
      <c r="M214" s="202"/>
      <c r="N214" s="202"/>
      <c r="O214" s="202"/>
      <c r="P214" s="396"/>
      <c r="Q214" s="396"/>
      <c r="R214" s="396"/>
      <c r="S214" s="396"/>
      <c r="T214" s="396"/>
      <c r="U214" s="396"/>
      <c r="V214" s="396"/>
      <c r="W214" s="396"/>
      <c r="X214" s="396"/>
      <c r="Y214" s="396"/>
      <c r="Z214" s="396"/>
      <c r="AB214" s="396"/>
    </row>
    <row r="215" spans="2:28">
      <c r="I215" s="205"/>
      <c r="J215" s="154"/>
      <c r="K215" s="154"/>
      <c r="L215" s="154"/>
      <c r="M215" s="202"/>
      <c r="N215" s="202"/>
      <c r="O215" s="202"/>
      <c r="P215" s="396"/>
      <c r="Q215" s="396"/>
      <c r="R215" s="396"/>
      <c r="S215" s="396"/>
      <c r="T215" s="396"/>
      <c r="U215" s="396"/>
      <c r="V215" s="396"/>
      <c r="W215" s="396"/>
      <c r="X215" s="396"/>
      <c r="Y215" s="396"/>
      <c r="Z215" s="396"/>
      <c r="AB215" s="396"/>
    </row>
    <row r="216" spans="2:28">
      <c r="I216" s="205"/>
      <c r="J216" s="154"/>
      <c r="K216" s="154"/>
      <c r="L216" s="154"/>
      <c r="M216" s="202"/>
      <c r="N216" s="202"/>
      <c r="O216" s="202"/>
      <c r="P216" s="396"/>
      <c r="Q216" s="396"/>
      <c r="R216" s="396"/>
      <c r="S216" s="396"/>
      <c r="T216" s="396"/>
      <c r="U216" s="396"/>
      <c r="V216" s="396"/>
      <c r="W216" s="396"/>
      <c r="X216" s="396"/>
      <c r="Y216" s="396"/>
      <c r="Z216" s="396"/>
      <c r="AB216" s="396"/>
    </row>
    <row r="217" spans="2:28">
      <c r="B217" s="154"/>
      <c r="C217" s="154"/>
      <c r="D217" s="154"/>
      <c r="E217" s="154"/>
      <c r="F217" s="154"/>
      <c r="G217" s="154"/>
      <c r="H217" s="154"/>
      <c r="I217" s="154"/>
      <c r="J217" s="154"/>
      <c r="K217" s="154"/>
      <c r="L217" s="154"/>
      <c r="M217" s="202"/>
      <c r="N217" s="202"/>
      <c r="O217" s="202"/>
      <c r="P217" s="396"/>
      <c r="Q217" s="396"/>
      <c r="R217" s="396"/>
      <c r="S217" s="396"/>
      <c r="T217" s="396"/>
      <c r="U217" s="396"/>
      <c r="V217" s="396"/>
      <c r="W217" s="396"/>
      <c r="X217" s="396"/>
      <c r="Y217" s="396"/>
      <c r="Z217" s="396"/>
      <c r="AB217" s="396"/>
    </row>
    <row r="218" spans="2:28">
      <c r="B218" s="154"/>
      <c r="C218" s="154"/>
      <c r="D218" s="154"/>
      <c r="E218" s="154"/>
      <c r="F218" s="154"/>
      <c r="G218" s="154"/>
      <c r="H218" s="154"/>
      <c r="I218" s="154"/>
      <c r="J218" s="154"/>
      <c r="K218" s="154"/>
      <c r="L218" s="154"/>
      <c r="M218" s="202"/>
      <c r="N218" s="202"/>
      <c r="O218" s="202"/>
      <c r="P218" s="396"/>
      <c r="Q218" s="396"/>
      <c r="R218" s="396"/>
      <c r="S218" s="396"/>
      <c r="T218" s="396"/>
      <c r="U218" s="396"/>
      <c r="V218" s="396"/>
      <c r="W218" s="396"/>
      <c r="X218" s="396"/>
      <c r="Y218" s="396"/>
      <c r="Z218" s="396"/>
      <c r="AB218" s="396"/>
    </row>
    <row r="219" spans="2:28">
      <c r="B219" s="154"/>
      <c r="C219" s="154"/>
      <c r="D219" s="154"/>
      <c r="E219" s="154"/>
      <c r="F219" s="154"/>
      <c r="G219" s="154"/>
      <c r="H219" s="154"/>
      <c r="I219" s="154"/>
      <c r="J219" s="154"/>
      <c r="K219" s="154"/>
      <c r="L219" s="154"/>
      <c r="M219" s="202"/>
      <c r="N219" s="202"/>
      <c r="O219" s="202"/>
      <c r="P219" s="396"/>
      <c r="Q219" s="396"/>
      <c r="R219" s="396"/>
      <c r="S219" s="396"/>
      <c r="T219" s="396"/>
      <c r="U219" s="396"/>
      <c r="V219" s="396"/>
      <c r="W219" s="396"/>
      <c r="X219" s="396"/>
      <c r="Y219" s="396"/>
      <c r="Z219" s="396"/>
      <c r="AB219" s="396"/>
    </row>
    <row r="220" spans="2:28">
      <c r="B220" s="154"/>
      <c r="C220" s="154"/>
      <c r="D220" s="154"/>
      <c r="E220" s="154"/>
      <c r="F220" s="154"/>
      <c r="G220" s="154"/>
      <c r="H220" s="154"/>
      <c r="I220" s="154"/>
      <c r="J220" s="154"/>
      <c r="K220" s="154"/>
      <c r="L220" s="154"/>
      <c r="M220" s="202"/>
      <c r="N220" s="202"/>
      <c r="O220" s="202"/>
      <c r="P220" s="396"/>
      <c r="Q220" s="396"/>
      <c r="R220" s="396"/>
      <c r="S220" s="396"/>
      <c r="T220" s="396"/>
      <c r="U220" s="396"/>
      <c r="V220" s="396"/>
      <c r="W220" s="396"/>
      <c r="X220" s="396"/>
      <c r="Y220" s="396"/>
      <c r="Z220" s="396"/>
      <c r="AB220" s="396"/>
    </row>
    <row r="221" spans="2:28">
      <c r="B221" s="154"/>
      <c r="C221" s="154"/>
      <c r="D221" s="154"/>
      <c r="E221" s="154"/>
      <c r="F221" s="154"/>
      <c r="G221" s="154"/>
      <c r="H221" s="154"/>
      <c r="I221" s="154"/>
      <c r="J221" s="154"/>
      <c r="K221" s="154"/>
      <c r="L221" s="154"/>
      <c r="M221" s="202"/>
      <c r="N221" s="202"/>
      <c r="O221" s="202"/>
      <c r="P221" s="396"/>
      <c r="Q221" s="396"/>
      <c r="R221" s="396"/>
      <c r="S221" s="396"/>
      <c r="T221" s="396"/>
      <c r="U221" s="396"/>
      <c r="V221" s="396"/>
      <c r="W221" s="396"/>
      <c r="X221" s="396"/>
      <c r="Y221" s="396"/>
      <c r="Z221" s="396"/>
      <c r="AB221" s="396"/>
    </row>
    <row r="222" spans="2:28">
      <c r="B222" s="154"/>
      <c r="C222" s="154"/>
      <c r="D222" s="154"/>
      <c r="E222" s="154"/>
      <c r="F222" s="154"/>
      <c r="G222" s="154"/>
      <c r="H222" s="154"/>
      <c r="I222" s="154"/>
      <c r="J222" s="154"/>
      <c r="K222" s="154"/>
      <c r="L222" s="154"/>
      <c r="M222" s="202"/>
      <c r="N222" s="202"/>
      <c r="O222" s="202"/>
      <c r="P222" s="396"/>
      <c r="Q222" s="396"/>
      <c r="R222" s="396"/>
      <c r="S222" s="396"/>
      <c r="T222" s="396"/>
      <c r="U222" s="396"/>
      <c r="V222" s="396"/>
      <c r="W222" s="396"/>
      <c r="X222" s="396"/>
      <c r="Y222" s="396"/>
      <c r="Z222" s="396"/>
      <c r="AB222" s="396"/>
    </row>
    <row r="223" spans="2:28">
      <c r="B223" s="154"/>
      <c r="C223" s="154"/>
      <c r="D223" s="154"/>
      <c r="E223" s="154"/>
      <c r="F223" s="154"/>
      <c r="G223" s="154"/>
      <c r="H223" s="154"/>
      <c r="I223" s="154"/>
      <c r="J223" s="154"/>
      <c r="K223" s="154"/>
      <c r="L223" s="154"/>
      <c r="M223" s="202"/>
      <c r="N223" s="202"/>
      <c r="O223" s="202"/>
      <c r="P223" s="396"/>
      <c r="Q223" s="396"/>
      <c r="R223" s="396"/>
      <c r="S223" s="396"/>
      <c r="T223" s="396"/>
      <c r="U223" s="396"/>
      <c r="V223" s="396"/>
      <c r="W223" s="396"/>
      <c r="X223" s="396"/>
      <c r="Y223" s="396"/>
      <c r="Z223" s="396"/>
      <c r="AB223" s="396"/>
    </row>
    <row r="224" spans="2:28">
      <c r="B224" s="154"/>
      <c r="C224" s="154"/>
      <c r="D224" s="154"/>
      <c r="E224" s="154"/>
      <c r="F224" s="154"/>
      <c r="G224" s="154"/>
      <c r="H224" s="154"/>
      <c r="I224" s="154"/>
      <c r="J224" s="154"/>
      <c r="K224" s="154"/>
      <c r="L224" s="154"/>
      <c r="M224" s="202"/>
      <c r="N224" s="202"/>
      <c r="O224" s="202"/>
      <c r="P224" s="396"/>
      <c r="Q224" s="396"/>
      <c r="R224" s="396"/>
      <c r="S224" s="396"/>
      <c r="T224" s="396"/>
      <c r="U224" s="396"/>
      <c r="V224" s="396"/>
      <c r="W224" s="396"/>
      <c r="X224" s="396"/>
      <c r="Y224" s="396"/>
      <c r="Z224" s="396"/>
      <c r="AB224" s="396"/>
    </row>
    <row r="225" spans="2:28">
      <c r="B225" s="154"/>
      <c r="C225" s="154"/>
      <c r="D225" s="154"/>
      <c r="E225" s="154"/>
      <c r="F225" s="154"/>
      <c r="G225" s="154"/>
      <c r="H225" s="154"/>
      <c r="I225" s="154"/>
      <c r="J225" s="154"/>
      <c r="K225" s="154"/>
      <c r="L225" s="154"/>
      <c r="M225" s="202"/>
      <c r="N225" s="202"/>
      <c r="O225" s="202"/>
      <c r="P225" s="396"/>
      <c r="Q225" s="396"/>
      <c r="R225" s="396"/>
      <c r="S225" s="396"/>
      <c r="T225" s="396"/>
      <c r="U225" s="396"/>
      <c r="V225" s="396"/>
      <c r="W225" s="396"/>
      <c r="X225" s="396"/>
      <c r="Y225" s="396"/>
      <c r="Z225" s="396"/>
      <c r="AB225" s="396"/>
    </row>
    <row r="226" spans="2:28">
      <c r="B226" s="154"/>
      <c r="C226" s="154"/>
      <c r="D226" s="154"/>
      <c r="E226" s="154"/>
      <c r="F226" s="154"/>
      <c r="G226" s="154"/>
      <c r="H226" s="154"/>
      <c r="I226" s="154"/>
      <c r="J226" s="154"/>
      <c r="K226" s="154"/>
      <c r="L226" s="154"/>
      <c r="M226" s="202"/>
      <c r="N226" s="202"/>
      <c r="O226" s="202"/>
      <c r="P226" s="396"/>
      <c r="Q226" s="396"/>
      <c r="R226" s="396"/>
      <c r="S226" s="396"/>
      <c r="T226" s="396"/>
      <c r="U226" s="396"/>
      <c r="Z226" s="396"/>
      <c r="AB226" s="396"/>
    </row>
    <row r="227" spans="2:28">
      <c r="B227" s="154"/>
      <c r="C227" s="154"/>
      <c r="D227" s="154"/>
      <c r="E227" s="154"/>
      <c r="F227" s="154"/>
      <c r="G227" s="154"/>
      <c r="H227" s="154"/>
      <c r="I227" s="154"/>
      <c r="J227" s="154"/>
      <c r="K227" s="154"/>
      <c r="L227" s="154"/>
      <c r="M227" s="202"/>
      <c r="N227" s="202"/>
      <c r="O227" s="202"/>
      <c r="P227" s="396"/>
      <c r="Q227" s="396"/>
      <c r="R227" s="396"/>
      <c r="S227" s="396"/>
      <c r="T227" s="396"/>
      <c r="U227" s="396"/>
      <c r="Z227" s="396"/>
      <c r="AB227" s="396"/>
    </row>
    <row r="228" spans="2:28">
      <c r="B228" s="154"/>
      <c r="C228" s="154"/>
      <c r="D228" s="154"/>
      <c r="E228" s="154"/>
      <c r="F228" s="154"/>
      <c r="G228" s="154"/>
      <c r="H228" s="154"/>
      <c r="I228" s="154"/>
      <c r="J228" s="154"/>
      <c r="K228" s="154"/>
      <c r="L228" s="154"/>
      <c r="M228" s="202"/>
      <c r="N228" s="202"/>
      <c r="O228" s="202"/>
      <c r="P228" s="396"/>
      <c r="Q228" s="396"/>
      <c r="R228" s="396"/>
      <c r="S228" s="396"/>
      <c r="T228" s="396"/>
      <c r="U228" s="396"/>
      <c r="Z228" s="396"/>
      <c r="AB228" s="396"/>
    </row>
    <row r="229" spans="2:28">
      <c r="B229" s="154"/>
      <c r="C229" s="154"/>
      <c r="D229" s="154"/>
      <c r="E229" s="154"/>
      <c r="F229" s="154"/>
      <c r="G229" s="154"/>
      <c r="H229" s="154"/>
      <c r="I229" s="154"/>
      <c r="J229" s="154"/>
      <c r="K229" s="154"/>
      <c r="L229" s="154"/>
      <c r="M229" s="202"/>
      <c r="N229" s="202"/>
      <c r="O229" s="202"/>
      <c r="P229" s="396"/>
      <c r="Q229" s="396"/>
      <c r="R229" s="396"/>
      <c r="S229" s="396"/>
      <c r="T229" s="396"/>
      <c r="U229" s="396"/>
      <c r="Z229" s="396"/>
      <c r="AB229" s="396"/>
    </row>
    <row r="230" spans="2:28">
      <c r="B230" s="154"/>
      <c r="C230" s="154"/>
      <c r="D230" s="154"/>
      <c r="E230" s="154"/>
      <c r="F230" s="154"/>
      <c r="G230" s="154"/>
      <c r="H230" s="154"/>
      <c r="I230" s="154"/>
      <c r="J230" s="154"/>
      <c r="K230" s="154"/>
      <c r="L230" s="154"/>
      <c r="M230" s="202"/>
      <c r="N230" s="202"/>
      <c r="O230" s="202"/>
      <c r="P230" s="396"/>
      <c r="Q230" s="396"/>
      <c r="R230" s="396"/>
      <c r="S230" s="396"/>
      <c r="T230" s="396"/>
      <c r="U230" s="396"/>
      <c r="Z230" s="396"/>
      <c r="AB230" s="396"/>
    </row>
    <row r="231" spans="2:28">
      <c r="B231" s="154"/>
      <c r="C231" s="154"/>
      <c r="D231" s="154"/>
      <c r="E231" s="154"/>
      <c r="F231" s="154"/>
      <c r="G231" s="154"/>
      <c r="H231" s="154"/>
      <c r="I231" s="154"/>
      <c r="J231" s="154"/>
      <c r="K231" s="154"/>
      <c r="L231" s="154"/>
      <c r="M231" s="202"/>
      <c r="N231" s="202"/>
      <c r="O231" s="202"/>
      <c r="P231" s="396"/>
      <c r="Q231" s="396"/>
      <c r="R231" s="396"/>
      <c r="S231" s="396"/>
      <c r="T231" s="396"/>
      <c r="U231" s="396"/>
      <c r="Z231" s="396"/>
      <c r="AB231" s="396"/>
    </row>
    <row r="232" spans="2:28">
      <c r="B232" s="154"/>
      <c r="C232" s="154"/>
      <c r="D232" s="154"/>
      <c r="E232" s="154"/>
      <c r="F232" s="154"/>
      <c r="G232" s="154"/>
      <c r="H232" s="154"/>
      <c r="I232" s="154"/>
      <c r="J232" s="154"/>
      <c r="K232" s="154"/>
      <c r="L232" s="154"/>
      <c r="M232" s="202"/>
      <c r="N232" s="202"/>
      <c r="O232" s="202"/>
      <c r="P232" s="396"/>
      <c r="Q232" s="396"/>
      <c r="R232" s="396"/>
      <c r="S232" s="396"/>
      <c r="T232" s="396"/>
      <c r="U232" s="396"/>
      <c r="Z232" s="396"/>
      <c r="AB232" s="396"/>
    </row>
    <row r="233" spans="2:28">
      <c r="B233" s="154"/>
      <c r="C233" s="154"/>
      <c r="D233" s="154"/>
      <c r="E233" s="154"/>
      <c r="F233" s="154"/>
      <c r="G233" s="154"/>
      <c r="H233" s="154"/>
      <c r="I233" s="154"/>
      <c r="J233" s="154"/>
      <c r="K233" s="154"/>
      <c r="L233" s="154"/>
      <c r="M233" s="202"/>
      <c r="N233" s="202"/>
      <c r="O233" s="202"/>
      <c r="P233" s="396"/>
      <c r="Q233" s="396"/>
      <c r="R233" s="396"/>
      <c r="S233" s="396"/>
      <c r="T233" s="396"/>
      <c r="U233" s="396"/>
      <c r="Z233" s="396"/>
      <c r="AB233" s="396"/>
    </row>
    <row r="234" spans="2:28">
      <c r="B234" s="154"/>
      <c r="C234" s="154"/>
      <c r="D234" s="154"/>
      <c r="E234" s="154"/>
      <c r="F234" s="154"/>
      <c r="G234" s="154"/>
      <c r="H234" s="154"/>
      <c r="I234" s="154"/>
      <c r="J234" s="154"/>
      <c r="K234" s="154"/>
      <c r="L234" s="154"/>
      <c r="M234" s="202"/>
      <c r="N234" s="202"/>
      <c r="O234" s="202"/>
      <c r="P234" s="396"/>
      <c r="Q234" s="396"/>
      <c r="R234" s="396"/>
      <c r="S234" s="396"/>
      <c r="T234" s="396"/>
      <c r="U234" s="396"/>
      <c r="Z234" s="396"/>
      <c r="AB234" s="396"/>
    </row>
    <row r="235" spans="2:28">
      <c r="B235" s="154"/>
      <c r="C235" s="154"/>
      <c r="D235" s="154"/>
      <c r="E235" s="154"/>
      <c r="F235" s="154"/>
      <c r="G235" s="154"/>
      <c r="H235" s="154"/>
      <c r="I235" s="154"/>
      <c r="J235" s="154"/>
      <c r="K235" s="154"/>
      <c r="L235" s="154"/>
      <c r="M235" s="202"/>
      <c r="N235" s="202"/>
      <c r="O235" s="202"/>
      <c r="P235" s="396"/>
      <c r="Q235" s="396"/>
      <c r="R235" s="396"/>
      <c r="S235" s="396"/>
      <c r="T235" s="396"/>
      <c r="U235" s="396"/>
      <c r="Z235" s="396"/>
      <c r="AB235" s="396"/>
    </row>
    <row r="236" spans="2:28">
      <c r="B236" s="154"/>
      <c r="C236" s="154"/>
      <c r="D236" s="154"/>
      <c r="E236" s="154"/>
      <c r="F236" s="154"/>
      <c r="G236" s="154"/>
      <c r="H236" s="154"/>
      <c r="I236" s="154"/>
      <c r="J236" s="154"/>
      <c r="K236" s="154"/>
      <c r="L236" s="154"/>
      <c r="M236" s="154"/>
      <c r="O236" s="96"/>
      <c r="P236" s="351"/>
      <c r="Q236" s="351"/>
      <c r="R236" s="351"/>
      <c r="S236" s="351"/>
      <c r="T236" s="351"/>
      <c r="U236" s="351"/>
      <c r="Z236" s="396"/>
      <c r="AB236" s="396"/>
    </row>
    <row r="237" spans="2:28">
      <c r="B237" s="154"/>
      <c r="C237" s="154"/>
      <c r="D237" s="154"/>
      <c r="E237" s="154"/>
      <c r="F237" s="154"/>
      <c r="G237" s="154"/>
      <c r="H237" s="154"/>
      <c r="I237" s="154"/>
      <c r="J237" s="154"/>
      <c r="K237" s="154"/>
      <c r="L237" s="154"/>
      <c r="M237" s="154"/>
      <c r="O237" s="96"/>
      <c r="P237" s="351"/>
      <c r="Q237" s="351"/>
      <c r="R237" s="351"/>
      <c r="S237" s="351"/>
      <c r="T237" s="351"/>
      <c r="U237" s="351"/>
      <c r="Z237" s="396"/>
      <c r="AB237" s="396"/>
    </row>
    <row r="238" spans="2:28">
      <c r="B238" s="154"/>
      <c r="C238" s="154"/>
      <c r="D238" s="154"/>
      <c r="E238" s="154"/>
      <c r="F238" s="154"/>
      <c r="G238" s="154"/>
      <c r="H238" s="154"/>
      <c r="I238" s="154"/>
      <c r="J238" s="154"/>
      <c r="K238" s="154"/>
      <c r="L238" s="154"/>
      <c r="M238" s="154"/>
      <c r="O238" s="96"/>
      <c r="P238" s="351"/>
      <c r="Q238" s="351"/>
      <c r="R238" s="351"/>
      <c r="S238" s="351"/>
      <c r="T238" s="351"/>
      <c r="U238" s="351"/>
      <c r="Z238" s="396"/>
      <c r="AB238" s="396"/>
    </row>
    <row r="239" spans="2:28">
      <c r="B239" s="154"/>
      <c r="C239" s="154"/>
      <c r="D239" s="154"/>
      <c r="E239" s="154"/>
      <c r="F239" s="154"/>
      <c r="G239" s="154"/>
      <c r="H239" s="154"/>
      <c r="I239" s="154"/>
      <c r="J239" s="154"/>
      <c r="K239" s="154"/>
      <c r="L239" s="154"/>
      <c r="M239" s="154"/>
      <c r="O239" s="96"/>
      <c r="P239" s="351"/>
      <c r="Q239" s="351"/>
      <c r="R239" s="351"/>
      <c r="S239" s="351"/>
      <c r="T239" s="351"/>
      <c r="U239" s="351"/>
      <c r="Z239" s="396"/>
      <c r="AB239" s="396"/>
    </row>
    <row r="240" spans="2:28">
      <c r="B240" s="154"/>
      <c r="C240" s="154"/>
      <c r="D240" s="154"/>
      <c r="E240" s="154"/>
      <c r="F240" s="154"/>
      <c r="G240" s="154"/>
      <c r="H240" s="154"/>
      <c r="I240" s="154"/>
      <c r="J240" s="154"/>
      <c r="K240" s="154"/>
      <c r="L240" s="154"/>
      <c r="M240" s="154"/>
      <c r="O240" s="96"/>
      <c r="P240" s="351"/>
      <c r="Q240" s="351"/>
      <c r="R240" s="351"/>
      <c r="S240" s="351"/>
      <c r="T240" s="351"/>
      <c r="U240" s="351"/>
      <c r="Z240" s="396"/>
      <c r="AB240" s="396"/>
    </row>
    <row r="241" spans="2:28">
      <c r="B241" s="154"/>
      <c r="C241" s="154"/>
      <c r="D241" s="154"/>
      <c r="E241" s="154"/>
      <c r="F241" s="154"/>
      <c r="G241" s="154"/>
      <c r="H241" s="154"/>
      <c r="I241" s="154"/>
      <c r="J241" s="154"/>
      <c r="K241" s="154"/>
      <c r="L241" s="154"/>
      <c r="M241" s="154"/>
      <c r="O241" s="96"/>
      <c r="P241" s="351"/>
      <c r="Q241" s="351"/>
      <c r="R241" s="351"/>
      <c r="S241" s="351"/>
      <c r="T241" s="351"/>
      <c r="U241" s="351"/>
      <c r="Z241" s="396"/>
      <c r="AB241" s="396"/>
    </row>
    <row r="242" spans="2:28">
      <c r="B242" s="154"/>
      <c r="C242" s="154"/>
      <c r="D242" s="154"/>
      <c r="E242" s="154"/>
      <c r="F242" s="154"/>
      <c r="G242" s="154"/>
      <c r="H242" s="154"/>
      <c r="I242" s="154"/>
      <c r="J242" s="154"/>
      <c r="K242" s="154"/>
      <c r="L242" s="154"/>
      <c r="M242" s="154"/>
      <c r="O242" s="96"/>
      <c r="P242" s="351"/>
      <c r="Q242" s="351"/>
      <c r="R242" s="351"/>
      <c r="S242" s="351"/>
      <c r="T242" s="351"/>
      <c r="U242" s="351"/>
      <c r="Z242" s="396"/>
      <c r="AB242" s="396"/>
    </row>
    <row r="243" spans="2:28">
      <c r="B243" s="154"/>
      <c r="C243" s="154"/>
      <c r="D243" s="154"/>
      <c r="E243" s="154"/>
      <c r="F243" s="154"/>
      <c r="G243" s="154"/>
      <c r="H243" s="154"/>
      <c r="I243" s="154"/>
      <c r="J243" s="154"/>
      <c r="K243" s="154"/>
      <c r="L243" s="154"/>
      <c r="M243" s="154"/>
      <c r="O243" s="96"/>
      <c r="P243" s="351"/>
      <c r="Q243" s="351"/>
      <c r="R243" s="351"/>
      <c r="S243" s="351"/>
      <c r="T243" s="351"/>
      <c r="U243" s="351"/>
      <c r="Z243" s="396"/>
      <c r="AB243" s="396"/>
    </row>
    <row r="244" spans="2:28">
      <c r="B244" s="154"/>
      <c r="C244" s="154"/>
      <c r="D244" s="154"/>
      <c r="E244" s="154"/>
      <c r="F244" s="154"/>
      <c r="G244" s="154"/>
      <c r="H244" s="154"/>
      <c r="I244" s="154"/>
      <c r="J244" s="154"/>
      <c r="K244" s="154"/>
      <c r="L244" s="154"/>
      <c r="M244" s="154"/>
      <c r="O244" s="96"/>
      <c r="P244" s="351"/>
      <c r="Q244" s="351"/>
      <c r="R244" s="351"/>
      <c r="S244" s="351"/>
      <c r="T244" s="351"/>
      <c r="U244" s="351"/>
      <c r="Z244" s="396"/>
      <c r="AB244" s="396"/>
    </row>
    <row r="245" spans="2:28">
      <c r="B245" s="154"/>
      <c r="C245" s="154"/>
      <c r="D245" s="154"/>
      <c r="E245" s="154"/>
      <c r="F245" s="154"/>
      <c r="G245" s="154"/>
      <c r="H245" s="154"/>
      <c r="I245" s="154"/>
      <c r="J245" s="154"/>
      <c r="K245" s="154"/>
      <c r="L245" s="154"/>
      <c r="M245" s="154"/>
      <c r="O245" s="96"/>
      <c r="P245" s="351"/>
      <c r="Q245" s="351"/>
      <c r="R245" s="351"/>
      <c r="S245" s="351"/>
      <c r="T245" s="351"/>
      <c r="U245" s="351"/>
      <c r="Z245" s="396"/>
      <c r="AB245" s="396"/>
    </row>
    <row r="246" spans="2:28">
      <c r="B246" s="154"/>
      <c r="C246" s="154"/>
      <c r="D246" s="154"/>
      <c r="E246" s="154"/>
      <c r="F246" s="154"/>
      <c r="G246" s="154"/>
      <c r="H246" s="154"/>
      <c r="I246" s="154"/>
      <c r="J246" s="154"/>
      <c r="K246" s="154"/>
      <c r="L246" s="154"/>
      <c r="M246" s="154"/>
      <c r="O246" s="96"/>
      <c r="P246" s="351"/>
      <c r="Q246" s="351"/>
      <c r="R246" s="351"/>
      <c r="S246" s="351"/>
      <c r="T246" s="351"/>
      <c r="U246" s="351"/>
      <c r="Z246" s="396"/>
      <c r="AB246" s="396"/>
    </row>
    <row r="247" spans="2:28">
      <c r="B247" s="154"/>
      <c r="C247" s="154"/>
      <c r="D247" s="154"/>
      <c r="E247" s="154"/>
      <c r="F247" s="154"/>
      <c r="G247" s="154"/>
      <c r="H247" s="154"/>
      <c r="I247" s="154"/>
      <c r="J247" s="154"/>
      <c r="K247" s="154"/>
      <c r="L247" s="154"/>
      <c r="M247" s="154"/>
      <c r="O247" s="96"/>
      <c r="P247" s="351"/>
      <c r="Q247" s="351"/>
      <c r="R247" s="351"/>
      <c r="S247" s="351"/>
      <c r="T247" s="351"/>
      <c r="U247" s="351"/>
      <c r="Z247" s="396"/>
      <c r="AB247" s="396"/>
    </row>
    <row r="248" spans="2:28">
      <c r="B248" s="154"/>
      <c r="C248" s="154"/>
      <c r="D248" s="154"/>
      <c r="E248" s="154"/>
      <c r="F248" s="154"/>
      <c r="G248" s="154"/>
      <c r="H248" s="154"/>
      <c r="I248" s="154"/>
      <c r="J248" s="154"/>
      <c r="K248" s="154"/>
      <c r="L248" s="154"/>
      <c r="M248" s="154"/>
      <c r="O248" s="96"/>
      <c r="P248" s="351"/>
      <c r="Q248" s="351"/>
      <c r="R248" s="351"/>
      <c r="S248" s="351"/>
      <c r="T248" s="351"/>
      <c r="U248" s="351"/>
      <c r="Z248" s="396"/>
      <c r="AB248" s="396"/>
    </row>
    <row r="249" spans="2:28">
      <c r="B249" s="154"/>
      <c r="C249" s="154"/>
      <c r="D249" s="154"/>
      <c r="E249" s="154"/>
      <c r="F249" s="154"/>
      <c r="G249" s="154"/>
      <c r="H249" s="154"/>
      <c r="I249" s="154"/>
      <c r="J249" s="154"/>
      <c r="K249" s="154"/>
      <c r="L249" s="154"/>
      <c r="M249" s="154"/>
      <c r="O249" s="96"/>
      <c r="P249" s="351"/>
      <c r="Q249" s="351"/>
      <c r="R249" s="351"/>
      <c r="S249" s="351"/>
      <c r="T249" s="351"/>
      <c r="U249" s="351"/>
      <c r="Z249" s="396"/>
      <c r="AB249" s="396"/>
    </row>
    <row r="250" spans="2:28">
      <c r="B250" s="154"/>
      <c r="C250" s="154"/>
      <c r="D250" s="154"/>
      <c r="E250" s="154"/>
      <c r="F250" s="154"/>
      <c r="G250" s="154"/>
      <c r="H250" s="154"/>
      <c r="I250" s="154"/>
      <c r="J250" s="154"/>
      <c r="K250" s="154"/>
      <c r="L250" s="154"/>
      <c r="M250" s="154"/>
      <c r="O250" s="96"/>
      <c r="P250" s="351"/>
      <c r="Q250" s="351"/>
      <c r="R250" s="351"/>
      <c r="S250" s="351"/>
      <c r="T250" s="351"/>
      <c r="U250" s="351"/>
      <c r="Z250" s="396"/>
      <c r="AB250" s="396"/>
    </row>
    <row r="251" spans="2:28">
      <c r="B251" s="154"/>
      <c r="C251" s="154"/>
      <c r="D251" s="154"/>
      <c r="E251" s="154"/>
      <c r="F251" s="154"/>
      <c r="G251" s="154"/>
      <c r="H251" s="154"/>
      <c r="I251" s="154"/>
      <c r="J251" s="154"/>
      <c r="K251" s="154"/>
      <c r="L251" s="154"/>
      <c r="M251" s="154"/>
      <c r="O251" s="96"/>
      <c r="P251" s="351"/>
      <c r="Q251" s="351"/>
      <c r="R251" s="351"/>
      <c r="S251" s="351"/>
      <c r="T251" s="351"/>
      <c r="U251" s="351"/>
      <c r="Z251" s="396"/>
      <c r="AB251" s="396"/>
    </row>
    <row r="252" spans="2:28">
      <c r="B252" s="154"/>
      <c r="C252" s="154"/>
      <c r="D252" s="154"/>
      <c r="E252" s="154"/>
      <c r="F252" s="154"/>
      <c r="G252" s="154"/>
      <c r="H252" s="154"/>
      <c r="I252" s="154"/>
      <c r="J252" s="154"/>
      <c r="K252" s="154"/>
      <c r="L252" s="154"/>
      <c r="M252" s="154"/>
      <c r="O252" s="96"/>
      <c r="P252" s="351"/>
      <c r="Q252" s="351"/>
      <c r="R252" s="351"/>
      <c r="S252" s="351"/>
      <c r="T252" s="351"/>
      <c r="U252" s="351"/>
      <c r="Z252" s="396"/>
      <c r="AB252" s="396"/>
    </row>
    <row r="253" spans="2:28">
      <c r="B253" s="154"/>
      <c r="C253" s="154"/>
      <c r="D253" s="154"/>
      <c r="E253" s="154"/>
      <c r="F253" s="154"/>
      <c r="G253" s="154"/>
      <c r="H253" s="154"/>
      <c r="I253" s="154"/>
      <c r="J253" s="154"/>
      <c r="K253" s="154"/>
      <c r="L253" s="154"/>
      <c r="M253" s="154"/>
      <c r="O253" s="96"/>
      <c r="P253" s="351"/>
      <c r="Q253" s="351"/>
      <c r="R253" s="351"/>
      <c r="S253" s="351"/>
      <c r="T253" s="351"/>
      <c r="U253" s="351"/>
      <c r="Z253" s="396"/>
      <c r="AB253" s="396"/>
    </row>
    <row r="254" spans="2:28">
      <c r="B254" s="154"/>
      <c r="C254" s="154"/>
      <c r="D254" s="154"/>
      <c r="E254" s="154"/>
      <c r="F254" s="154"/>
      <c r="G254" s="154"/>
      <c r="H254" s="154"/>
      <c r="I254" s="154"/>
      <c r="J254" s="154"/>
      <c r="K254" s="154"/>
      <c r="L254" s="154"/>
      <c r="M254" s="154"/>
      <c r="O254" s="96"/>
      <c r="P254" s="351"/>
      <c r="Q254" s="351"/>
      <c r="R254" s="351"/>
      <c r="S254" s="351"/>
      <c r="T254" s="351"/>
      <c r="U254" s="351"/>
      <c r="Z254" s="396"/>
      <c r="AB254" s="396"/>
    </row>
    <row r="255" spans="2:28">
      <c r="B255" s="154"/>
      <c r="C255" s="154"/>
      <c r="D255" s="154"/>
      <c r="E255" s="154"/>
      <c r="F255" s="154"/>
      <c r="G255" s="154"/>
      <c r="H255" s="154"/>
      <c r="I255" s="154"/>
      <c r="J255" s="154"/>
      <c r="K255" s="154"/>
      <c r="L255" s="154"/>
      <c r="M255" s="154"/>
      <c r="O255" s="96"/>
      <c r="P255" s="351"/>
      <c r="Q255" s="351"/>
      <c r="R255" s="351"/>
      <c r="S255" s="351"/>
      <c r="T255" s="351"/>
      <c r="U255" s="351"/>
      <c r="Z255" s="396"/>
      <c r="AB255" s="396"/>
    </row>
    <row r="256" spans="2:28">
      <c r="B256" s="154"/>
      <c r="C256" s="154"/>
      <c r="D256" s="154"/>
      <c r="E256" s="154"/>
      <c r="F256" s="154"/>
      <c r="G256" s="154"/>
      <c r="H256" s="154"/>
      <c r="I256" s="154"/>
      <c r="J256" s="154"/>
      <c r="K256" s="154"/>
      <c r="L256" s="154"/>
      <c r="M256" s="154"/>
      <c r="O256" s="96"/>
      <c r="P256" s="351"/>
      <c r="Q256" s="351"/>
      <c r="R256" s="351"/>
      <c r="S256" s="351"/>
      <c r="T256" s="351"/>
      <c r="U256" s="351"/>
      <c r="Z256" s="396"/>
      <c r="AB256" s="396"/>
    </row>
    <row r="257" spans="2:28">
      <c r="B257" s="154"/>
      <c r="C257" s="154"/>
      <c r="D257" s="154"/>
      <c r="E257" s="154"/>
      <c r="F257" s="154"/>
      <c r="G257" s="154"/>
      <c r="H257" s="154"/>
      <c r="I257" s="154"/>
      <c r="J257" s="154"/>
      <c r="K257" s="154"/>
      <c r="L257" s="154"/>
      <c r="M257" s="154"/>
      <c r="O257" s="96"/>
      <c r="P257" s="351"/>
      <c r="Q257" s="351"/>
      <c r="R257" s="351"/>
      <c r="S257" s="351"/>
      <c r="T257" s="351"/>
      <c r="U257" s="351"/>
      <c r="Z257" s="396"/>
      <c r="AB257" s="396"/>
    </row>
    <row r="258" spans="2:28">
      <c r="B258" s="154"/>
      <c r="C258" s="154"/>
      <c r="D258" s="154"/>
      <c r="E258" s="154"/>
      <c r="F258" s="154"/>
      <c r="G258" s="154"/>
      <c r="H258" s="154"/>
      <c r="I258" s="154"/>
      <c r="J258" s="154"/>
      <c r="K258" s="154"/>
      <c r="L258" s="154"/>
      <c r="M258" s="154"/>
      <c r="O258" s="96"/>
      <c r="P258" s="351"/>
      <c r="Q258" s="351"/>
      <c r="R258" s="351"/>
      <c r="S258" s="351"/>
      <c r="T258" s="351"/>
      <c r="U258" s="351"/>
      <c r="Z258" s="396"/>
      <c r="AB258" s="396"/>
    </row>
    <row r="259" spans="2:28">
      <c r="B259" s="154"/>
      <c r="C259" s="154"/>
      <c r="D259" s="154"/>
      <c r="E259" s="154"/>
      <c r="F259" s="154"/>
      <c r="G259" s="154"/>
      <c r="H259" s="154"/>
      <c r="I259" s="154"/>
      <c r="J259" s="154"/>
      <c r="K259" s="154"/>
      <c r="L259" s="154"/>
      <c r="O259" s="96"/>
      <c r="P259" s="351"/>
      <c r="Q259" s="351"/>
      <c r="R259" s="351"/>
      <c r="S259" s="351"/>
      <c r="T259" s="351"/>
      <c r="U259" s="351"/>
      <c r="Z259" s="396"/>
      <c r="AB259" s="396"/>
    </row>
    <row r="260" spans="2:28">
      <c r="B260" s="154"/>
      <c r="C260" s="154"/>
      <c r="D260" s="154"/>
      <c r="E260" s="154"/>
      <c r="F260" s="154"/>
      <c r="G260" s="154"/>
      <c r="H260" s="154"/>
      <c r="I260" s="154"/>
      <c r="J260" s="154"/>
      <c r="K260" s="154"/>
      <c r="L260" s="154"/>
      <c r="O260" s="96"/>
      <c r="P260" s="351"/>
      <c r="Q260" s="351"/>
      <c r="R260" s="351"/>
      <c r="S260" s="351"/>
      <c r="T260" s="351"/>
      <c r="U260" s="351"/>
      <c r="Z260" s="396"/>
      <c r="AB260" s="396"/>
    </row>
    <row r="261" spans="2:28">
      <c r="B261" s="154"/>
      <c r="C261" s="154"/>
      <c r="D261" s="154"/>
      <c r="E261" s="154"/>
      <c r="F261" s="154"/>
      <c r="G261" s="154"/>
      <c r="H261" s="154"/>
      <c r="I261" s="154"/>
      <c r="J261" s="154"/>
      <c r="K261" s="154"/>
      <c r="L261" s="154"/>
      <c r="O261" s="96"/>
      <c r="P261" s="351"/>
      <c r="Q261" s="351"/>
      <c r="R261" s="351"/>
      <c r="S261" s="351"/>
      <c r="T261" s="351"/>
      <c r="U261" s="351"/>
      <c r="Z261" s="396"/>
      <c r="AB261" s="396"/>
    </row>
    <row r="262" spans="2:28">
      <c r="B262" s="154"/>
      <c r="C262" s="154"/>
      <c r="D262" s="154"/>
      <c r="E262" s="154"/>
      <c r="F262" s="154"/>
      <c r="G262" s="154"/>
      <c r="H262" s="154"/>
      <c r="I262" s="154"/>
      <c r="J262" s="154"/>
      <c r="K262" s="154"/>
      <c r="L262" s="154"/>
      <c r="O262" s="96"/>
      <c r="P262" s="351"/>
      <c r="Q262" s="351"/>
      <c r="R262" s="351"/>
      <c r="S262" s="351"/>
      <c r="T262" s="351"/>
      <c r="U262" s="351"/>
      <c r="Z262" s="396"/>
      <c r="AB262" s="396"/>
    </row>
    <row r="263" spans="2:28">
      <c r="B263" s="154"/>
      <c r="C263" s="154"/>
      <c r="D263" s="154"/>
      <c r="E263" s="154"/>
      <c r="F263" s="154"/>
      <c r="G263" s="154"/>
      <c r="H263" s="154"/>
      <c r="I263" s="154"/>
      <c r="J263" s="154"/>
      <c r="K263" s="154"/>
      <c r="L263" s="154"/>
      <c r="O263" s="96"/>
      <c r="P263" s="351"/>
      <c r="Q263" s="351"/>
      <c r="R263" s="351"/>
      <c r="S263" s="351"/>
      <c r="T263" s="351"/>
      <c r="U263" s="351"/>
      <c r="Z263" s="396"/>
      <c r="AB263" s="396"/>
    </row>
    <row r="264" spans="2:28">
      <c r="B264" s="154"/>
      <c r="C264" s="154"/>
      <c r="D264" s="154"/>
      <c r="E264" s="154"/>
      <c r="F264" s="154"/>
      <c r="G264" s="154"/>
      <c r="H264" s="154"/>
      <c r="I264" s="154"/>
      <c r="J264" s="154"/>
      <c r="K264" s="154"/>
      <c r="L264" s="154"/>
      <c r="O264" s="96"/>
      <c r="P264" s="351"/>
      <c r="Q264" s="351"/>
      <c r="R264" s="351"/>
      <c r="S264" s="351"/>
      <c r="T264" s="351"/>
      <c r="U264" s="351"/>
      <c r="Z264" s="396"/>
      <c r="AB264" s="396"/>
    </row>
    <row r="265" spans="2:28">
      <c r="B265" s="154"/>
      <c r="C265" s="154"/>
      <c r="D265" s="154"/>
      <c r="E265" s="154"/>
      <c r="F265" s="154"/>
      <c r="G265" s="154"/>
      <c r="H265" s="154"/>
      <c r="I265" s="154"/>
      <c r="J265" s="154"/>
      <c r="K265" s="154"/>
      <c r="L265" s="154"/>
      <c r="O265" s="96"/>
      <c r="P265" s="351"/>
      <c r="Q265" s="351"/>
      <c r="R265" s="351"/>
      <c r="S265" s="351"/>
      <c r="T265" s="351"/>
      <c r="U265" s="351"/>
      <c r="Z265" s="396"/>
      <c r="AB265" s="396"/>
    </row>
    <row r="266" spans="2:28">
      <c r="B266" s="154"/>
      <c r="C266" s="154"/>
      <c r="D266" s="154"/>
      <c r="E266" s="154"/>
      <c r="F266" s="154"/>
      <c r="G266" s="154"/>
      <c r="H266" s="154"/>
      <c r="I266" s="154"/>
      <c r="J266" s="154"/>
      <c r="K266" s="154"/>
      <c r="L266" s="154"/>
      <c r="O266" s="96"/>
      <c r="P266" s="351"/>
      <c r="Q266" s="351"/>
      <c r="R266" s="351"/>
      <c r="S266" s="351"/>
      <c r="T266" s="351"/>
      <c r="U266" s="351"/>
      <c r="Z266" s="396"/>
      <c r="AB266" s="396"/>
    </row>
    <row r="267" spans="2:28">
      <c r="B267" s="154"/>
      <c r="C267" s="154"/>
      <c r="D267" s="154"/>
      <c r="E267" s="154"/>
      <c r="F267" s="154"/>
      <c r="G267" s="154"/>
      <c r="H267" s="154"/>
      <c r="I267" s="154"/>
      <c r="J267" s="154"/>
      <c r="K267" s="154"/>
      <c r="L267" s="154"/>
      <c r="O267" s="96"/>
      <c r="P267" s="351"/>
      <c r="Q267" s="351"/>
      <c r="R267" s="351"/>
      <c r="S267" s="351"/>
      <c r="T267" s="351"/>
      <c r="U267" s="351"/>
      <c r="Z267" s="396"/>
      <c r="AB267" s="396"/>
    </row>
    <row r="268" spans="2:28">
      <c r="B268" s="154"/>
      <c r="C268" s="154"/>
      <c r="D268" s="154"/>
      <c r="E268" s="154"/>
      <c r="F268" s="154"/>
      <c r="G268" s="154"/>
      <c r="H268" s="154"/>
      <c r="I268" s="154"/>
      <c r="J268" s="154"/>
      <c r="K268" s="154"/>
      <c r="L268" s="154"/>
      <c r="O268" s="96"/>
      <c r="P268" s="351"/>
      <c r="Q268" s="351"/>
      <c r="R268" s="351"/>
      <c r="S268" s="351"/>
      <c r="T268" s="351"/>
      <c r="U268" s="351"/>
      <c r="Z268" s="396"/>
      <c r="AB268" s="396"/>
    </row>
    <row r="269" spans="2:28">
      <c r="B269" s="154"/>
      <c r="C269" s="154"/>
      <c r="D269" s="154"/>
      <c r="E269" s="154"/>
      <c r="F269" s="154"/>
      <c r="G269" s="154"/>
      <c r="H269" s="154"/>
      <c r="I269" s="154"/>
      <c r="J269" s="154"/>
      <c r="K269" s="154"/>
      <c r="L269" s="154"/>
      <c r="O269" s="96"/>
      <c r="P269" s="351"/>
      <c r="Q269" s="351"/>
      <c r="R269" s="351"/>
      <c r="S269" s="351"/>
      <c r="T269" s="351"/>
      <c r="U269" s="351"/>
      <c r="Z269" s="396"/>
      <c r="AB269" s="396"/>
    </row>
    <row r="270" spans="2:28">
      <c r="B270" s="154"/>
      <c r="C270" s="154"/>
      <c r="D270" s="154"/>
      <c r="E270" s="154"/>
      <c r="F270" s="154"/>
      <c r="G270" s="154"/>
      <c r="H270" s="154"/>
      <c r="I270" s="154"/>
      <c r="J270" s="154"/>
      <c r="K270" s="154"/>
      <c r="L270" s="154"/>
      <c r="O270" s="96"/>
      <c r="P270" s="351"/>
      <c r="Q270" s="351"/>
      <c r="R270" s="351"/>
      <c r="S270" s="351"/>
      <c r="T270" s="351"/>
      <c r="U270" s="351"/>
      <c r="Z270" s="396"/>
      <c r="AB270" s="396"/>
    </row>
    <row r="271" spans="2:28">
      <c r="B271" s="154"/>
      <c r="C271" s="154"/>
      <c r="D271" s="154"/>
      <c r="E271" s="154"/>
      <c r="F271" s="154"/>
      <c r="G271" s="154"/>
      <c r="H271" s="154"/>
      <c r="I271" s="154"/>
      <c r="J271" s="154"/>
      <c r="K271" s="154"/>
      <c r="L271" s="154"/>
      <c r="O271" s="96"/>
      <c r="P271" s="351"/>
      <c r="Q271" s="351"/>
      <c r="R271" s="351"/>
      <c r="S271" s="351"/>
      <c r="T271" s="351"/>
      <c r="U271" s="351"/>
      <c r="Z271" s="396"/>
      <c r="AB271" s="396"/>
    </row>
    <row r="272" spans="2:28">
      <c r="B272" s="154"/>
      <c r="C272" s="154"/>
      <c r="D272" s="154"/>
      <c r="E272" s="154"/>
      <c r="F272" s="154"/>
      <c r="G272" s="154"/>
      <c r="H272" s="154"/>
      <c r="I272" s="154"/>
      <c r="J272" s="154"/>
      <c r="K272" s="154"/>
      <c r="L272" s="154"/>
      <c r="O272" s="96"/>
      <c r="P272" s="351"/>
      <c r="Q272" s="351"/>
      <c r="R272" s="351"/>
      <c r="S272" s="351"/>
      <c r="T272" s="351"/>
      <c r="U272" s="351"/>
      <c r="Z272" s="396"/>
      <c r="AB272" s="396"/>
    </row>
    <row r="273" spans="2:28">
      <c r="B273" s="154"/>
      <c r="C273" s="154"/>
      <c r="D273" s="154"/>
      <c r="E273" s="154"/>
      <c r="F273" s="154"/>
      <c r="G273" s="154"/>
      <c r="H273" s="154"/>
      <c r="I273" s="154"/>
      <c r="J273" s="154"/>
      <c r="K273" s="154"/>
      <c r="L273" s="154"/>
      <c r="O273" s="96"/>
      <c r="P273" s="351"/>
      <c r="Q273" s="351"/>
      <c r="R273" s="351"/>
      <c r="S273" s="351"/>
      <c r="T273" s="351"/>
      <c r="U273" s="351"/>
      <c r="Z273" s="396"/>
      <c r="AB273" s="396"/>
    </row>
    <row r="274" spans="2:28">
      <c r="B274" s="96"/>
      <c r="C274" s="96"/>
      <c r="D274" s="96"/>
      <c r="E274" s="96"/>
      <c r="F274" s="96"/>
      <c r="G274" s="96"/>
      <c r="H274" s="96"/>
      <c r="O274" s="96"/>
      <c r="P274" s="351"/>
      <c r="Q274" s="351"/>
      <c r="R274" s="351"/>
      <c r="S274" s="351"/>
      <c r="T274" s="351"/>
      <c r="U274" s="351"/>
      <c r="Z274" s="396"/>
      <c r="AB274" s="396"/>
    </row>
    <row r="275" spans="2:28">
      <c r="B275" s="96"/>
      <c r="C275" s="96"/>
      <c r="D275" s="96"/>
      <c r="E275" s="96"/>
      <c r="F275" s="96"/>
      <c r="G275" s="96"/>
      <c r="H275" s="96"/>
      <c r="O275" s="96"/>
      <c r="P275" s="351"/>
      <c r="Q275" s="351"/>
      <c r="R275" s="351"/>
      <c r="S275" s="351"/>
      <c r="T275" s="351"/>
      <c r="U275" s="351"/>
      <c r="Z275" s="396"/>
      <c r="AB275" s="396"/>
    </row>
    <row r="276" spans="2:28">
      <c r="B276" s="96"/>
      <c r="C276" s="96"/>
      <c r="D276" s="96"/>
      <c r="E276" s="96"/>
      <c r="F276" s="96"/>
      <c r="G276" s="96"/>
      <c r="H276" s="96"/>
      <c r="O276" s="96"/>
      <c r="P276" s="351"/>
      <c r="Q276" s="351"/>
      <c r="R276" s="351"/>
      <c r="S276" s="351"/>
      <c r="T276" s="351"/>
      <c r="U276" s="351"/>
      <c r="Z276" s="396"/>
      <c r="AB276" s="396"/>
    </row>
    <row r="277" spans="2:28">
      <c r="B277" s="96"/>
      <c r="C277" s="96"/>
      <c r="D277" s="96"/>
      <c r="E277" s="96"/>
      <c r="F277" s="96"/>
      <c r="G277" s="96"/>
      <c r="H277" s="96"/>
      <c r="O277" s="96"/>
      <c r="P277" s="351"/>
      <c r="Q277" s="351"/>
      <c r="R277" s="351"/>
      <c r="S277" s="351"/>
      <c r="T277" s="351"/>
      <c r="U277" s="351"/>
      <c r="Z277" s="396"/>
      <c r="AB277" s="396"/>
    </row>
    <row r="278" spans="2:28">
      <c r="B278" s="96"/>
      <c r="C278" s="96"/>
      <c r="D278" s="96"/>
      <c r="E278" s="96"/>
      <c r="F278" s="96"/>
      <c r="G278" s="96"/>
      <c r="H278" s="96"/>
      <c r="O278" s="96"/>
      <c r="P278" s="351"/>
      <c r="Q278" s="351"/>
      <c r="R278" s="351"/>
      <c r="S278" s="351"/>
      <c r="T278" s="351"/>
      <c r="U278" s="351"/>
      <c r="Z278" s="396"/>
      <c r="AB278" s="396"/>
    </row>
    <row r="279" spans="2:28">
      <c r="B279" s="96"/>
      <c r="C279" s="96"/>
      <c r="D279" s="96"/>
      <c r="E279" s="96"/>
      <c r="F279" s="96"/>
      <c r="G279" s="96"/>
      <c r="H279" s="96"/>
      <c r="O279" s="96"/>
      <c r="P279" s="351"/>
      <c r="Q279" s="351"/>
      <c r="R279" s="351"/>
      <c r="S279" s="351"/>
      <c r="T279" s="351"/>
      <c r="U279" s="351"/>
      <c r="Z279" s="396"/>
      <c r="AB279" s="396"/>
    </row>
    <row r="280" spans="2:28">
      <c r="B280" s="96"/>
      <c r="C280" s="96"/>
      <c r="D280" s="96"/>
      <c r="E280" s="96"/>
      <c r="F280" s="96"/>
      <c r="G280" s="96"/>
      <c r="H280" s="96"/>
      <c r="O280" s="96"/>
      <c r="P280" s="351"/>
      <c r="Q280" s="351"/>
      <c r="R280" s="351"/>
      <c r="S280" s="351"/>
      <c r="T280" s="351"/>
      <c r="U280" s="351"/>
      <c r="Z280" s="396"/>
      <c r="AB280" s="396"/>
    </row>
    <row r="281" spans="2:28">
      <c r="B281" s="96"/>
      <c r="C281" s="96"/>
      <c r="D281" s="96"/>
      <c r="E281" s="96"/>
      <c r="F281" s="96"/>
      <c r="G281" s="96"/>
      <c r="H281" s="96"/>
      <c r="O281" s="96"/>
      <c r="P281" s="351"/>
      <c r="Q281" s="351"/>
      <c r="R281" s="351"/>
      <c r="S281" s="351"/>
      <c r="T281" s="351"/>
      <c r="U281" s="351"/>
      <c r="Z281" s="396"/>
      <c r="AB281" s="396"/>
    </row>
    <row r="282" spans="2:28">
      <c r="B282" s="96"/>
      <c r="C282" s="96"/>
      <c r="D282" s="96"/>
      <c r="E282" s="96"/>
      <c r="F282" s="96"/>
      <c r="G282" s="96"/>
      <c r="H282" s="96"/>
      <c r="O282" s="96"/>
      <c r="P282" s="351"/>
      <c r="Q282" s="351"/>
      <c r="R282" s="351"/>
      <c r="S282" s="351"/>
      <c r="T282" s="351"/>
      <c r="U282" s="351"/>
      <c r="Z282" s="396"/>
      <c r="AB282" s="396"/>
    </row>
    <row r="283" spans="2:28">
      <c r="B283" s="96"/>
      <c r="C283" s="96"/>
      <c r="D283" s="96"/>
      <c r="E283" s="96"/>
      <c r="F283" s="96"/>
      <c r="G283" s="96"/>
      <c r="H283" s="96"/>
      <c r="O283" s="96"/>
      <c r="P283" s="351"/>
      <c r="Q283" s="351"/>
      <c r="R283" s="351"/>
      <c r="S283" s="351"/>
      <c r="T283" s="351"/>
      <c r="U283" s="351"/>
      <c r="Z283" s="396"/>
      <c r="AB283" s="396"/>
    </row>
    <row r="284" spans="2:28">
      <c r="B284" s="96"/>
      <c r="C284" s="96"/>
      <c r="D284" s="96"/>
      <c r="E284" s="96"/>
      <c r="F284" s="96"/>
      <c r="G284" s="96"/>
      <c r="H284" s="96"/>
      <c r="O284" s="96"/>
      <c r="P284" s="351"/>
      <c r="Q284" s="351"/>
      <c r="R284" s="351"/>
      <c r="S284" s="351"/>
      <c r="T284" s="351"/>
      <c r="U284" s="351"/>
      <c r="Z284" s="396"/>
      <c r="AB284" s="396"/>
    </row>
    <row r="285" spans="2:28">
      <c r="B285" s="96"/>
      <c r="C285" s="96"/>
      <c r="D285" s="96"/>
      <c r="E285" s="96"/>
      <c r="F285" s="96"/>
      <c r="G285" s="96"/>
      <c r="H285" s="96"/>
      <c r="O285" s="96"/>
      <c r="P285" s="351"/>
      <c r="Q285" s="351"/>
      <c r="R285" s="351"/>
      <c r="S285" s="351"/>
      <c r="T285" s="351"/>
      <c r="U285" s="351"/>
      <c r="Z285" s="396"/>
      <c r="AB285" s="396"/>
    </row>
    <row r="286" spans="2:28">
      <c r="B286" s="96"/>
      <c r="C286" s="96"/>
      <c r="D286" s="96"/>
      <c r="E286" s="96"/>
      <c r="F286" s="96"/>
      <c r="G286" s="96"/>
      <c r="H286" s="96"/>
      <c r="O286" s="96"/>
      <c r="P286" s="351"/>
      <c r="Q286" s="351"/>
      <c r="R286" s="351"/>
      <c r="S286" s="351"/>
      <c r="T286" s="351"/>
      <c r="U286" s="351"/>
      <c r="Z286" s="396"/>
      <c r="AB286" s="396"/>
    </row>
    <row r="287" spans="2:28">
      <c r="B287" s="96"/>
      <c r="C287" s="96"/>
      <c r="D287" s="96"/>
      <c r="E287" s="96"/>
      <c r="F287" s="96"/>
      <c r="G287" s="96"/>
      <c r="H287" s="96"/>
      <c r="O287" s="96"/>
      <c r="P287" s="351"/>
      <c r="Q287" s="351"/>
      <c r="R287" s="351"/>
      <c r="S287" s="351"/>
      <c r="T287" s="351"/>
      <c r="U287" s="351"/>
      <c r="Z287" s="396"/>
      <c r="AB287" s="396"/>
    </row>
    <row r="288" spans="2:28">
      <c r="B288" s="96"/>
      <c r="C288" s="96"/>
      <c r="D288" s="96"/>
      <c r="E288" s="96"/>
      <c r="F288" s="96"/>
      <c r="G288" s="96"/>
      <c r="H288" s="96"/>
      <c r="O288" s="96"/>
      <c r="P288" s="351"/>
      <c r="Q288" s="351"/>
      <c r="R288" s="351"/>
      <c r="S288" s="351"/>
      <c r="T288" s="351"/>
      <c r="U288" s="351"/>
      <c r="Z288" s="396"/>
      <c r="AB288" s="396"/>
    </row>
    <row r="289" spans="2:28">
      <c r="B289" s="96"/>
      <c r="C289" s="96"/>
      <c r="D289" s="96"/>
      <c r="E289" s="96"/>
      <c r="F289" s="96"/>
      <c r="G289" s="96"/>
      <c r="H289" s="96"/>
      <c r="O289" s="96"/>
      <c r="P289" s="351"/>
      <c r="Q289" s="351"/>
      <c r="R289" s="351"/>
      <c r="S289" s="351"/>
      <c r="T289" s="351"/>
      <c r="U289" s="351"/>
      <c r="Z289" s="396"/>
      <c r="AB289" s="396"/>
    </row>
    <row r="290" spans="2:28">
      <c r="B290" s="96"/>
      <c r="C290" s="96"/>
      <c r="D290" s="96"/>
      <c r="E290" s="96"/>
      <c r="F290" s="96"/>
      <c r="G290" s="96"/>
      <c r="H290" s="96"/>
      <c r="O290" s="96"/>
      <c r="P290" s="351"/>
      <c r="Q290" s="351"/>
      <c r="R290" s="351"/>
      <c r="S290" s="351"/>
      <c r="T290" s="351"/>
      <c r="U290" s="351"/>
      <c r="Z290" s="396"/>
      <c r="AB290" s="396"/>
    </row>
    <row r="291" spans="2:28">
      <c r="B291" s="96"/>
      <c r="C291" s="96"/>
      <c r="D291" s="96"/>
      <c r="E291" s="96"/>
      <c r="F291" s="96"/>
      <c r="G291" s="96"/>
      <c r="H291" s="96"/>
      <c r="O291" s="96"/>
      <c r="P291" s="351"/>
      <c r="Q291" s="351"/>
      <c r="R291" s="351"/>
      <c r="S291" s="351"/>
      <c r="T291" s="351"/>
      <c r="U291" s="351"/>
      <c r="Z291" s="396"/>
      <c r="AB291" s="396"/>
    </row>
    <row r="292" spans="2:28">
      <c r="B292" s="96"/>
      <c r="C292" s="96"/>
      <c r="D292" s="96"/>
      <c r="E292" s="96"/>
      <c r="F292" s="96"/>
      <c r="G292" s="96"/>
      <c r="H292" s="96"/>
      <c r="O292" s="96"/>
      <c r="P292" s="351"/>
      <c r="Q292" s="351"/>
      <c r="R292" s="351"/>
      <c r="S292" s="351"/>
      <c r="T292" s="351"/>
      <c r="U292" s="351"/>
      <c r="Z292" s="396"/>
      <c r="AB292" s="396"/>
    </row>
    <row r="293" spans="2:28">
      <c r="B293" s="96"/>
      <c r="C293" s="96"/>
      <c r="D293" s="96"/>
      <c r="E293" s="96"/>
      <c r="F293" s="96"/>
      <c r="G293" s="96"/>
      <c r="H293" s="96"/>
      <c r="O293" s="96"/>
      <c r="P293" s="351"/>
      <c r="Q293" s="351"/>
      <c r="R293" s="351"/>
      <c r="S293" s="351"/>
      <c r="T293" s="351"/>
      <c r="U293" s="351"/>
      <c r="Z293" s="396"/>
      <c r="AB293" s="396"/>
    </row>
    <row r="294" spans="2:28">
      <c r="B294" s="96"/>
      <c r="C294" s="96"/>
      <c r="D294" s="96"/>
      <c r="E294" s="96"/>
      <c r="F294" s="96"/>
      <c r="G294" s="96"/>
      <c r="H294" s="96"/>
      <c r="O294" s="96"/>
      <c r="P294" s="351"/>
      <c r="Q294" s="351"/>
      <c r="R294" s="351"/>
      <c r="S294" s="351"/>
      <c r="T294" s="351"/>
      <c r="U294" s="351"/>
      <c r="Z294" s="396"/>
      <c r="AB294" s="396"/>
    </row>
    <row r="295" spans="2:28">
      <c r="B295" s="96"/>
      <c r="C295" s="96"/>
      <c r="D295" s="96"/>
      <c r="E295" s="96"/>
      <c r="F295" s="96"/>
      <c r="G295" s="96"/>
      <c r="H295" s="96"/>
      <c r="O295" s="96"/>
      <c r="P295" s="351"/>
      <c r="Q295" s="351"/>
      <c r="R295" s="351"/>
      <c r="S295" s="351"/>
      <c r="T295" s="351"/>
      <c r="U295" s="351"/>
      <c r="Z295" s="396"/>
      <c r="AB295" s="396"/>
    </row>
    <row r="296" spans="2:28">
      <c r="B296" s="96"/>
      <c r="C296" s="96"/>
      <c r="D296" s="96"/>
      <c r="E296" s="96"/>
      <c r="F296" s="96"/>
      <c r="G296" s="96"/>
      <c r="H296" s="96"/>
      <c r="O296" s="96"/>
      <c r="P296" s="351"/>
      <c r="Q296" s="351"/>
      <c r="R296" s="351"/>
      <c r="S296" s="351"/>
      <c r="T296" s="351"/>
      <c r="U296" s="351"/>
      <c r="Z296" s="396"/>
      <c r="AB296" s="396"/>
    </row>
    <row r="297" spans="2:28">
      <c r="B297" s="96"/>
      <c r="C297" s="96"/>
      <c r="D297" s="96"/>
      <c r="E297" s="96"/>
      <c r="F297" s="96"/>
      <c r="G297" s="96"/>
      <c r="H297" s="96"/>
      <c r="O297" s="96"/>
      <c r="P297" s="351"/>
      <c r="Q297" s="351"/>
      <c r="R297" s="351"/>
      <c r="S297" s="351"/>
      <c r="T297" s="351"/>
      <c r="U297" s="351"/>
      <c r="Z297" s="396"/>
      <c r="AB297" s="396"/>
    </row>
    <row r="298" spans="2:28">
      <c r="B298" s="96"/>
      <c r="C298" s="96"/>
      <c r="D298" s="96"/>
      <c r="E298" s="96"/>
      <c r="F298" s="96"/>
      <c r="G298" s="96"/>
      <c r="H298" s="96"/>
      <c r="O298" s="96"/>
      <c r="P298" s="351"/>
      <c r="Q298" s="351"/>
      <c r="R298" s="351"/>
      <c r="S298" s="351"/>
      <c r="T298" s="351"/>
      <c r="U298" s="351"/>
      <c r="Z298" s="396"/>
      <c r="AB298" s="396"/>
    </row>
    <row r="299" spans="2:28">
      <c r="B299" s="96"/>
      <c r="C299" s="96"/>
      <c r="D299" s="96"/>
      <c r="E299" s="96"/>
      <c r="F299" s="96"/>
      <c r="G299" s="96"/>
      <c r="H299" s="96"/>
      <c r="O299" s="96"/>
      <c r="P299" s="351"/>
      <c r="Q299" s="351"/>
      <c r="R299" s="351"/>
      <c r="S299" s="351"/>
      <c r="T299" s="351"/>
      <c r="U299" s="351"/>
      <c r="Z299" s="396"/>
      <c r="AB299" s="396"/>
    </row>
    <row r="300" spans="2:28">
      <c r="B300" s="96"/>
      <c r="C300" s="96"/>
      <c r="D300" s="96"/>
      <c r="E300" s="96"/>
      <c r="F300" s="96"/>
      <c r="G300" s="96"/>
      <c r="H300" s="96"/>
      <c r="O300" s="96"/>
      <c r="P300" s="351"/>
      <c r="Q300" s="351"/>
      <c r="R300" s="351"/>
      <c r="S300" s="351"/>
      <c r="T300" s="351"/>
      <c r="U300" s="351"/>
      <c r="Z300" s="396"/>
      <c r="AB300" s="396"/>
    </row>
    <row r="301" spans="2:28">
      <c r="B301" s="96"/>
      <c r="C301" s="96"/>
      <c r="D301" s="96"/>
      <c r="E301" s="96"/>
      <c r="F301" s="96"/>
      <c r="G301" s="96"/>
      <c r="H301" s="96"/>
      <c r="O301" s="96"/>
      <c r="P301" s="351"/>
      <c r="Q301" s="351"/>
      <c r="R301" s="351"/>
      <c r="S301" s="351"/>
      <c r="T301" s="351"/>
      <c r="U301" s="351"/>
      <c r="Z301" s="396"/>
      <c r="AB301" s="396"/>
    </row>
    <row r="302" spans="2:28">
      <c r="B302" s="96"/>
      <c r="C302" s="96"/>
      <c r="D302" s="96"/>
      <c r="E302" s="96"/>
      <c r="F302" s="96"/>
      <c r="G302" s="96"/>
      <c r="H302" s="96"/>
      <c r="O302" s="96"/>
      <c r="P302" s="351"/>
      <c r="Q302" s="351"/>
      <c r="R302" s="351"/>
      <c r="S302" s="351"/>
      <c r="T302" s="351"/>
      <c r="U302" s="351"/>
      <c r="Z302" s="396"/>
      <c r="AB302" s="396"/>
    </row>
    <row r="303" spans="2:28">
      <c r="B303" s="96"/>
      <c r="C303" s="96"/>
      <c r="D303" s="96"/>
      <c r="E303" s="96"/>
      <c r="F303" s="96"/>
      <c r="G303" s="96"/>
      <c r="H303" s="96"/>
      <c r="O303" s="96"/>
      <c r="P303" s="351"/>
      <c r="Q303" s="351"/>
      <c r="R303" s="351"/>
      <c r="S303" s="351"/>
      <c r="T303" s="351"/>
      <c r="U303" s="351"/>
      <c r="Z303" s="396"/>
      <c r="AB303" s="396"/>
    </row>
    <row r="304" spans="2:28">
      <c r="B304" s="96"/>
      <c r="C304" s="96"/>
      <c r="D304" s="96"/>
      <c r="E304" s="96"/>
      <c r="F304" s="96"/>
      <c r="G304" s="96"/>
      <c r="H304" s="96"/>
      <c r="O304" s="96"/>
      <c r="P304" s="351"/>
      <c r="Q304" s="351"/>
      <c r="R304" s="351"/>
      <c r="S304" s="351"/>
      <c r="T304" s="351"/>
      <c r="U304" s="351"/>
      <c r="Z304" s="396"/>
      <c r="AB304" s="396"/>
    </row>
    <row r="305" spans="2:28">
      <c r="B305" s="96"/>
      <c r="C305" s="96"/>
      <c r="D305" s="96"/>
      <c r="E305" s="96"/>
      <c r="F305" s="96"/>
      <c r="G305" s="96"/>
      <c r="H305" s="96"/>
      <c r="O305" s="96"/>
      <c r="P305" s="351"/>
      <c r="Q305" s="351"/>
      <c r="R305" s="351"/>
      <c r="S305" s="351"/>
      <c r="T305" s="351"/>
      <c r="U305" s="351"/>
      <c r="Z305" s="396"/>
      <c r="AB305" s="396"/>
    </row>
    <row r="306" spans="2:28">
      <c r="B306" s="96"/>
      <c r="C306" s="96"/>
      <c r="D306" s="96"/>
      <c r="E306" s="96"/>
      <c r="F306" s="96"/>
      <c r="G306" s="96"/>
      <c r="H306" s="96"/>
      <c r="O306" s="96"/>
      <c r="P306" s="351"/>
      <c r="Q306" s="351"/>
      <c r="R306" s="351"/>
      <c r="S306" s="351"/>
      <c r="T306" s="351"/>
      <c r="U306" s="351"/>
      <c r="Z306" s="396"/>
      <c r="AB306" s="396"/>
    </row>
    <row r="307" spans="2:28">
      <c r="B307" s="96"/>
      <c r="C307" s="96"/>
      <c r="D307" s="96"/>
      <c r="E307" s="96"/>
      <c r="F307" s="96"/>
      <c r="G307" s="96"/>
      <c r="H307" s="96"/>
      <c r="O307" s="96"/>
      <c r="P307" s="351"/>
      <c r="Q307" s="351"/>
      <c r="R307" s="351"/>
      <c r="S307" s="351"/>
      <c r="T307" s="351"/>
      <c r="U307" s="351"/>
      <c r="Z307" s="396"/>
      <c r="AB307" s="396"/>
    </row>
    <row r="308" spans="2:28">
      <c r="B308" s="96"/>
      <c r="C308" s="96"/>
      <c r="D308" s="96"/>
      <c r="E308" s="96"/>
      <c r="F308" s="96"/>
      <c r="G308" s="96"/>
      <c r="H308" s="96"/>
      <c r="O308" s="96"/>
      <c r="P308" s="351"/>
      <c r="Q308" s="351"/>
      <c r="R308" s="351"/>
      <c r="S308" s="351"/>
      <c r="T308" s="351"/>
      <c r="U308" s="351"/>
      <c r="Z308" s="396"/>
      <c r="AB308" s="396"/>
    </row>
    <row r="309" spans="2:28">
      <c r="B309" s="96"/>
      <c r="C309" s="96"/>
      <c r="D309" s="96"/>
      <c r="E309" s="96"/>
      <c r="F309" s="96"/>
      <c r="G309" s="96"/>
      <c r="H309" s="96"/>
      <c r="O309" s="96"/>
      <c r="P309" s="351"/>
      <c r="Q309" s="351"/>
      <c r="R309" s="351"/>
      <c r="S309" s="351"/>
      <c r="T309" s="351"/>
      <c r="U309" s="351"/>
      <c r="Z309" s="396"/>
      <c r="AB309" s="396"/>
    </row>
    <row r="310" spans="2:28">
      <c r="B310" s="96"/>
      <c r="C310" s="96"/>
      <c r="D310" s="96"/>
      <c r="E310" s="96"/>
      <c r="F310" s="96"/>
      <c r="G310" s="96"/>
      <c r="H310" s="96"/>
      <c r="O310" s="96"/>
      <c r="P310" s="351"/>
      <c r="Q310" s="351"/>
      <c r="R310" s="351"/>
      <c r="S310" s="351"/>
      <c r="T310" s="351"/>
      <c r="U310" s="351"/>
      <c r="Z310" s="396"/>
      <c r="AB310" s="396"/>
    </row>
    <row r="311" spans="2:28">
      <c r="B311" s="96"/>
      <c r="C311" s="96"/>
      <c r="D311" s="96"/>
      <c r="E311" s="96"/>
      <c r="F311" s="96"/>
      <c r="G311" s="96"/>
      <c r="H311" s="96"/>
      <c r="O311" s="96"/>
      <c r="P311" s="351"/>
      <c r="Q311" s="351"/>
      <c r="R311" s="351"/>
      <c r="S311" s="351"/>
      <c r="T311" s="351"/>
      <c r="U311" s="351"/>
      <c r="Z311" s="396"/>
      <c r="AB311" s="396"/>
    </row>
    <row r="312" spans="2:28">
      <c r="B312" s="96"/>
      <c r="C312" s="96"/>
      <c r="D312" s="96"/>
      <c r="E312" s="96"/>
      <c r="F312" s="96"/>
      <c r="G312" s="96"/>
      <c r="H312" s="96"/>
      <c r="O312" s="96"/>
      <c r="P312" s="351"/>
      <c r="Q312" s="351"/>
      <c r="R312" s="351"/>
      <c r="S312" s="351"/>
      <c r="T312" s="351"/>
      <c r="U312" s="351"/>
      <c r="Z312" s="396"/>
      <c r="AB312" s="396"/>
    </row>
    <row r="313" spans="2:28">
      <c r="B313" s="96"/>
      <c r="C313" s="96"/>
      <c r="D313" s="96"/>
      <c r="E313" s="96"/>
      <c r="F313" s="96"/>
      <c r="G313" s="96"/>
      <c r="H313" s="96"/>
      <c r="O313" s="96"/>
      <c r="P313" s="351"/>
      <c r="Q313" s="351"/>
      <c r="R313" s="351"/>
      <c r="S313" s="351"/>
      <c r="T313" s="351"/>
      <c r="U313" s="351"/>
      <c r="Z313" s="396"/>
      <c r="AB313" s="396"/>
    </row>
    <row r="314" spans="2:28">
      <c r="B314" s="96"/>
      <c r="C314" s="96"/>
      <c r="D314" s="96"/>
      <c r="E314" s="96"/>
      <c r="F314" s="96"/>
      <c r="G314" s="96"/>
      <c r="H314" s="96"/>
      <c r="O314" s="96"/>
      <c r="P314" s="351"/>
      <c r="Q314" s="351"/>
      <c r="R314" s="351"/>
      <c r="S314" s="351"/>
      <c r="T314" s="351"/>
      <c r="U314" s="351"/>
      <c r="Z314" s="396"/>
      <c r="AB314" s="396"/>
    </row>
    <row r="315" spans="2:28">
      <c r="B315" s="96"/>
      <c r="C315" s="96"/>
      <c r="D315" s="96"/>
      <c r="E315" s="96"/>
      <c r="F315" s="96"/>
      <c r="G315" s="96"/>
      <c r="H315" s="96"/>
      <c r="O315" s="96"/>
      <c r="P315" s="351"/>
      <c r="Q315" s="351"/>
      <c r="R315" s="351"/>
      <c r="S315" s="351"/>
      <c r="T315" s="351"/>
      <c r="U315" s="351"/>
      <c r="Z315" s="396"/>
      <c r="AB315" s="396"/>
    </row>
    <row r="316" spans="2:28">
      <c r="B316" s="96"/>
      <c r="C316" s="96"/>
      <c r="D316" s="96"/>
      <c r="E316" s="96"/>
      <c r="F316" s="96"/>
      <c r="G316" s="96"/>
      <c r="H316" s="96"/>
      <c r="O316" s="96"/>
      <c r="P316" s="351"/>
      <c r="Q316" s="351"/>
      <c r="R316" s="351"/>
      <c r="S316" s="351"/>
      <c r="T316" s="351"/>
      <c r="U316" s="351"/>
      <c r="Z316" s="396"/>
      <c r="AB316" s="396"/>
    </row>
    <row r="317" spans="2:28">
      <c r="B317" s="96"/>
      <c r="C317" s="96"/>
      <c r="D317" s="96"/>
      <c r="E317" s="96"/>
      <c r="F317" s="96"/>
      <c r="G317" s="96"/>
      <c r="H317" s="96"/>
      <c r="O317" s="96"/>
      <c r="P317" s="351"/>
      <c r="Q317" s="351"/>
      <c r="R317" s="351"/>
      <c r="S317" s="351"/>
      <c r="T317" s="351"/>
      <c r="U317" s="351"/>
      <c r="Z317" s="396"/>
      <c r="AB317" s="396"/>
    </row>
    <row r="318" spans="2:28">
      <c r="B318" s="96"/>
      <c r="C318" s="96"/>
      <c r="D318" s="96"/>
      <c r="E318" s="96"/>
      <c r="F318" s="96"/>
      <c r="G318" s="96"/>
      <c r="H318" s="96"/>
      <c r="O318" s="96"/>
      <c r="P318" s="351"/>
      <c r="Q318" s="351"/>
      <c r="R318" s="351"/>
      <c r="S318" s="351"/>
      <c r="T318" s="351"/>
      <c r="U318" s="351"/>
      <c r="Z318" s="396"/>
      <c r="AB318" s="396"/>
    </row>
    <row r="319" spans="2:28">
      <c r="B319" s="96"/>
      <c r="C319" s="96"/>
      <c r="D319" s="96"/>
      <c r="E319" s="96"/>
      <c r="F319" s="96"/>
      <c r="G319" s="96"/>
      <c r="H319" s="96"/>
      <c r="O319" s="96"/>
      <c r="P319" s="351"/>
      <c r="Q319" s="351"/>
      <c r="R319" s="351"/>
      <c r="S319" s="351"/>
      <c r="T319" s="351"/>
      <c r="U319" s="351"/>
      <c r="Z319" s="396"/>
      <c r="AB319" s="396"/>
    </row>
    <row r="320" spans="2:28">
      <c r="B320" s="96"/>
      <c r="C320" s="96"/>
      <c r="D320" s="96"/>
      <c r="E320" s="96"/>
      <c r="F320" s="96"/>
      <c r="G320" s="96"/>
      <c r="H320" s="96"/>
      <c r="O320" s="96"/>
      <c r="P320" s="351"/>
      <c r="Q320" s="351"/>
      <c r="R320" s="351"/>
      <c r="S320" s="351"/>
      <c r="T320" s="351"/>
      <c r="U320" s="351"/>
      <c r="Z320" s="396"/>
      <c r="AB320" s="396"/>
    </row>
    <row r="321" spans="2:28">
      <c r="B321" s="96"/>
      <c r="C321" s="96"/>
      <c r="D321" s="96"/>
      <c r="E321" s="96"/>
      <c r="F321" s="96"/>
      <c r="G321" s="96"/>
      <c r="H321" s="96"/>
      <c r="O321" s="96"/>
      <c r="P321" s="351"/>
      <c r="Q321" s="351"/>
      <c r="R321" s="351"/>
      <c r="S321" s="351"/>
      <c r="T321" s="351"/>
      <c r="U321" s="351"/>
      <c r="Z321" s="396"/>
      <c r="AB321" s="396"/>
    </row>
    <row r="322" spans="2:28">
      <c r="B322" s="96"/>
      <c r="C322" s="96"/>
      <c r="D322" s="96"/>
      <c r="E322" s="96"/>
      <c r="F322" s="96"/>
      <c r="G322" s="96"/>
      <c r="H322" s="96"/>
      <c r="O322" s="96"/>
      <c r="P322" s="351"/>
      <c r="Q322" s="351"/>
      <c r="R322" s="351"/>
      <c r="S322" s="351"/>
      <c r="T322" s="351"/>
      <c r="U322" s="351"/>
      <c r="Z322" s="396"/>
      <c r="AB322" s="396"/>
    </row>
    <row r="323" spans="2:28">
      <c r="B323" s="154"/>
      <c r="C323" s="154"/>
      <c r="D323" s="154"/>
      <c r="E323" s="154"/>
      <c r="F323" s="154"/>
      <c r="G323" s="154"/>
      <c r="H323" s="154"/>
      <c r="O323" s="96"/>
      <c r="P323" s="351"/>
      <c r="Q323" s="351"/>
      <c r="R323" s="351"/>
      <c r="S323" s="351"/>
      <c r="T323" s="351"/>
      <c r="U323" s="351"/>
      <c r="Z323" s="396"/>
      <c r="AB323" s="396"/>
    </row>
    <row r="324" spans="2:28">
      <c r="B324" s="154"/>
      <c r="C324" s="154"/>
      <c r="D324" s="154"/>
      <c r="E324" s="154"/>
      <c r="F324" s="154"/>
      <c r="G324" s="154"/>
      <c r="H324" s="154"/>
      <c r="O324" s="96"/>
      <c r="P324" s="351"/>
      <c r="Q324" s="351"/>
      <c r="R324" s="351"/>
      <c r="S324" s="351"/>
      <c r="T324" s="351"/>
      <c r="U324" s="351"/>
      <c r="Z324" s="396"/>
      <c r="AB324" s="396"/>
    </row>
    <row r="325" spans="2:28">
      <c r="B325" s="154"/>
      <c r="C325" s="154"/>
      <c r="D325" s="154"/>
      <c r="E325" s="154"/>
      <c r="F325" s="154"/>
      <c r="G325" s="154"/>
      <c r="H325" s="154"/>
      <c r="O325" s="96"/>
      <c r="P325" s="351"/>
      <c r="Q325" s="351"/>
      <c r="R325" s="351"/>
      <c r="S325" s="351"/>
      <c r="T325" s="351"/>
      <c r="U325" s="351"/>
      <c r="Z325" s="396"/>
      <c r="AB325" s="396"/>
    </row>
    <row r="326" spans="2:28">
      <c r="B326" s="154"/>
      <c r="C326" s="154"/>
      <c r="D326" s="154"/>
      <c r="E326" s="154"/>
      <c r="F326" s="154"/>
      <c r="G326" s="154"/>
      <c r="H326" s="154"/>
      <c r="O326" s="96"/>
      <c r="P326" s="351"/>
      <c r="Q326" s="351"/>
      <c r="R326" s="351"/>
      <c r="S326" s="351"/>
      <c r="T326" s="351"/>
      <c r="U326" s="351"/>
      <c r="Z326" s="396"/>
      <c r="AB326" s="396"/>
    </row>
    <row r="327" spans="2:28">
      <c r="B327" s="154"/>
      <c r="C327" s="154"/>
      <c r="D327" s="154"/>
      <c r="E327" s="154"/>
      <c r="F327" s="154"/>
      <c r="G327" s="154"/>
      <c r="H327" s="154"/>
      <c r="O327" s="96"/>
      <c r="P327" s="351"/>
      <c r="Q327" s="351"/>
      <c r="R327" s="351"/>
      <c r="S327" s="351"/>
      <c r="T327" s="351"/>
      <c r="U327" s="351"/>
      <c r="Z327" s="396"/>
      <c r="AB327" s="396"/>
    </row>
    <row r="328" spans="2:28">
      <c r="B328" s="154"/>
      <c r="C328" s="154"/>
      <c r="D328" s="154"/>
      <c r="E328" s="154"/>
      <c r="F328" s="154"/>
      <c r="G328" s="154"/>
      <c r="H328" s="154"/>
      <c r="O328" s="96"/>
      <c r="P328" s="351"/>
      <c r="Q328" s="351"/>
      <c r="R328" s="351"/>
      <c r="S328" s="351"/>
      <c r="T328" s="351"/>
      <c r="U328" s="351"/>
      <c r="Z328" s="396"/>
      <c r="AB328" s="396"/>
    </row>
    <row r="329" spans="2:28">
      <c r="B329" s="154"/>
      <c r="C329" s="154"/>
      <c r="D329" s="154"/>
      <c r="E329" s="154"/>
      <c r="F329" s="154"/>
      <c r="G329" s="154"/>
      <c r="H329" s="154"/>
      <c r="O329" s="96"/>
      <c r="P329" s="351"/>
      <c r="Q329" s="351"/>
      <c r="R329" s="351"/>
      <c r="S329" s="351"/>
      <c r="T329" s="351"/>
      <c r="U329" s="351"/>
      <c r="Z329" s="396"/>
      <c r="AB329" s="396"/>
    </row>
    <row r="330" spans="2:28">
      <c r="B330" s="154"/>
      <c r="C330" s="154"/>
      <c r="D330" s="154"/>
      <c r="E330" s="154"/>
      <c r="F330" s="154"/>
      <c r="G330" s="154"/>
      <c r="H330" s="154"/>
      <c r="O330" s="96"/>
      <c r="P330" s="351"/>
      <c r="Q330" s="351"/>
      <c r="R330" s="351"/>
      <c r="S330" s="351"/>
      <c r="T330" s="351"/>
      <c r="U330" s="351"/>
      <c r="Z330" s="396"/>
      <c r="AB330" s="396"/>
    </row>
    <row r="331" spans="2:28">
      <c r="B331" s="154"/>
      <c r="C331" s="154"/>
      <c r="D331" s="154"/>
      <c r="E331" s="154"/>
      <c r="F331" s="154"/>
      <c r="G331" s="154"/>
      <c r="H331" s="154"/>
      <c r="O331" s="96"/>
      <c r="P331" s="351"/>
      <c r="Q331" s="351"/>
      <c r="R331" s="351"/>
      <c r="S331" s="351"/>
      <c r="T331" s="351"/>
      <c r="U331" s="351"/>
      <c r="Z331" s="396"/>
      <c r="AB331" s="396"/>
    </row>
    <row r="332" spans="2:28">
      <c r="B332" s="154"/>
      <c r="C332" s="154"/>
      <c r="D332" s="154"/>
      <c r="E332" s="154"/>
      <c r="F332" s="154"/>
      <c r="G332" s="154"/>
      <c r="H332" s="154"/>
      <c r="O332" s="96"/>
      <c r="P332" s="351"/>
      <c r="Q332" s="351"/>
      <c r="R332" s="351"/>
      <c r="S332" s="351"/>
      <c r="T332" s="351"/>
      <c r="U332" s="351"/>
      <c r="Z332" s="396"/>
      <c r="AB332" s="396"/>
    </row>
    <row r="333" spans="2:28">
      <c r="B333" s="154"/>
      <c r="C333" s="154"/>
      <c r="D333" s="154"/>
      <c r="E333" s="154"/>
      <c r="F333" s="154"/>
      <c r="G333" s="154"/>
      <c r="H333" s="154"/>
      <c r="O333" s="96"/>
      <c r="P333" s="351"/>
      <c r="Q333" s="351"/>
      <c r="R333" s="351"/>
      <c r="S333" s="351"/>
      <c r="T333" s="351"/>
      <c r="U333" s="351"/>
      <c r="Z333" s="396"/>
      <c r="AB333" s="396"/>
    </row>
    <row r="334" spans="2:28">
      <c r="B334" s="154"/>
      <c r="C334" s="154"/>
      <c r="D334" s="154"/>
      <c r="E334" s="154"/>
      <c r="F334" s="154"/>
      <c r="G334" s="154"/>
      <c r="H334" s="154"/>
      <c r="O334" s="96"/>
      <c r="P334" s="351"/>
      <c r="Q334" s="351"/>
      <c r="R334" s="351"/>
      <c r="S334" s="351"/>
      <c r="T334" s="351"/>
      <c r="U334" s="351"/>
      <c r="Z334" s="396"/>
      <c r="AB334" s="396"/>
    </row>
    <row r="335" spans="2:28">
      <c r="B335" s="154"/>
      <c r="C335" s="154"/>
      <c r="D335" s="154"/>
      <c r="E335" s="154"/>
      <c r="F335" s="154"/>
      <c r="G335" s="154"/>
      <c r="H335" s="154"/>
      <c r="O335" s="96"/>
      <c r="P335" s="351"/>
      <c r="Q335" s="351"/>
      <c r="R335" s="351"/>
      <c r="S335" s="351"/>
      <c r="T335" s="351"/>
      <c r="U335" s="351"/>
      <c r="Z335" s="396"/>
      <c r="AB335" s="396"/>
    </row>
    <row r="336" spans="2:28">
      <c r="B336" s="154"/>
      <c r="C336" s="154"/>
      <c r="D336" s="154"/>
      <c r="E336" s="154"/>
      <c r="F336" s="154"/>
      <c r="G336" s="154"/>
      <c r="H336" s="154"/>
      <c r="O336" s="96"/>
      <c r="P336" s="351"/>
      <c r="Q336" s="351"/>
      <c r="R336" s="351"/>
      <c r="S336" s="351"/>
      <c r="T336" s="351"/>
      <c r="U336" s="351"/>
      <c r="Z336" s="396"/>
      <c r="AB336" s="396"/>
    </row>
    <row r="337" spans="2:28">
      <c r="B337" s="154"/>
      <c r="C337" s="154"/>
      <c r="D337" s="154"/>
      <c r="E337" s="154"/>
      <c r="F337" s="154"/>
      <c r="G337" s="154"/>
      <c r="H337" s="154"/>
      <c r="O337" s="96"/>
      <c r="P337" s="351"/>
      <c r="Q337" s="351"/>
      <c r="R337" s="351"/>
      <c r="S337" s="351"/>
      <c r="T337" s="351"/>
      <c r="U337" s="351"/>
      <c r="Z337" s="396"/>
      <c r="AB337" s="396"/>
    </row>
    <row r="338" spans="2:28">
      <c r="B338" s="154"/>
      <c r="C338" s="154"/>
      <c r="D338" s="154"/>
      <c r="E338" s="154"/>
      <c r="F338" s="154"/>
      <c r="G338" s="154"/>
      <c r="H338" s="154"/>
      <c r="O338" s="96"/>
      <c r="P338" s="351"/>
      <c r="Q338" s="351"/>
      <c r="R338" s="351"/>
      <c r="S338" s="351"/>
      <c r="T338" s="351"/>
      <c r="U338" s="351"/>
      <c r="Z338" s="396"/>
      <c r="AB338" s="396"/>
    </row>
    <row r="339" spans="2:28">
      <c r="B339" s="154"/>
      <c r="C339" s="154"/>
      <c r="D339" s="154"/>
      <c r="E339" s="154"/>
      <c r="F339" s="154"/>
      <c r="G339" s="154"/>
      <c r="H339" s="154"/>
      <c r="O339" s="96"/>
      <c r="P339" s="351"/>
      <c r="Q339" s="351"/>
      <c r="R339" s="351"/>
      <c r="S339" s="351"/>
      <c r="T339" s="351"/>
      <c r="U339" s="351"/>
      <c r="Z339" s="396"/>
      <c r="AB339" s="396"/>
    </row>
    <row r="340" spans="2:28">
      <c r="B340" s="154"/>
      <c r="C340" s="154"/>
      <c r="D340" s="154"/>
      <c r="E340" s="154"/>
      <c r="F340" s="154"/>
      <c r="G340" s="154"/>
      <c r="H340" s="154"/>
      <c r="O340" s="96"/>
      <c r="P340" s="351"/>
      <c r="Q340" s="351"/>
      <c r="R340" s="351"/>
      <c r="S340" s="351"/>
      <c r="T340" s="351"/>
      <c r="U340" s="351"/>
      <c r="Z340" s="396"/>
      <c r="AB340" s="396"/>
    </row>
    <row r="341" spans="2:28">
      <c r="B341" s="154"/>
      <c r="C341" s="154"/>
      <c r="D341" s="154"/>
      <c r="E341" s="154"/>
      <c r="F341" s="154"/>
      <c r="G341" s="154"/>
      <c r="H341" s="154"/>
      <c r="O341" s="96"/>
      <c r="P341" s="351"/>
      <c r="Q341" s="351"/>
      <c r="R341" s="351"/>
      <c r="S341" s="351"/>
      <c r="T341" s="351"/>
      <c r="U341" s="351"/>
      <c r="Z341" s="396"/>
      <c r="AB341" s="396"/>
    </row>
    <row r="342" spans="2:28">
      <c r="B342" s="154"/>
      <c r="C342" s="154"/>
      <c r="D342" s="154"/>
      <c r="E342" s="154"/>
      <c r="F342" s="154"/>
      <c r="G342" s="154"/>
      <c r="H342" s="154"/>
      <c r="O342" s="96"/>
      <c r="P342" s="351"/>
      <c r="Q342" s="351"/>
      <c r="R342" s="351"/>
      <c r="S342" s="351"/>
      <c r="T342" s="351"/>
      <c r="U342" s="351"/>
      <c r="Z342" s="396"/>
      <c r="AB342" s="396"/>
    </row>
    <row r="343" spans="2:28">
      <c r="B343" s="154"/>
      <c r="C343" s="154"/>
      <c r="D343" s="154"/>
      <c r="E343" s="154"/>
      <c r="F343" s="154"/>
      <c r="G343" s="154"/>
      <c r="H343" s="154"/>
      <c r="O343" s="96"/>
      <c r="P343" s="351"/>
      <c r="Q343" s="351"/>
      <c r="R343" s="351"/>
      <c r="S343" s="351"/>
      <c r="T343" s="351"/>
      <c r="U343" s="351"/>
      <c r="Z343" s="396"/>
      <c r="AB343" s="396"/>
    </row>
    <row r="344" spans="2:28">
      <c r="B344" s="154"/>
      <c r="C344" s="154"/>
      <c r="D344" s="154"/>
      <c r="E344" s="154"/>
      <c r="F344" s="154"/>
      <c r="G344" s="154"/>
      <c r="H344" s="154"/>
      <c r="O344" s="96"/>
      <c r="P344" s="351"/>
      <c r="Q344" s="351"/>
      <c r="R344" s="351"/>
      <c r="S344" s="351"/>
      <c r="T344" s="351"/>
      <c r="U344" s="351"/>
      <c r="Z344" s="396"/>
      <c r="AB344" s="396"/>
    </row>
    <row r="345" spans="2:28">
      <c r="B345" s="154"/>
      <c r="C345" s="154"/>
      <c r="D345" s="154"/>
      <c r="E345" s="154"/>
      <c r="F345" s="154"/>
      <c r="G345" s="154"/>
      <c r="H345" s="154"/>
      <c r="O345" s="96"/>
      <c r="P345" s="351"/>
      <c r="Q345" s="351"/>
      <c r="R345" s="351"/>
      <c r="S345" s="351"/>
      <c r="T345" s="351"/>
      <c r="U345" s="351"/>
      <c r="Z345" s="396"/>
      <c r="AB345" s="396"/>
    </row>
    <row r="346" spans="2:28">
      <c r="B346" s="154"/>
      <c r="C346" s="154"/>
      <c r="D346" s="154"/>
      <c r="E346" s="154"/>
      <c r="F346" s="154"/>
      <c r="G346" s="154"/>
      <c r="H346" s="154"/>
      <c r="O346" s="96"/>
      <c r="P346" s="351"/>
      <c r="Q346" s="351"/>
      <c r="R346" s="351"/>
      <c r="S346" s="351"/>
      <c r="T346" s="351"/>
      <c r="U346" s="351"/>
      <c r="Z346" s="396"/>
      <c r="AB346" s="396"/>
    </row>
    <row r="347" spans="2:28">
      <c r="B347" s="154"/>
      <c r="C347" s="154"/>
      <c r="D347" s="154"/>
      <c r="E347" s="154"/>
      <c r="F347" s="154"/>
      <c r="G347" s="154"/>
      <c r="H347" s="154"/>
      <c r="O347" s="96"/>
      <c r="P347" s="351"/>
      <c r="Q347" s="351"/>
      <c r="R347" s="351"/>
      <c r="S347" s="351"/>
      <c r="T347" s="351"/>
      <c r="U347" s="351"/>
      <c r="Z347" s="396"/>
      <c r="AB347" s="396"/>
    </row>
    <row r="348" spans="2:28">
      <c r="B348" s="154"/>
      <c r="C348" s="154"/>
      <c r="D348" s="154"/>
      <c r="E348" s="154"/>
      <c r="F348" s="154"/>
      <c r="G348" s="154"/>
      <c r="H348" s="154"/>
      <c r="O348" s="96"/>
      <c r="P348" s="351"/>
      <c r="Q348" s="351"/>
      <c r="R348" s="351"/>
      <c r="S348" s="351"/>
      <c r="T348" s="351"/>
      <c r="U348" s="351"/>
      <c r="Z348" s="396"/>
      <c r="AB348" s="396"/>
    </row>
    <row r="349" spans="2:28">
      <c r="B349" s="154"/>
      <c r="C349" s="154"/>
      <c r="D349" s="154"/>
      <c r="E349" s="154"/>
      <c r="F349" s="154"/>
      <c r="G349" s="154"/>
      <c r="H349" s="154"/>
      <c r="O349" s="96"/>
      <c r="P349" s="351"/>
      <c r="Q349" s="351"/>
      <c r="R349" s="351"/>
      <c r="S349" s="351"/>
      <c r="T349" s="351"/>
      <c r="U349" s="351"/>
      <c r="Z349" s="396"/>
      <c r="AB349" s="396"/>
    </row>
    <row r="350" spans="2:28">
      <c r="B350" s="154"/>
      <c r="C350" s="154"/>
      <c r="D350" s="154"/>
      <c r="E350" s="154"/>
      <c r="F350" s="154"/>
      <c r="G350" s="154"/>
      <c r="H350" s="154"/>
      <c r="O350" s="96"/>
      <c r="P350" s="351"/>
      <c r="Q350" s="351"/>
      <c r="R350" s="351"/>
      <c r="S350" s="351"/>
      <c r="T350" s="351"/>
      <c r="U350" s="351"/>
      <c r="Z350" s="396"/>
      <c r="AB350" s="396"/>
    </row>
    <row r="351" spans="2:28">
      <c r="B351" s="154"/>
      <c r="C351" s="154"/>
      <c r="D351" s="154"/>
      <c r="E351" s="154"/>
      <c r="F351" s="154"/>
      <c r="G351" s="154"/>
      <c r="H351" s="154"/>
      <c r="O351" s="96"/>
      <c r="P351" s="351"/>
      <c r="Q351" s="351"/>
      <c r="R351" s="351"/>
      <c r="S351" s="351"/>
      <c r="T351" s="351"/>
      <c r="U351" s="351"/>
      <c r="Z351" s="396"/>
      <c r="AB351" s="396"/>
    </row>
    <row r="352" spans="2:28">
      <c r="B352" s="154"/>
      <c r="C352" s="154"/>
      <c r="D352" s="154"/>
      <c r="E352" s="154"/>
      <c r="F352" s="154"/>
      <c r="G352" s="154"/>
      <c r="H352" s="154"/>
      <c r="O352" s="96"/>
      <c r="P352" s="351"/>
      <c r="Q352" s="351"/>
      <c r="R352" s="351"/>
      <c r="S352" s="351"/>
      <c r="T352" s="351"/>
      <c r="U352" s="351"/>
      <c r="Z352" s="396"/>
      <c r="AB352" s="396"/>
    </row>
    <row r="353" spans="2:28">
      <c r="B353" s="154"/>
      <c r="C353" s="154"/>
      <c r="D353" s="154"/>
      <c r="E353" s="154"/>
      <c r="F353" s="154"/>
      <c r="G353" s="154"/>
      <c r="H353" s="154"/>
      <c r="O353" s="96"/>
      <c r="P353" s="351"/>
      <c r="Q353" s="351"/>
      <c r="R353" s="351"/>
      <c r="S353" s="351"/>
      <c r="T353" s="351"/>
      <c r="U353" s="351"/>
      <c r="Z353" s="396"/>
      <c r="AB353" s="396"/>
    </row>
    <row r="354" spans="2:28">
      <c r="B354" s="154"/>
      <c r="C354" s="154"/>
      <c r="D354" s="154"/>
      <c r="E354" s="154"/>
      <c r="F354" s="154"/>
      <c r="G354" s="154"/>
      <c r="H354" s="154"/>
      <c r="O354" s="96"/>
      <c r="P354" s="351"/>
      <c r="Q354" s="351"/>
      <c r="R354" s="351"/>
      <c r="S354" s="351"/>
      <c r="T354" s="351"/>
      <c r="U354" s="351"/>
      <c r="Z354" s="396"/>
      <c r="AB354" s="396"/>
    </row>
    <row r="355" spans="2:28">
      <c r="B355" s="154"/>
      <c r="C355" s="154"/>
      <c r="D355" s="154"/>
      <c r="E355" s="154"/>
      <c r="F355" s="154"/>
      <c r="G355" s="154"/>
      <c r="H355" s="154"/>
      <c r="O355" s="96"/>
      <c r="P355" s="351"/>
      <c r="Q355" s="351"/>
      <c r="R355" s="351"/>
      <c r="S355" s="351"/>
      <c r="T355" s="351"/>
      <c r="U355" s="351"/>
      <c r="Z355" s="396"/>
      <c r="AB355" s="396"/>
    </row>
    <row r="356" spans="2:28">
      <c r="B356" s="154"/>
      <c r="C356" s="154"/>
      <c r="D356" s="154"/>
      <c r="E356" s="154"/>
      <c r="F356" s="154"/>
      <c r="G356" s="154"/>
      <c r="H356" s="154"/>
      <c r="O356" s="96"/>
      <c r="P356" s="351"/>
      <c r="Q356" s="351"/>
      <c r="R356" s="351"/>
      <c r="S356" s="351"/>
      <c r="T356" s="351"/>
      <c r="U356" s="351"/>
      <c r="Z356" s="396"/>
      <c r="AB356" s="396"/>
    </row>
    <row r="357" spans="2:28">
      <c r="B357" s="154"/>
      <c r="C357" s="154"/>
      <c r="D357" s="154"/>
      <c r="E357" s="154"/>
      <c r="F357" s="154"/>
      <c r="G357" s="154"/>
      <c r="H357" s="154"/>
      <c r="O357" s="96"/>
      <c r="P357" s="351"/>
      <c r="Q357" s="351"/>
      <c r="R357" s="351"/>
      <c r="S357" s="351"/>
      <c r="T357" s="351"/>
      <c r="U357" s="351"/>
      <c r="Z357" s="396"/>
      <c r="AB357" s="396"/>
    </row>
    <row r="358" spans="2:28">
      <c r="B358" s="154"/>
      <c r="C358" s="154"/>
      <c r="D358" s="154"/>
      <c r="E358" s="154"/>
      <c r="F358" s="154"/>
      <c r="G358" s="154"/>
      <c r="H358" s="154"/>
      <c r="O358" s="96"/>
      <c r="P358" s="351"/>
      <c r="Q358" s="351"/>
      <c r="R358" s="351"/>
      <c r="S358" s="351"/>
      <c r="T358" s="351"/>
      <c r="U358" s="351"/>
      <c r="Z358" s="396"/>
      <c r="AB358" s="396"/>
    </row>
    <row r="359" spans="2:28">
      <c r="B359" s="154"/>
      <c r="C359" s="154"/>
      <c r="D359" s="154"/>
      <c r="E359" s="154"/>
      <c r="F359" s="154"/>
      <c r="G359" s="154"/>
      <c r="H359" s="154"/>
      <c r="O359" s="96"/>
      <c r="P359" s="351"/>
      <c r="Q359" s="351"/>
      <c r="R359" s="351"/>
      <c r="S359" s="351"/>
      <c r="T359" s="351"/>
      <c r="U359" s="351"/>
      <c r="Z359" s="396"/>
      <c r="AB359" s="396"/>
    </row>
    <row r="360" spans="2:28">
      <c r="B360" s="154"/>
      <c r="C360" s="154"/>
      <c r="D360" s="154"/>
      <c r="E360" s="154"/>
      <c r="F360" s="154"/>
      <c r="G360" s="154"/>
      <c r="H360" s="154"/>
      <c r="O360" s="96"/>
      <c r="P360" s="351"/>
      <c r="Q360" s="351"/>
      <c r="R360" s="351"/>
      <c r="S360" s="351"/>
      <c r="T360" s="351"/>
      <c r="U360" s="351"/>
      <c r="Z360" s="396"/>
      <c r="AB360" s="396"/>
    </row>
    <row r="361" spans="2:28">
      <c r="B361" s="154"/>
      <c r="C361" s="154"/>
      <c r="D361" s="154"/>
      <c r="E361" s="154"/>
      <c r="F361" s="154"/>
      <c r="G361" s="154"/>
      <c r="H361" s="154"/>
      <c r="O361" s="96"/>
      <c r="P361" s="351"/>
      <c r="Q361" s="351"/>
      <c r="R361" s="351"/>
      <c r="S361" s="351"/>
      <c r="T361" s="351"/>
      <c r="U361" s="351"/>
      <c r="Z361" s="396"/>
      <c r="AB361" s="396"/>
    </row>
    <row r="362" spans="2:28">
      <c r="B362" s="154"/>
      <c r="C362" s="154"/>
      <c r="D362" s="154"/>
      <c r="E362" s="154"/>
      <c r="F362" s="154"/>
      <c r="G362" s="154"/>
      <c r="H362" s="154"/>
      <c r="O362" s="96"/>
      <c r="P362" s="351"/>
      <c r="Q362" s="351"/>
      <c r="R362" s="351"/>
      <c r="S362" s="351"/>
      <c r="T362" s="351"/>
      <c r="U362" s="351"/>
      <c r="Z362" s="396"/>
      <c r="AB362" s="396"/>
    </row>
    <row r="363" spans="2:28">
      <c r="B363" s="154"/>
      <c r="C363" s="154"/>
      <c r="D363" s="154"/>
      <c r="E363" s="154"/>
      <c r="F363" s="154"/>
      <c r="G363" s="154"/>
      <c r="H363" s="154"/>
      <c r="O363" s="96"/>
      <c r="P363" s="351"/>
      <c r="Q363" s="351"/>
      <c r="R363" s="351"/>
      <c r="S363" s="351"/>
      <c r="T363" s="351"/>
      <c r="U363" s="351"/>
      <c r="Z363" s="396"/>
      <c r="AB363" s="396"/>
    </row>
    <row r="364" spans="2:28">
      <c r="B364" s="154"/>
      <c r="C364" s="154"/>
      <c r="D364" s="154"/>
      <c r="E364" s="154"/>
      <c r="F364" s="154"/>
      <c r="G364" s="154"/>
      <c r="H364" s="154"/>
      <c r="O364" s="96"/>
      <c r="P364" s="351"/>
      <c r="Q364" s="351"/>
      <c r="R364" s="351"/>
      <c r="S364" s="351"/>
      <c r="T364" s="351"/>
      <c r="U364" s="351"/>
      <c r="Z364" s="396"/>
      <c r="AB364" s="396"/>
    </row>
    <row r="365" spans="2:28">
      <c r="B365" s="154"/>
      <c r="C365" s="154"/>
      <c r="D365" s="154"/>
      <c r="E365" s="154"/>
      <c r="F365" s="154"/>
      <c r="G365" s="154"/>
      <c r="H365" s="154"/>
      <c r="O365" s="96"/>
      <c r="P365" s="351"/>
      <c r="Q365" s="351"/>
      <c r="R365" s="351"/>
      <c r="S365" s="351"/>
      <c r="T365" s="351"/>
      <c r="U365" s="351"/>
      <c r="Z365" s="396"/>
      <c r="AB365" s="396"/>
    </row>
    <row r="366" spans="2:28">
      <c r="B366" s="154"/>
      <c r="C366" s="154"/>
      <c r="D366" s="154"/>
      <c r="E366" s="154"/>
      <c r="F366" s="154"/>
      <c r="G366" s="154"/>
      <c r="H366" s="154"/>
      <c r="O366" s="96"/>
      <c r="P366" s="351"/>
      <c r="Q366" s="351"/>
      <c r="R366" s="351"/>
      <c r="S366" s="351"/>
      <c r="T366" s="351"/>
      <c r="U366" s="351"/>
      <c r="Z366" s="396"/>
      <c r="AB366" s="396"/>
    </row>
    <row r="367" spans="2:28">
      <c r="B367" s="154"/>
      <c r="C367" s="154"/>
      <c r="D367" s="154"/>
      <c r="E367" s="154"/>
      <c r="F367" s="154"/>
      <c r="G367" s="154"/>
      <c r="H367" s="154"/>
      <c r="O367" s="96"/>
      <c r="P367" s="351"/>
      <c r="Q367" s="351"/>
      <c r="R367" s="351"/>
      <c r="S367" s="351"/>
      <c r="T367" s="351"/>
      <c r="U367" s="351"/>
      <c r="Z367" s="396"/>
      <c r="AB367" s="396"/>
    </row>
    <row r="368" spans="2:28">
      <c r="B368" s="154"/>
      <c r="C368" s="154"/>
      <c r="D368" s="154"/>
      <c r="E368" s="154"/>
      <c r="F368" s="154"/>
      <c r="G368" s="154"/>
      <c r="H368" s="154"/>
      <c r="O368" s="96"/>
      <c r="P368" s="351"/>
      <c r="Q368" s="351"/>
      <c r="R368" s="351"/>
      <c r="S368" s="351"/>
      <c r="T368" s="351"/>
      <c r="U368" s="351"/>
      <c r="Z368" s="396"/>
      <c r="AB368" s="396"/>
    </row>
    <row r="369" spans="2:28">
      <c r="B369" s="154"/>
      <c r="C369" s="154"/>
      <c r="D369" s="154"/>
      <c r="E369" s="154"/>
      <c r="F369" s="154"/>
      <c r="G369" s="154"/>
      <c r="H369" s="154"/>
      <c r="O369" s="96"/>
      <c r="P369" s="351"/>
      <c r="Q369" s="351"/>
      <c r="R369" s="351"/>
      <c r="S369" s="351"/>
      <c r="T369" s="351"/>
      <c r="U369" s="351"/>
      <c r="Z369" s="396"/>
      <c r="AB369" s="396"/>
    </row>
    <row r="370" spans="2:28">
      <c r="B370" s="154"/>
      <c r="C370" s="154"/>
      <c r="D370" s="154"/>
      <c r="E370" s="154"/>
      <c r="F370" s="154"/>
      <c r="G370" s="154"/>
      <c r="H370" s="154"/>
      <c r="O370" s="96"/>
      <c r="P370" s="351"/>
      <c r="Q370" s="351"/>
      <c r="R370" s="351"/>
      <c r="S370" s="351"/>
      <c r="T370" s="351"/>
      <c r="U370" s="351"/>
      <c r="Z370" s="396"/>
      <c r="AB370" s="396"/>
    </row>
    <row r="371" spans="2:28">
      <c r="B371" s="154"/>
      <c r="C371" s="154"/>
      <c r="D371" s="154"/>
      <c r="E371" s="154"/>
      <c r="F371" s="154"/>
      <c r="G371" s="154"/>
      <c r="H371" s="154"/>
      <c r="O371" s="96"/>
      <c r="P371" s="351"/>
      <c r="Q371" s="351"/>
      <c r="R371" s="351"/>
      <c r="S371" s="351"/>
      <c r="T371" s="351"/>
      <c r="U371" s="351"/>
      <c r="Z371" s="396"/>
      <c r="AB371" s="396"/>
    </row>
    <row r="372" spans="2:28">
      <c r="B372" s="154"/>
      <c r="C372" s="154"/>
      <c r="D372" s="154"/>
      <c r="E372" s="154"/>
      <c r="F372" s="154"/>
      <c r="G372" s="154"/>
      <c r="H372" s="154"/>
      <c r="O372" s="96"/>
      <c r="P372" s="351"/>
      <c r="Q372" s="351"/>
      <c r="R372" s="351"/>
      <c r="S372" s="351"/>
      <c r="T372" s="351"/>
      <c r="U372" s="351"/>
      <c r="Z372" s="396"/>
      <c r="AB372" s="396"/>
    </row>
    <row r="373" spans="2:28">
      <c r="B373" s="154"/>
      <c r="C373" s="154"/>
      <c r="D373" s="154"/>
      <c r="E373" s="154"/>
      <c r="F373" s="154"/>
      <c r="G373" s="154"/>
      <c r="H373" s="154"/>
      <c r="O373" s="96"/>
      <c r="P373" s="351"/>
      <c r="Q373" s="351"/>
      <c r="R373" s="351"/>
      <c r="S373" s="351"/>
      <c r="T373" s="351"/>
      <c r="U373" s="351"/>
      <c r="Z373" s="396"/>
      <c r="AB373" s="396"/>
    </row>
    <row r="374" spans="2:28">
      <c r="B374" s="154"/>
      <c r="C374" s="154"/>
      <c r="D374" s="154"/>
      <c r="E374" s="154"/>
      <c r="F374" s="154"/>
      <c r="G374" s="154"/>
      <c r="H374" s="154"/>
      <c r="O374" s="96"/>
      <c r="P374" s="351"/>
      <c r="Q374" s="351"/>
      <c r="R374" s="351"/>
      <c r="S374" s="351"/>
      <c r="T374" s="351"/>
      <c r="U374" s="351"/>
      <c r="Z374" s="396"/>
      <c r="AB374" s="396"/>
    </row>
    <row r="375" spans="2:28">
      <c r="B375" s="154"/>
      <c r="C375" s="154"/>
      <c r="D375" s="154"/>
      <c r="E375" s="154"/>
      <c r="F375" s="154"/>
      <c r="G375" s="154"/>
      <c r="H375" s="154"/>
      <c r="O375" s="96"/>
      <c r="P375" s="351"/>
      <c r="Q375" s="351"/>
      <c r="R375" s="351"/>
      <c r="S375" s="351"/>
      <c r="T375" s="351"/>
      <c r="U375" s="351"/>
      <c r="Z375" s="396"/>
      <c r="AB375" s="396"/>
    </row>
    <row r="376" spans="2:28">
      <c r="B376" s="154"/>
      <c r="C376" s="154"/>
      <c r="D376" s="154"/>
      <c r="E376" s="154"/>
      <c r="F376" s="154"/>
      <c r="G376" s="154"/>
      <c r="H376" s="154"/>
      <c r="O376" s="96"/>
      <c r="P376" s="351"/>
      <c r="Q376" s="351"/>
      <c r="R376" s="351"/>
      <c r="S376" s="351"/>
      <c r="T376" s="351"/>
      <c r="U376" s="351"/>
      <c r="Z376" s="396"/>
      <c r="AB376" s="396"/>
    </row>
    <row r="377" spans="2:28">
      <c r="B377" s="154"/>
      <c r="C377" s="154"/>
      <c r="D377" s="154"/>
      <c r="E377" s="154"/>
      <c r="F377" s="154"/>
      <c r="G377" s="154"/>
      <c r="H377" s="154"/>
      <c r="O377" s="96"/>
      <c r="P377" s="351"/>
      <c r="Q377" s="351"/>
      <c r="R377" s="351"/>
      <c r="S377" s="351"/>
      <c r="T377" s="351"/>
      <c r="U377" s="351"/>
      <c r="Z377" s="396"/>
      <c r="AB377" s="396"/>
    </row>
    <row r="378" spans="2:28">
      <c r="B378" s="154"/>
      <c r="C378" s="154"/>
      <c r="D378" s="154"/>
      <c r="E378" s="154"/>
      <c r="F378" s="154"/>
      <c r="G378" s="154"/>
      <c r="H378" s="154"/>
      <c r="O378" s="96"/>
      <c r="P378" s="351"/>
      <c r="Q378" s="351"/>
      <c r="R378" s="351"/>
      <c r="S378" s="351"/>
      <c r="T378" s="351"/>
      <c r="U378" s="351"/>
      <c r="Z378" s="396"/>
      <c r="AB378" s="396"/>
    </row>
    <row r="379" spans="2:28">
      <c r="B379" s="154"/>
      <c r="C379" s="154"/>
      <c r="D379" s="154"/>
      <c r="E379" s="154"/>
      <c r="F379" s="154"/>
      <c r="G379" s="154"/>
      <c r="H379" s="154"/>
      <c r="O379" s="96"/>
      <c r="P379" s="351"/>
      <c r="Q379" s="351"/>
      <c r="R379" s="351"/>
      <c r="S379" s="351"/>
      <c r="T379" s="351"/>
      <c r="U379" s="351"/>
      <c r="Z379" s="396"/>
      <c r="AB379" s="396"/>
    </row>
    <row r="380" spans="2:28">
      <c r="B380" s="154"/>
      <c r="C380" s="154"/>
      <c r="D380" s="154"/>
      <c r="E380" s="154"/>
      <c r="F380" s="154"/>
      <c r="G380" s="154"/>
      <c r="H380" s="154"/>
      <c r="O380" s="96"/>
      <c r="P380" s="351"/>
      <c r="Q380" s="351"/>
      <c r="R380" s="351"/>
      <c r="S380" s="351"/>
      <c r="T380" s="351"/>
      <c r="U380" s="351"/>
      <c r="Z380" s="396"/>
      <c r="AB380" s="396"/>
    </row>
    <row r="381" spans="2:28">
      <c r="B381" s="154"/>
      <c r="C381" s="154"/>
      <c r="D381" s="154"/>
      <c r="E381" s="154"/>
      <c r="F381" s="154"/>
      <c r="G381" s="154"/>
      <c r="H381" s="154"/>
      <c r="O381" s="96"/>
      <c r="P381" s="351"/>
      <c r="Q381" s="351"/>
      <c r="R381" s="351"/>
      <c r="S381" s="351"/>
      <c r="T381" s="351"/>
      <c r="U381" s="351"/>
      <c r="Z381" s="396"/>
      <c r="AB381" s="396"/>
    </row>
    <row r="382" spans="2:28">
      <c r="B382" s="154"/>
      <c r="C382" s="154"/>
      <c r="D382" s="154"/>
      <c r="E382" s="154"/>
      <c r="F382" s="154"/>
      <c r="G382" s="154"/>
      <c r="H382" s="154"/>
      <c r="O382" s="96"/>
      <c r="P382" s="351"/>
      <c r="Q382" s="351"/>
      <c r="R382" s="351"/>
      <c r="S382" s="351"/>
      <c r="T382" s="351"/>
      <c r="U382" s="351"/>
      <c r="Z382" s="396"/>
      <c r="AB382" s="396"/>
    </row>
    <row r="383" spans="2:28">
      <c r="B383" s="154"/>
      <c r="C383" s="154"/>
      <c r="D383" s="154"/>
      <c r="E383" s="154"/>
      <c r="F383" s="154"/>
      <c r="G383" s="154"/>
      <c r="H383" s="154"/>
      <c r="O383" s="96"/>
      <c r="P383" s="351"/>
      <c r="Q383" s="351"/>
      <c r="R383" s="351"/>
      <c r="S383" s="351"/>
      <c r="T383" s="351"/>
      <c r="U383" s="351"/>
      <c r="Z383" s="396"/>
      <c r="AB383" s="396"/>
    </row>
    <row r="384" spans="2:28">
      <c r="B384" s="154"/>
      <c r="C384" s="154"/>
      <c r="D384" s="154"/>
      <c r="E384" s="154"/>
      <c r="F384" s="154"/>
      <c r="G384" s="154"/>
      <c r="H384" s="154"/>
      <c r="O384" s="96"/>
      <c r="P384" s="351"/>
      <c r="Q384" s="351"/>
      <c r="R384" s="351"/>
      <c r="S384" s="351"/>
      <c r="T384" s="351"/>
      <c r="U384" s="351"/>
      <c r="Z384" s="396"/>
      <c r="AB384" s="396"/>
    </row>
    <row r="385" spans="2:28">
      <c r="B385" s="154"/>
      <c r="C385" s="154"/>
      <c r="D385" s="154"/>
      <c r="E385" s="154"/>
      <c r="F385" s="154"/>
      <c r="G385" s="154"/>
      <c r="H385" s="154"/>
      <c r="O385" s="96"/>
      <c r="P385" s="351"/>
      <c r="Q385" s="351"/>
      <c r="R385" s="351"/>
      <c r="S385" s="351"/>
      <c r="T385" s="351"/>
      <c r="U385" s="351"/>
      <c r="Z385" s="396"/>
      <c r="AB385" s="396"/>
    </row>
    <row r="386" spans="2:28">
      <c r="B386" s="154"/>
      <c r="C386" s="154"/>
      <c r="D386" s="154"/>
      <c r="E386" s="154"/>
      <c r="F386" s="154"/>
      <c r="G386" s="154"/>
      <c r="H386" s="154"/>
      <c r="O386" s="96"/>
      <c r="P386" s="351"/>
      <c r="Q386" s="351"/>
      <c r="R386" s="351"/>
      <c r="S386" s="351"/>
      <c r="T386" s="351"/>
      <c r="U386" s="351"/>
      <c r="Z386" s="396"/>
      <c r="AB386" s="396"/>
    </row>
    <row r="387" spans="2:28">
      <c r="B387" s="154"/>
      <c r="C387" s="154"/>
      <c r="D387" s="154"/>
      <c r="E387" s="154"/>
      <c r="F387" s="154"/>
      <c r="G387" s="154"/>
      <c r="H387" s="154"/>
      <c r="O387" s="96"/>
      <c r="P387" s="351"/>
      <c r="Q387" s="351"/>
      <c r="R387" s="351"/>
      <c r="S387" s="351"/>
      <c r="T387" s="351"/>
      <c r="U387" s="351"/>
      <c r="Z387" s="396"/>
      <c r="AB387" s="396"/>
    </row>
    <row r="388" spans="2:28">
      <c r="B388" s="154"/>
      <c r="C388" s="154"/>
      <c r="D388" s="154"/>
      <c r="E388" s="154"/>
      <c r="F388" s="154"/>
      <c r="G388" s="154"/>
      <c r="H388" s="154"/>
      <c r="O388" s="96"/>
      <c r="P388" s="351"/>
      <c r="Q388" s="351"/>
      <c r="R388" s="351"/>
      <c r="S388" s="351"/>
      <c r="T388" s="351"/>
      <c r="U388" s="351"/>
      <c r="Z388" s="396"/>
      <c r="AB388" s="396"/>
    </row>
    <row r="389" spans="2:28">
      <c r="B389" s="154"/>
      <c r="C389" s="154"/>
      <c r="D389" s="154"/>
      <c r="E389" s="154"/>
      <c r="F389" s="154"/>
      <c r="G389" s="154"/>
      <c r="H389" s="154"/>
      <c r="O389" s="96"/>
      <c r="P389" s="351"/>
      <c r="Q389" s="351"/>
      <c r="R389" s="351"/>
      <c r="S389" s="351"/>
      <c r="T389" s="351"/>
      <c r="U389" s="351"/>
      <c r="Z389" s="396"/>
      <c r="AB389" s="396"/>
    </row>
    <row r="390" spans="2:28">
      <c r="B390" s="154"/>
      <c r="C390" s="154"/>
      <c r="D390" s="154"/>
      <c r="E390" s="154"/>
      <c r="F390" s="154"/>
      <c r="G390" s="154"/>
      <c r="H390" s="154"/>
      <c r="O390" s="96"/>
      <c r="P390" s="351"/>
      <c r="Q390" s="351"/>
      <c r="R390" s="351"/>
      <c r="S390" s="351"/>
      <c r="T390" s="351"/>
      <c r="U390" s="351"/>
      <c r="Z390" s="396"/>
      <c r="AB390" s="396"/>
    </row>
    <row r="391" spans="2:28">
      <c r="B391" s="154"/>
      <c r="C391" s="154"/>
      <c r="D391" s="154"/>
      <c r="E391" s="154"/>
      <c r="F391" s="154"/>
      <c r="G391" s="154"/>
      <c r="H391" s="154"/>
      <c r="O391" s="96"/>
      <c r="P391" s="351"/>
      <c r="Q391" s="351"/>
      <c r="R391" s="351"/>
      <c r="S391" s="351"/>
      <c r="T391" s="351"/>
      <c r="U391" s="351"/>
      <c r="Z391" s="396"/>
      <c r="AB391" s="396"/>
    </row>
    <row r="392" spans="2:28">
      <c r="B392" s="154"/>
      <c r="C392" s="154"/>
      <c r="D392" s="154"/>
      <c r="E392" s="154"/>
      <c r="F392" s="154"/>
      <c r="G392" s="154"/>
      <c r="H392" s="154"/>
      <c r="O392" s="96"/>
      <c r="P392" s="351"/>
      <c r="Q392" s="351"/>
      <c r="R392" s="351"/>
      <c r="S392" s="351"/>
      <c r="T392" s="351"/>
      <c r="U392" s="351"/>
      <c r="Z392" s="396"/>
      <c r="AB392" s="396"/>
    </row>
    <row r="393" spans="2:28">
      <c r="B393" s="154"/>
      <c r="C393" s="154"/>
      <c r="D393" s="154"/>
      <c r="E393" s="154"/>
      <c r="F393" s="154"/>
      <c r="G393" s="154"/>
      <c r="H393" s="154"/>
      <c r="O393" s="96"/>
      <c r="P393" s="351"/>
      <c r="Q393" s="351"/>
      <c r="R393" s="351"/>
      <c r="S393" s="351"/>
      <c r="T393" s="351"/>
      <c r="U393" s="351"/>
      <c r="Z393" s="396"/>
      <c r="AB393" s="396"/>
    </row>
    <row r="394" spans="2:28">
      <c r="B394" s="154"/>
      <c r="C394" s="154"/>
      <c r="D394" s="154"/>
      <c r="E394" s="154"/>
      <c r="F394" s="154"/>
      <c r="G394" s="154"/>
      <c r="H394" s="154"/>
      <c r="O394" s="96"/>
      <c r="P394" s="351"/>
      <c r="Q394" s="351"/>
      <c r="R394" s="351"/>
      <c r="S394" s="351"/>
      <c r="T394" s="351"/>
      <c r="U394" s="351"/>
      <c r="Z394" s="396"/>
      <c r="AB394" s="396"/>
    </row>
    <row r="395" spans="2:28">
      <c r="B395" s="154"/>
      <c r="C395" s="154"/>
      <c r="D395" s="154"/>
      <c r="E395" s="154"/>
      <c r="F395" s="154"/>
      <c r="G395" s="154"/>
      <c r="H395" s="154"/>
      <c r="O395" s="96"/>
      <c r="P395" s="351"/>
      <c r="Q395" s="351"/>
      <c r="R395" s="351"/>
      <c r="S395" s="351"/>
      <c r="T395" s="351"/>
      <c r="U395" s="351"/>
      <c r="Z395" s="396"/>
      <c r="AB395" s="396"/>
    </row>
    <row r="396" spans="2:28">
      <c r="B396" s="154"/>
      <c r="C396" s="154"/>
      <c r="D396" s="154"/>
      <c r="E396" s="154"/>
      <c r="F396" s="154"/>
      <c r="G396" s="154"/>
      <c r="H396" s="154"/>
      <c r="O396" s="96"/>
      <c r="P396" s="351"/>
      <c r="Q396" s="351"/>
      <c r="R396" s="351"/>
      <c r="S396" s="351"/>
      <c r="T396" s="351"/>
      <c r="U396" s="351"/>
      <c r="Z396" s="396"/>
      <c r="AB396" s="396"/>
    </row>
    <row r="397" spans="2:28">
      <c r="B397" s="154"/>
      <c r="C397" s="154"/>
      <c r="D397" s="154"/>
      <c r="E397" s="154"/>
      <c r="F397" s="154"/>
      <c r="G397" s="154"/>
      <c r="H397" s="154"/>
      <c r="O397" s="96"/>
      <c r="P397" s="351"/>
      <c r="Q397" s="351"/>
      <c r="R397" s="351"/>
      <c r="S397" s="351"/>
      <c r="T397" s="351"/>
      <c r="U397" s="351"/>
      <c r="Z397" s="396"/>
      <c r="AB397" s="396"/>
    </row>
    <row r="398" spans="2:28">
      <c r="B398" s="154"/>
      <c r="C398" s="154"/>
      <c r="D398" s="154"/>
      <c r="E398" s="154"/>
      <c r="F398" s="154"/>
      <c r="G398" s="154"/>
      <c r="H398" s="154"/>
      <c r="O398" s="96"/>
      <c r="P398" s="351"/>
      <c r="Q398" s="351"/>
      <c r="R398" s="351"/>
      <c r="S398" s="351"/>
      <c r="T398" s="351"/>
      <c r="U398" s="351"/>
      <c r="Z398" s="396"/>
      <c r="AB398" s="396"/>
    </row>
    <row r="399" spans="2:28">
      <c r="B399" s="154"/>
      <c r="C399" s="154"/>
      <c r="D399" s="154"/>
      <c r="E399" s="154"/>
      <c r="F399" s="154"/>
      <c r="G399" s="154"/>
      <c r="H399" s="154"/>
      <c r="O399" s="96"/>
      <c r="P399" s="351"/>
      <c r="Q399" s="351"/>
      <c r="R399" s="351"/>
      <c r="S399" s="351"/>
      <c r="T399" s="351"/>
      <c r="U399" s="351"/>
      <c r="Z399" s="396"/>
      <c r="AB399" s="396"/>
    </row>
    <row r="400" spans="2:28">
      <c r="B400" s="154"/>
      <c r="C400" s="154"/>
      <c r="D400" s="154"/>
      <c r="E400" s="154"/>
      <c r="F400" s="154"/>
      <c r="G400" s="154"/>
      <c r="H400" s="154"/>
      <c r="O400" s="96"/>
      <c r="P400" s="351"/>
      <c r="Q400" s="351"/>
      <c r="R400" s="351"/>
      <c r="S400" s="351"/>
      <c r="T400" s="351"/>
      <c r="U400" s="351"/>
      <c r="Z400" s="396"/>
      <c r="AB400" s="396"/>
    </row>
    <row r="401" spans="2:28">
      <c r="B401" s="154"/>
      <c r="C401" s="154"/>
      <c r="D401" s="154"/>
      <c r="E401" s="154"/>
      <c r="F401" s="154"/>
      <c r="G401" s="154"/>
      <c r="H401" s="154"/>
      <c r="O401" s="96"/>
      <c r="P401" s="351"/>
      <c r="Q401" s="351"/>
      <c r="R401" s="351"/>
      <c r="S401" s="351"/>
      <c r="T401" s="351"/>
      <c r="U401" s="351"/>
      <c r="Z401" s="396"/>
      <c r="AB401" s="396"/>
    </row>
    <row r="402" spans="2:28">
      <c r="B402" s="154"/>
      <c r="C402" s="154"/>
      <c r="D402" s="154"/>
      <c r="E402" s="154"/>
      <c r="F402" s="154"/>
      <c r="G402" s="154"/>
      <c r="H402" s="154"/>
      <c r="O402" s="96"/>
      <c r="P402" s="351"/>
      <c r="Q402" s="351"/>
      <c r="R402" s="351"/>
      <c r="S402" s="351"/>
      <c r="T402" s="351"/>
      <c r="U402" s="351"/>
      <c r="Z402" s="396"/>
      <c r="AB402" s="396"/>
    </row>
    <row r="403" spans="2:28">
      <c r="B403" s="154"/>
      <c r="C403" s="154"/>
      <c r="D403" s="154"/>
      <c r="E403" s="154"/>
      <c r="F403" s="154"/>
      <c r="G403" s="154"/>
      <c r="H403" s="154"/>
      <c r="O403" s="96"/>
      <c r="P403" s="351"/>
      <c r="Q403" s="351"/>
      <c r="R403" s="351"/>
      <c r="S403" s="351"/>
      <c r="T403" s="351"/>
      <c r="U403" s="351"/>
      <c r="Z403" s="396"/>
      <c r="AB403" s="396"/>
    </row>
    <row r="404" spans="2:28">
      <c r="B404" s="154"/>
      <c r="C404" s="154"/>
      <c r="D404" s="154"/>
      <c r="E404" s="154"/>
      <c r="F404" s="154"/>
      <c r="G404" s="154"/>
      <c r="H404" s="154"/>
      <c r="O404" s="96"/>
      <c r="P404" s="351"/>
      <c r="Q404" s="351"/>
      <c r="R404" s="351"/>
      <c r="S404" s="351"/>
      <c r="T404" s="351"/>
      <c r="U404" s="351"/>
      <c r="Z404" s="396"/>
      <c r="AB404" s="396"/>
    </row>
    <row r="405" spans="2:28">
      <c r="B405" s="154"/>
      <c r="C405" s="154"/>
      <c r="D405" s="154"/>
      <c r="E405" s="154"/>
      <c r="F405" s="154"/>
      <c r="G405" s="154"/>
      <c r="H405" s="154"/>
      <c r="O405" s="96"/>
      <c r="P405" s="351"/>
      <c r="Q405" s="351"/>
      <c r="R405" s="351"/>
      <c r="S405" s="351"/>
      <c r="T405" s="351"/>
      <c r="U405" s="351"/>
      <c r="Z405" s="396"/>
      <c r="AB405" s="396"/>
    </row>
    <row r="406" spans="2:28">
      <c r="B406" s="154"/>
      <c r="C406" s="154"/>
      <c r="D406" s="154"/>
      <c r="E406" s="154"/>
      <c r="F406" s="154"/>
      <c r="G406" s="154"/>
      <c r="H406" s="154"/>
      <c r="O406" s="96"/>
      <c r="P406" s="351"/>
      <c r="Q406" s="351"/>
      <c r="R406" s="351"/>
      <c r="S406" s="351"/>
      <c r="T406" s="351"/>
      <c r="U406" s="351"/>
      <c r="Z406" s="396"/>
      <c r="AB406" s="396"/>
    </row>
    <row r="407" spans="2:28">
      <c r="B407" s="154"/>
      <c r="C407" s="154"/>
      <c r="D407" s="154"/>
      <c r="E407" s="154"/>
      <c r="F407" s="154"/>
      <c r="G407" s="154"/>
      <c r="H407" s="154"/>
      <c r="O407" s="96"/>
      <c r="P407" s="351"/>
      <c r="Q407" s="351"/>
      <c r="R407" s="351"/>
      <c r="S407" s="351"/>
      <c r="T407" s="351"/>
      <c r="U407" s="351"/>
      <c r="Z407" s="396"/>
      <c r="AB407" s="396"/>
    </row>
    <row r="408" spans="2:28">
      <c r="B408" s="154"/>
      <c r="C408" s="154"/>
      <c r="D408" s="154"/>
      <c r="E408" s="154"/>
      <c r="F408" s="154"/>
      <c r="G408" s="154"/>
      <c r="H408" s="154"/>
      <c r="O408" s="96"/>
      <c r="P408" s="351"/>
      <c r="Q408" s="351"/>
      <c r="R408" s="351"/>
      <c r="S408" s="351"/>
      <c r="T408" s="351"/>
      <c r="U408" s="351"/>
      <c r="Z408" s="396"/>
      <c r="AB408" s="396"/>
    </row>
    <row r="409" spans="2:28">
      <c r="B409" s="154"/>
      <c r="C409" s="154"/>
      <c r="D409" s="154"/>
      <c r="E409" s="154"/>
      <c r="F409" s="154"/>
      <c r="G409" s="154"/>
      <c r="H409" s="154"/>
      <c r="O409" s="96"/>
      <c r="P409" s="351"/>
      <c r="Q409" s="351"/>
      <c r="R409" s="351"/>
      <c r="S409" s="351"/>
      <c r="T409" s="351"/>
      <c r="U409" s="351"/>
      <c r="Z409" s="396"/>
      <c r="AB409" s="396"/>
    </row>
    <row r="410" spans="2:28">
      <c r="B410" s="154"/>
      <c r="C410" s="154"/>
      <c r="D410" s="154"/>
      <c r="E410" s="154"/>
      <c r="F410" s="154"/>
      <c r="G410" s="154"/>
      <c r="H410" s="154"/>
      <c r="O410" s="96"/>
      <c r="P410" s="351"/>
      <c r="Q410" s="351"/>
      <c r="R410" s="351"/>
      <c r="S410" s="351"/>
      <c r="T410" s="351"/>
      <c r="U410" s="351"/>
      <c r="Z410" s="396"/>
      <c r="AB410" s="396"/>
    </row>
    <row r="411" spans="2:28">
      <c r="B411" s="154"/>
      <c r="C411" s="154"/>
      <c r="D411" s="154"/>
      <c r="E411" s="154"/>
      <c r="F411" s="154"/>
      <c r="G411" s="154"/>
      <c r="H411" s="154"/>
      <c r="O411" s="96"/>
      <c r="P411" s="351"/>
      <c r="Q411" s="351"/>
      <c r="R411" s="351"/>
      <c r="S411" s="351"/>
      <c r="T411" s="351"/>
      <c r="U411" s="351"/>
      <c r="Z411" s="396"/>
      <c r="AB411" s="396"/>
    </row>
    <row r="412" spans="2:28">
      <c r="B412" s="154"/>
      <c r="C412" s="154"/>
      <c r="D412" s="154"/>
      <c r="E412" s="154"/>
      <c r="F412" s="154"/>
      <c r="G412" s="154"/>
      <c r="H412" s="154"/>
      <c r="O412" s="96"/>
      <c r="P412" s="351"/>
      <c r="Q412" s="351"/>
      <c r="R412" s="351"/>
      <c r="S412" s="351"/>
      <c r="T412" s="351"/>
      <c r="U412" s="351"/>
      <c r="Z412" s="396"/>
      <c r="AB412" s="396"/>
    </row>
    <row r="413" spans="2:28">
      <c r="B413" s="154"/>
      <c r="C413" s="154"/>
      <c r="D413" s="154"/>
      <c r="E413" s="154"/>
      <c r="F413" s="154"/>
      <c r="G413" s="154"/>
      <c r="H413" s="154"/>
      <c r="O413" s="96"/>
      <c r="P413" s="351"/>
      <c r="Q413" s="351"/>
      <c r="R413" s="351"/>
      <c r="S413" s="351"/>
      <c r="T413" s="351"/>
      <c r="U413" s="351"/>
      <c r="Z413" s="396"/>
      <c r="AB413" s="396"/>
    </row>
    <row r="414" spans="2:28">
      <c r="B414" s="154"/>
      <c r="C414" s="154"/>
      <c r="D414" s="154"/>
      <c r="E414" s="154"/>
      <c r="F414" s="154"/>
      <c r="G414" s="154"/>
      <c r="H414" s="154"/>
      <c r="O414" s="96"/>
      <c r="P414" s="351"/>
      <c r="Q414" s="351"/>
      <c r="R414" s="351"/>
      <c r="S414" s="351"/>
      <c r="T414" s="351"/>
      <c r="U414" s="351"/>
      <c r="Z414" s="396"/>
      <c r="AB414" s="396"/>
    </row>
    <row r="415" spans="2:28">
      <c r="B415" s="154"/>
      <c r="C415" s="154"/>
      <c r="D415" s="154"/>
      <c r="E415" s="154"/>
      <c r="F415" s="154"/>
      <c r="G415" s="154"/>
      <c r="H415" s="154"/>
      <c r="O415" s="96"/>
      <c r="P415" s="351"/>
      <c r="Q415" s="351"/>
      <c r="R415" s="351"/>
      <c r="S415" s="351"/>
      <c r="T415" s="351"/>
      <c r="U415" s="351"/>
      <c r="Z415" s="396"/>
      <c r="AB415" s="396"/>
    </row>
    <row r="416" spans="2:28">
      <c r="B416" s="154"/>
      <c r="C416" s="154"/>
      <c r="D416" s="154"/>
      <c r="E416" s="154"/>
      <c r="F416" s="154"/>
      <c r="G416" s="154"/>
      <c r="H416" s="154"/>
      <c r="O416" s="96"/>
      <c r="P416" s="351"/>
      <c r="Q416" s="351"/>
      <c r="R416" s="351"/>
      <c r="S416" s="351"/>
      <c r="T416" s="351"/>
      <c r="U416" s="351"/>
      <c r="Z416" s="396"/>
      <c r="AB416" s="396"/>
    </row>
    <row r="417" spans="2:28">
      <c r="B417" s="154"/>
      <c r="C417" s="154"/>
      <c r="D417" s="154"/>
      <c r="E417" s="154"/>
      <c r="F417" s="154"/>
      <c r="G417" s="154"/>
      <c r="H417" s="154"/>
      <c r="O417" s="96"/>
      <c r="P417" s="351"/>
      <c r="Q417" s="351"/>
      <c r="R417" s="351"/>
      <c r="S417" s="351"/>
      <c r="T417" s="351"/>
      <c r="U417" s="351"/>
      <c r="Z417" s="396"/>
      <c r="AB417" s="396"/>
    </row>
    <row r="418" spans="2:28">
      <c r="B418" s="154"/>
      <c r="C418" s="154"/>
      <c r="D418" s="154"/>
      <c r="E418" s="154"/>
      <c r="F418" s="154"/>
      <c r="G418" s="154"/>
      <c r="H418" s="154"/>
      <c r="O418" s="96"/>
      <c r="P418" s="351"/>
      <c r="Q418" s="351"/>
      <c r="R418" s="351"/>
      <c r="S418" s="351"/>
      <c r="T418" s="351"/>
      <c r="U418" s="351"/>
      <c r="Z418" s="396"/>
      <c r="AB418" s="396"/>
    </row>
    <row r="419" spans="2:28">
      <c r="B419" s="154"/>
      <c r="C419" s="154"/>
      <c r="D419" s="154"/>
      <c r="E419" s="154"/>
      <c r="F419" s="154"/>
      <c r="G419" s="154"/>
      <c r="H419" s="154"/>
      <c r="O419" s="96"/>
      <c r="P419" s="351"/>
      <c r="Q419" s="351"/>
      <c r="R419" s="351"/>
      <c r="S419" s="351"/>
      <c r="T419" s="351"/>
      <c r="U419" s="351"/>
      <c r="Z419" s="396"/>
      <c r="AB419" s="396"/>
    </row>
    <row r="420" spans="2:28">
      <c r="B420" s="154"/>
      <c r="C420" s="154"/>
      <c r="D420" s="154"/>
      <c r="E420" s="154"/>
      <c r="F420" s="154"/>
      <c r="G420" s="154"/>
      <c r="H420" s="154"/>
      <c r="O420" s="96"/>
      <c r="P420" s="351"/>
      <c r="Q420" s="351"/>
      <c r="R420" s="351"/>
      <c r="S420" s="351"/>
      <c r="T420" s="351"/>
      <c r="U420" s="351"/>
      <c r="Z420" s="396"/>
      <c r="AB420" s="396"/>
    </row>
    <row r="421" spans="2:28">
      <c r="B421" s="154"/>
      <c r="C421" s="154"/>
      <c r="D421" s="154"/>
      <c r="E421" s="154"/>
      <c r="F421" s="154"/>
      <c r="G421" s="154"/>
      <c r="H421" s="154"/>
      <c r="O421" s="96"/>
      <c r="P421" s="351"/>
      <c r="Q421" s="351"/>
      <c r="R421" s="351"/>
      <c r="S421" s="351"/>
      <c r="T421" s="351"/>
      <c r="U421" s="351"/>
      <c r="Z421" s="396"/>
      <c r="AB421" s="396"/>
    </row>
    <row r="422" spans="2:28">
      <c r="B422" s="154"/>
      <c r="C422" s="154"/>
      <c r="D422" s="154"/>
      <c r="E422" s="154"/>
      <c r="F422" s="154"/>
      <c r="G422" s="154"/>
      <c r="H422" s="154"/>
      <c r="O422" s="96"/>
      <c r="P422" s="351"/>
      <c r="Q422" s="351"/>
      <c r="R422" s="351"/>
      <c r="S422" s="351"/>
      <c r="T422" s="351"/>
      <c r="U422" s="351"/>
      <c r="Z422" s="396"/>
      <c r="AB422" s="396"/>
    </row>
    <row r="423" spans="2:28">
      <c r="B423" s="154"/>
      <c r="C423" s="154"/>
      <c r="D423" s="154"/>
      <c r="E423" s="154"/>
      <c r="F423" s="154"/>
      <c r="G423" s="154"/>
      <c r="H423" s="154"/>
      <c r="O423" s="96"/>
      <c r="P423" s="351"/>
      <c r="Q423" s="351"/>
      <c r="R423" s="351"/>
      <c r="S423" s="351"/>
      <c r="T423" s="351"/>
      <c r="U423" s="351"/>
      <c r="Z423" s="396"/>
      <c r="AB423" s="396"/>
    </row>
    <row r="424" spans="2:28">
      <c r="B424" s="154"/>
      <c r="C424" s="154"/>
      <c r="D424" s="154"/>
      <c r="E424" s="154"/>
      <c r="F424" s="154"/>
      <c r="G424" s="154"/>
      <c r="H424" s="154"/>
      <c r="O424" s="96"/>
      <c r="P424" s="351"/>
      <c r="Q424" s="351"/>
      <c r="R424" s="351"/>
      <c r="S424" s="351"/>
      <c r="T424" s="351"/>
      <c r="U424" s="351"/>
      <c r="Z424" s="396"/>
      <c r="AB424" s="396"/>
    </row>
    <row r="425" spans="2:28">
      <c r="B425" s="154"/>
      <c r="C425" s="154"/>
      <c r="D425" s="154"/>
      <c r="E425" s="154"/>
      <c r="F425" s="154"/>
      <c r="G425" s="154"/>
      <c r="H425" s="154"/>
      <c r="O425" s="96"/>
      <c r="P425" s="351"/>
      <c r="Q425" s="351"/>
      <c r="R425" s="351"/>
      <c r="S425" s="351"/>
      <c r="T425" s="351"/>
      <c r="U425" s="351"/>
      <c r="Z425" s="396"/>
      <c r="AB425" s="396"/>
    </row>
    <row r="426" spans="2:28">
      <c r="B426" s="154"/>
      <c r="C426" s="154"/>
      <c r="D426" s="154"/>
      <c r="E426" s="154"/>
      <c r="F426" s="154"/>
      <c r="G426" s="154"/>
      <c r="H426" s="154"/>
      <c r="O426" s="96"/>
      <c r="P426" s="351"/>
      <c r="Q426" s="351"/>
      <c r="R426" s="351"/>
      <c r="S426" s="351"/>
      <c r="T426" s="351"/>
      <c r="U426" s="351"/>
      <c r="Z426" s="396"/>
      <c r="AB426" s="396"/>
    </row>
    <row r="427" spans="2:28">
      <c r="B427" s="154"/>
      <c r="C427" s="154"/>
      <c r="D427" s="154"/>
      <c r="E427" s="154"/>
      <c r="F427" s="154"/>
      <c r="G427" s="154"/>
      <c r="H427" s="154"/>
      <c r="O427" s="96"/>
      <c r="P427" s="351"/>
      <c r="Q427" s="351"/>
      <c r="R427" s="351"/>
      <c r="S427" s="351"/>
      <c r="T427" s="351"/>
      <c r="U427" s="351"/>
      <c r="Z427" s="396"/>
      <c r="AB427" s="396"/>
    </row>
    <row r="428" spans="2:28">
      <c r="B428" s="154"/>
      <c r="C428" s="154"/>
      <c r="D428" s="154"/>
      <c r="E428" s="154"/>
      <c r="F428" s="154"/>
      <c r="G428" s="154"/>
      <c r="H428" s="154"/>
      <c r="O428" s="96"/>
      <c r="P428" s="351"/>
      <c r="Q428" s="351"/>
      <c r="R428" s="351"/>
      <c r="S428" s="351"/>
      <c r="T428" s="351"/>
      <c r="U428" s="351"/>
      <c r="Z428" s="396"/>
      <c r="AB428" s="396"/>
    </row>
    <row r="429" spans="2:28">
      <c r="B429" s="154"/>
      <c r="C429" s="154"/>
      <c r="D429" s="154"/>
      <c r="E429" s="154"/>
      <c r="F429" s="154"/>
      <c r="G429" s="154"/>
      <c r="H429" s="154"/>
      <c r="O429" s="96"/>
      <c r="P429" s="351"/>
      <c r="Q429" s="351"/>
      <c r="R429" s="351"/>
      <c r="S429" s="351"/>
      <c r="T429" s="351"/>
      <c r="U429" s="351"/>
      <c r="Z429" s="396"/>
      <c r="AB429" s="396"/>
    </row>
    <row r="430" spans="2:28">
      <c r="B430" s="154"/>
      <c r="C430" s="154"/>
      <c r="D430" s="154"/>
      <c r="E430" s="154"/>
      <c r="F430" s="154"/>
      <c r="G430" s="154"/>
      <c r="H430" s="154"/>
      <c r="O430" s="96"/>
      <c r="P430" s="351"/>
      <c r="Q430" s="351"/>
      <c r="R430" s="351"/>
      <c r="S430" s="351"/>
      <c r="T430" s="351"/>
      <c r="U430" s="351"/>
      <c r="Z430" s="396"/>
      <c r="AB430" s="396"/>
    </row>
    <row r="431" spans="2:28">
      <c r="B431" s="154"/>
      <c r="C431" s="154"/>
      <c r="D431" s="154"/>
      <c r="E431" s="154"/>
      <c r="F431" s="154"/>
      <c r="G431" s="154"/>
      <c r="H431" s="154"/>
      <c r="O431" s="96"/>
      <c r="P431" s="351"/>
      <c r="Q431" s="351"/>
      <c r="R431" s="351"/>
      <c r="S431" s="351"/>
      <c r="T431" s="351"/>
      <c r="U431" s="351"/>
      <c r="Z431" s="396"/>
      <c r="AB431" s="396"/>
    </row>
    <row r="432" spans="2:28">
      <c r="B432" s="154"/>
      <c r="C432" s="154"/>
      <c r="D432" s="154"/>
      <c r="E432" s="154"/>
      <c r="F432" s="154"/>
      <c r="G432" s="154"/>
      <c r="H432" s="154"/>
      <c r="O432" s="96"/>
      <c r="P432" s="351"/>
      <c r="Q432" s="351"/>
      <c r="R432" s="351"/>
      <c r="S432" s="351"/>
      <c r="T432" s="351"/>
      <c r="U432" s="351"/>
      <c r="Z432" s="396"/>
      <c r="AB432" s="396"/>
    </row>
    <row r="433" spans="2:28">
      <c r="B433" s="154"/>
      <c r="C433" s="154"/>
      <c r="D433" s="154"/>
      <c r="E433" s="154"/>
      <c r="F433" s="154"/>
      <c r="G433" s="154"/>
      <c r="H433" s="154"/>
      <c r="O433" s="96"/>
      <c r="P433" s="351"/>
      <c r="Q433" s="351"/>
      <c r="R433" s="351"/>
      <c r="S433" s="351"/>
      <c r="T433" s="351"/>
      <c r="U433" s="351"/>
      <c r="Z433" s="396"/>
      <c r="AB433" s="396"/>
    </row>
    <row r="434" spans="2:28">
      <c r="B434" s="154"/>
      <c r="C434" s="154"/>
      <c r="D434" s="154"/>
      <c r="E434" s="154"/>
      <c r="F434" s="154"/>
      <c r="G434" s="154"/>
      <c r="H434" s="154"/>
      <c r="O434" s="96"/>
      <c r="P434" s="351"/>
      <c r="Q434" s="351"/>
      <c r="R434" s="351"/>
      <c r="S434" s="351"/>
      <c r="T434" s="351"/>
      <c r="U434" s="351"/>
      <c r="Z434" s="396"/>
      <c r="AB434" s="396"/>
    </row>
    <row r="435" spans="2:28">
      <c r="B435" s="154"/>
      <c r="C435" s="154"/>
      <c r="D435" s="154"/>
      <c r="E435" s="154"/>
      <c r="F435" s="154"/>
      <c r="G435" s="154"/>
      <c r="H435" s="154"/>
      <c r="O435" s="96"/>
      <c r="P435" s="351"/>
      <c r="Q435" s="351"/>
      <c r="R435" s="351"/>
      <c r="S435" s="351"/>
      <c r="T435" s="351"/>
      <c r="U435" s="351"/>
      <c r="Z435" s="396"/>
      <c r="AB435" s="396"/>
    </row>
    <row r="436" spans="2:28">
      <c r="B436" s="154"/>
      <c r="C436" s="154"/>
      <c r="D436" s="154"/>
      <c r="E436" s="154"/>
      <c r="F436" s="154"/>
      <c r="G436" s="154"/>
      <c r="H436" s="154"/>
      <c r="O436" s="96"/>
      <c r="P436" s="351"/>
      <c r="Q436" s="351"/>
      <c r="R436" s="351"/>
      <c r="S436" s="351"/>
      <c r="T436" s="351"/>
      <c r="U436" s="351"/>
      <c r="Z436" s="396"/>
      <c r="AB436" s="396"/>
    </row>
    <row r="437" spans="2:28">
      <c r="B437" s="154"/>
      <c r="C437" s="154"/>
      <c r="D437" s="154"/>
      <c r="E437" s="154"/>
      <c r="F437" s="154"/>
      <c r="G437" s="154"/>
      <c r="H437" s="154"/>
      <c r="O437" s="96"/>
      <c r="P437" s="351"/>
      <c r="Q437" s="351"/>
      <c r="R437" s="351"/>
      <c r="S437" s="351"/>
      <c r="T437" s="351"/>
      <c r="U437" s="351"/>
      <c r="Z437" s="396"/>
      <c r="AB437" s="396"/>
    </row>
    <row r="438" spans="2:28">
      <c r="B438" s="154"/>
      <c r="C438" s="154"/>
      <c r="D438" s="154"/>
      <c r="E438" s="154"/>
      <c r="F438" s="154"/>
      <c r="G438" s="154"/>
      <c r="H438" s="154"/>
      <c r="O438" s="96"/>
      <c r="P438" s="351"/>
      <c r="Q438" s="351"/>
      <c r="R438" s="351"/>
      <c r="S438" s="351"/>
      <c r="T438" s="351"/>
      <c r="U438" s="351"/>
      <c r="Z438" s="396"/>
      <c r="AB438" s="396"/>
    </row>
    <row r="439" spans="2:28">
      <c r="B439" s="154"/>
      <c r="C439" s="154"/>
      <c r="D439" s="154"/>
      <c r="E439" s="154"/>
      <c r="F439" s="154"/>
      <c r="G439" s="154"/>
      <c r="H439" s="154"/>
      <c r="O439" s="96"/>
      <c r="P439" s="351"/>
      <c r="Q439" s="351"/>
      <c r="R439" s="351"/>
      <c r="S439" s="351"/>
      <c r="T439" s="351"/>
      <c r="U439" s="351"/>
      <c r="Z439" s="396"/>
      <c r="AB439" s="396"/>
    </row>
    <row r="440" spans="2:28">
      <c r="B440" s="154"/>
      <c r="C440" s="154"/>
      <c r="D440" s="154"/>
      <c r="E440" s="154"/>
      <c r="F440" s="154"/>
      <c r="G440" s="154"/>
      <c r="H440" s="154"/>
      <c r="O440" s="96"/>
      <c r="P440" s="351"/>
      <c r="Q440" s="351"/>
      <c r="R440" s="351"/>
      <c r="S440" s="351"/>
      <c r="T440" s="351"/>
      <c r="U440" s="351"/>
      <c r="Z440" s="396"/>
      <c r="AB440" s="396"/>
    </row>
    <row r="441" spans="2:28">
      <c r="B441" s="154"/>
      <c r="C441" s="154"/>
      <c r="D441" s="154"/>
      <c r="E441" s="154"/>
      <c r="F441" s="154"/>
      <c r="G441" s="154"/>
      <c r="H441" s="154"/>
      <c r="O441" s="96"/>
      <c r="P441" s="351"/>
      <c r="Q441" s="351"/>
      <c r="R441" s="351"/>
      <c r="S441" s="351"/>
      <c r="T441" s="351"/>
      <c r="U441" s="351"/>
      <c r="Z441" s="396"/>
      <c r="AB441" s="396"/>
    </row>
    <row r="442" spans="2:28">
      <c r="B442" s="154"/>
      <c r="C442" s="154"/>
      <c r="D442" s="154"/>
      <c r="E442" s="154"/>
      <c r="F442" s="154"/>
      <c r="G442" s="154"/>
      <c r="H442" s="154"/>
      <c r="O442" s="96"/>
      <c r="P442" s="351"/>
      <c r="Q442" s="351"/>
      <c r="R442" s="351"/>
      <c r="S442" s="351"/>
      <c r="T442" s="351"/>
      <c r="U442" s="351"/>
      <c r="Z442" s="396"/>
      <c r="AB442" s="396"/>
    </row>
    <row r="443" spans="2:28">
      <c r="B443" s="154"/>
      <c r="C443" s="154"/>
      <c r="D443" s="154"/>
      <c r="E443" s="154"/>
      <c r="F443" s="154"/>
      <c r="G443" s="154"/>
      <c r="H443" s="154"/>
      <c r="O443" s="96"/>
      <c r="P443" s="351"/>
      <c r="Q443" s="351"/>
      <c r="R443" s="351"/>
      <c r="S443" s="351"/>
      <c r="T443" s="351"/>
      <c r="U443" s="351"/>
      <c r="Z443" s="396"/>
      <c r="AB443" s="396"/>
    </row>
    <row r="444" spans="2:28">
      <c r="B444" s="154"/>
      <c r="C444" s="154"/>
      <c r="D444" s="154"/>
      <c r="E444" s="154"/>
      <c r="F444" s="154"/>
      <c r="G444" s="154"/>
      <c r="H444" s="154"/>
      <c r="O444" s="96"/>
      <c r="P444" s="351"/>
      <c r="Q444" s="351"/>
      <c r="R444" s="351"/>
      <c r="S444" s="351"/>
      <c r="T444" s="351"/>
      <c r="U444" s="351"/>
      <c r="Z444" s="396"/>
      <c r="AB444" s="396"/>
    </row>
    <row r="445" spans="2:28">
      <c r="B445" s="154"/>
      <c r="C445" s="154"/>
      <c r="D445" s="154"/>
      <c r="E445" s="154"/>
      <c r="F445" s="154"/>
      <c r="G445" s="154"/>
      <c r="H445" s="154"/>
      <c r="O445" s="96"/>
      <c r="P445" s="351"/>
      <c r="Q445" s="351"/>
      <c r="R445" s="351"/>
      <c r="S445" s="351"/>
      <c r="T445" s="351"/>
      <c r="U445" s="351"/>
      <c r="Z445" s="396"/>
      <c r="AB445" s="396"/>
    </row>
    <row r="446" spans="2:28">
      <c r="B446" s="154"/>
      <c r="C446" s="154"/>
      <c r="D446" s="154"/>
      <c r="E446" s="154"/>
      <c r="F446" s="154"/>
      <c r="G446" s="154"/>
      <c r="H446" s="154"/>
      <c r="O446" s="96"/>
      <c r="P446" s="351"/>
      <c r="Q446" s="351"/>
      <c r="R446" s="351"/>
      <c r="S446" s="351"/>
      <c r="T446" s="351"/>
      <c r="U446" s="351"/>
      <c r="Z446" s="396"/>
      <c r="AB446" s="396"/>
    </row>
    <row r="447" spans="2:28">
      <c r="B447" s="154"/>
      <c r="C447" s="154"/>
      <c r="D447" s="154"/>
      <c r="E447" s="154"/>
      <c r="F447" s="154"/>
      <c r="G447" s="154"/>
      <c r="H447" s="154"/>
      <c r="O447" s="96"/>
      <c r="P447" s="351"/>
      <c r="Q447" s="351"/>
      <c r="R447" s="351"/>
      <c r="S447" s="351"/>
      <c r="T447" s="351"/>
      <c r="U447" s="351"/>
      <c r="Z447" s="396"/>
      <c r="AB447" s="396"/>
    </row>
    <row r="448" spans="2:28">
      <c r="B448" s="154"/>
      <c r="C448" s="154"/>
      <c r="D448" s="154"/>
      <c r="E448" s="154"/>
      <c r="F448" s="154"/>
      <c r="G448" s="154"/>
      <c r="H448" s="154"/>
      <c r="O448" s="96"/>
      <c r="P448" s="351"/>
      <c r="Q448" s="351"/>
      <c r="R448" s="351"/>
      <c r="S448" s="351"/>
      <c r="T448" s="351"/>
      <c r="U448" s="351"/>
      <c r="Z448" s="396"/>
      <c r="AB448" s="396"/>
    </row>
    <row r="449" spans="2:28">
      <c r="B449" s="154"/>
      <c r="C449" s="154"/>
      <c r="D449" s="154"/>
      <c r="E449" s="154"/>
      <c r="F449" s="154"/>
      <c r="G449" s="154"/>
      <c r="H449" s="154"/>
      <c r="O449" s="96"/>
      <c r="P449" s="351"/>
      <c r="Q449" s="351"/>
      <c r="R449" s="351"/>
      <c r="S449" s="351"/>
      <c r="T449" s="351"/>
      <c r="U449" s="351"/>
      <c r="Z449" s="396"/>
      <c r="AB449" s="396"/>
    </row>
    <row r="450" spans="2:28">
      <c r="B450" s="154"/>
      <c r="C450" s="154"/>
      <c r="D450" s="154"/>
      <c r="E450" s="154"/>
      <c r="F450" s="154"/>
      <c r="G450" s="154"/>
      <c r="H450" s="154"/>
      <c r="O450" s="96"/>
      <c r="P450" s="351"/>
      <c r="Q450" s="351"/>
      <c r="R450" s="351"/>
      <c r="S450" s="351"/>
      <c r="T450" s="351"/>
      <c r="U450" s="351"/>
      <c r="Z450" s="396"/>
      <c r="AB450" s="396"/>
    </row>
    <row r="451" spans="2:28">
      <c r="B451" s="154"/>
      <c r="C451" s="154"/>
      <c r="D451" s="154"/>
      <c r="E451" s="154"/>
      <c r="F451" s="154"/>
      <c r="G451" s="154"/>
      <c r="H451" s="154"/>
      <c r="O451" s="96"/>
      <c r="P451" s="351"/>
      <c r="Q451" s="351"/>
      <c r="R451" s="351"/>
      <c r="S451" s="351"/>
      <c r="T451" s="351"/>
      <c r="U451" s="351"/>
      <c r="Z451" s="396"/>
      <c r="AB451" s="396"/>
    </row>
    <row r="452" spans="2:28">
      <c r="B452" s="154"/>
      <c r="C452" s="154"/>
      <c r="D452" s="154"/>
      <c r="E452" s="154"/>
      <c r="F452" s="154"/>
      <c r="G452" s="154"/>
      <c r="H452" s="154"/>
      <c r="O452" s="96"/>
      <c r="P452" s="351"/>
      <c r="Q452" s="351"/>
      <c r="R452" s="351"/>
      <c r="S452" s="351"/>
      <c r="T452" s="351"/>
      <c r="U452" s="351"/>
      <c r="Z452" s="396"/>
      <c r="AB452" s="396"/>
    </row>
    <row r="453" spans="2:28">
      <c r="B453" s="154"/>
      <c r="C453" s="154"/>
      <c r="D453" s="154"/>
      <c r="E453" s="154"/>
      <c r="F453" s="154"/>
      <c r="G453" s="154"/>
      <c r="H453" s="154"/>
      <c r="O453" s="96"/>
      <c r="P453" s="351"/>
      <c r="Q453" s="351"/>
      <c r="R453" s="351"/>
      <c r="S453" s="351"/>
      <c r="T453" s="351"/>
      <c r="U453" s="351"/>
      <c r="Z453" s="396"/>
      <c r="AB453" s="396"/>
    </row>
    <row r="454" spans="2:28">
      <c r="B454" s="154"/>
      <c r="C454" s="154"/>
      <c r="D454" s="154"/>
      <c r="E454" s="154"/>
      <c r="F454" s="154"/>
      <c r="G454" s="154"/>
      <c r="H454" s="154"/>
      <c r="O454" s="96"/>
      <c r="P454" s="351"/>
      <c r="Q454" s="351"/>
      <c r="R454" s="351"/>
      <c r="S454" s="351"/>
      <c r="T454" s="351"/>
      <c r="U454" s="351"/>
      <c r="Z454" s="396"/>
      <c r="AB454" s="396"/>
    </row>
    <row r="455" spans="2:28">
      <c r="B455" s="154"/>
      <c r="C455" s="154"/>
      <c r="D455" s="154"/>
      <c r="E455" s="154"/>
      <c r="F455" s="154"/>
      <c r="G455" s="154"/>
      <c r="H455" s="154"/>
      <c r="O455" s="96"/>
      <c r="P455" s="351"/>
      <c r="Q455" s="351"/>
      <c r="R455" s="351"/>
      <c r="S455" s="351"/>
      <c r="T455" s="351"/>
      <c r="U455" s="351"/>
    </row>
    <row r="456" spans="2:28">
      <c r="B456" s="154"/>
      <c r="C456" s="154"/>
      <c r="D456" s="154"/>
      <c r="E456" s="154"/>
      <c r="F456" s="154"/>
      <c r="G456" s="154"/>
      <c r="H456" s="154"/>
      <c r="O456" s="96"/>
      <c r="P456" s="351"/>
      <c r="Q456" s="351"/>
      <c r="R456" s="351"/>
      <c r="S456" s="351"/>
      <c r="T456" s="351"/>
      <c r="U456" s="351"/>
    </row>
    <row r="457" spans="2:28">
      <c r="B457" s="154"/>
      <c r="C457" s="154"/>
      <c r="D457" s="154"/>
      <c r="E457" s="154"/>
      <c r="F457" s="154"/>
      <c r="G457" s="154"/>
      <c r="H457" s="154"/>
      <c r="O457" s="96"/>
      <c r="P457" s="351"/>
      <c r="Q457" s="351"/>
      <c r="R457" s="351"/>
      <c r="S457" s="351"/>
      <c r="T457" s="351"/>
      <c r="U457" s="351"/>
    </row>
    <row r="458" spans="2:28">
      <c r="B458" s="154"/>
      <c r="C458" s="154"/>
      <c r="D458" s="154"/>
      <c r="E458" s="154"/>
      <c r="F458" s="154"/>
      <c r="G458" s="154"/>
      <c r="H458" s="154"/>
      <c r="O458" s="96"/>
      <c r="P458" s="351"/>
      <c r="Q458" s="351"/>
      <c r="R458" s="351"/>
      <c r="S458" s="351"/>
      <c r="T458" s="351"/>
      <c r="U458" s="351"/>
    </row>
    <row r="459" spans="2:28">
      <c r="B459" s="154"/>
      <c r="C459" s="154"/>
      <c r="D459" s="154"/>
      <c r="E459" s="154"/>
      <c r="F459" s="154"/>
      <c r="G459" s="154"/>
      <c r="H459" s="154"/>
      <c r="O459" s="96"/>
      <c r="P459" s="351"/>
      <c r="Q459" s="351"/>
      <c r="R459" s="351"/>
      <c r="S459" s="351"/>
      <c r="T459" s="351"/>
      <c r="U459" s="351"/>
    </row>
    <row r="460" spans="2:28">
      <c r="B460" s="154"/>
      <c r="C460" s="154"/>
      <c r="D460" s="154"/>
      <c r="E460" s="154"/>
      <c r="F460" s="154"/>
      <c r="G460" s="154"/>
      <c r="H460" s="154"/>
      <c r="O460" s="96"/>
      <c r="P460" s="351"/>
      <c r="Q460" s="351"/>
      <c r="R460" s="351"/>
      <c r="S460" s="351"/>
      <c r="T460" s="351"/>
      <c r="U460" s="351"/>
    </row>
    <row r="461" spans="2:28">
      <c r="B461" s="154"/>
      <c r="C461" s="154"/>
      <c r="D461" s="154"/>
      <c r="E461" s="154"/>
      <c r="F461" s="154"/>
      <c r="G461" s="154"/>
      <c r="H461" s="154"/>
      <c r="O461" s="96"/>
      <c r="P461" s="351"/>
      <c r="Q461" s="351"/>
      <c r="R461" s="351"/>
      <c r="S461" s="351"/>
      <c r="T461" s="351"/>
      <c r="U461" s="351"/>
    </row>
    <row r="462" spans="2:28">
      <c r="B462" s="154"/>
      <c r="C462" s="154"/>
      <c r="D462" s="154"/>
      <c r="E462" s="154"/>
      <c r="F462" s="154"/>
      <c r="G462" s="154"/>
      <c r="H462" s="154"/>
      <c r="O462" s="96"/>
      <c r="P462" s="351"/>
      <c r="Q462" s="351"/>
      <c r="R462" s="351"/>
      <c r="S462" s="351"/>
      <c r="T462" s="351"/>
      <c r="U462" s="351"/>
    </row>
    <row r="463" spans="2:28">
      <c r="B463" s="154"/>
      <c r="C463" s="154"/>
      <c r="D463" s="154"/>
      <c r="E463" s="154"/>
      <c r="F463" s="154"/>
      <c r="G463" s="154"/>
      <c r="H463" s="154"/>
      <c r="O463" s="96"/>
      <c r="P463" s="351"/>
      <c r="Q463" s="351"/>
      <c r="R463" s="351"/>
      <c r="S463" s="351"/>
      <c r="T463" s="351"/>
      <c r="U463" s="351"/>
    </row>
    <row r="464" spans="2:28">
      <c r="B464" s="154"/>
      <c r="C464" s="154"/>
      <c r="D464" s="154"/>
      <c r="E464" s="154"/>
      <c r="F464" s="154"/>
      <c r="G464" s="154"/>
      <c r="H464" s="154"/>
      <c r="O464" s="96"/>
      <c r="P464" s="351"/>
      <c r="Q464" s="351"/>
      <c r="R464" s="351"/>
      <c r="S464" s="351"/>
      <c r="T464" s="351"/>
      <c r="U464" s="351"/>
    </row>
    <row r="465" spans="2:21">
      <c r="B465" s="154"/>
      <c r="C465" s="154"/>
      <c r="D465" s="154"/>
      <c r="E465" s="154"/>
      <c r="F465" s="154"/>
      <c r="G465" s="154"/>
      <c r="H465" s="154"/>
      <c r="O465" s="96"/>
      <c r="P465" s="351"/>
      <c r="Q465" s="351"/>
      <c r="R465" s="351"/>
      <c r="S465" s="351"/>
      <c r="T465" s="351"/>
      <c r="U465" s="351"/>
    </row>
    <row r="466" spans="2:21">
      <c r="B466" s="154"/>
      <c r="C466" s="154"/>
      <c r="D466" s="154"/>
      <c r="E466" s="154"/>
      <c r="F466" s="154"/>
      <c r="G466" s="154"/>
      <c r="H466" s="154"/>
      <c r="O466" s="96"/>
      <c r="P466" s="351"/>
      <c r="Q466" s="351"/>
      <c r="R466" s="351"/>
      <c r="S466" s="351"/>
      <c r="T466" s="351"/>
      <c r="U466" s="351"/>
    </row>
    <row r="467" spans="2:21">
      <c r="B467" s="154"/>
      <c r="C467" s="154"/>
      <c r="D467" s="154"/>
      <c r="E467" s="154"/>
      <c r="F467" s="154"/>
      <c r="G467" s="154"/>
      <c r="H467" s="154"/>
      <c r="O467" s="96"/>
      <c r="P467" s="351"/>
      <c r="Q467" s="351"/>
      <c r="R467" s="351"/>
      <c r="S467" s="351"/>
      <c r="T467" s="351"/>
      <c r="U467" s="351"/>
    </row>
    <row r="468" spans="2:21">
      <c r="B468" s="154"/>
      <c r="C468" s="154"/>
      <c r="D468" s="154"/>
      <c r="E468" s="154"/>
      <c r="F468" s="154"/>
      <c r="G468" s="154"/>
      <c r="H468" s="154"/>
      <c r="O468" s="96"/>
      <c r="P468" s="351"/>
      <c r="Q468" s="351"/>
      <c r="R468" s="351"/>
      <c r="S468" s="351"/>
      <c r="T468" s="351"/>
      <c r="U468" s="351"/>
    </row>
    <row r="469" spans="2:21">
      <c r="B469" s="154"/>
      <c r="C469" s="154"/>
      <c r="D469" s="154"/>
      <c r="E469" s="154"/>
      <c r="F469" s="154"/>
      <c r="G469" s="154"/>
      <c r="H469" s="154"/>
      <c r="O469" s="96"/>
      <c r="P469" s="351"/>
      <c r="Q469" s="351"/>
      <c r="R469" s="351"/>
      <c r="S469" s="351"/>
      <c r="T469" s="351"/>
      <c r="U469" s="351"/>
    </row>
    <row r="470" spans="2:21">
      <c r="B470" s="154"/>
      <c r="C470" s="154"/>
      <c r="D470" s="154"/>
      <c r="E470" s="154"/>
      <c r="F470" s="154"/>
      <c r="G470" s="154"/>
      <c r="H470" s="154"/>
      <c r="O470" s="96"/>
      <c r="P470" s="351"/>
      <c r="Q470" s="351"/>
      <c r="R470" s="351"/>
      <c r="S470" s="351"/>
      <c r="T470" s="351"/>
      <c r="U470" s="351"/>
    </row>
    <row r="471" spans="2:21">
      <c r="B471" s="154"/>
      <c r="C471" s="154"/>
      <c r="D471" s="154"/>
      <c r="E471" s="154"/>
      <c r="F471" s="154"/>
      <c r="G471" s="154"/>
      <c r="H471" s="154"/>
      <c r="O471" s="96"/>
      <c r="P471" s="351"/>
      <c r="Q471" s="351"/>
      <c r="R471" s="351"/>
      <c r="S471" s="351"/>
      <c r="T471" s="351"/>
      <c r="U471" s="351"/>
    </row>
    <row r="472" spans="2:21">
      <c r="O472" s="96"/>
      <c r="P472" s="351"/>
      <c r="Q472" s="351"/>
      <c r="R472" s="351"/>
      <c r="S472" s="351"/>
      <c r="T472" s="351"/>
      <c r="U472" s="351"/>
    </row>
    <row r="473" spans="2:21">
      <c r="O473" s="96"/>
      <c r="P473" s="351"/>
      <c r="Q473" s="351"/>
      <c r="R473" s="351"/>
      <c r="S473" s="351"/>
      <c r="T473" s="351"/>
      <c r="U473" s="351"/>
    </row>
    <row r="474" spans="2:21">
      <c r="O474" s="96"/>
      <c r="P474" s="351"/>
      <c r="Q474" s="351"/>
      <c r="R474" s="351"/>
      <c r="S474" s="351"/>
      <c r="T474" s="351"/>
      <c r="U474" s="351"/>
    </row>
    <row r="475" spans="2:21">
      <c r="O475" s="96"/>
      <c r="P475" s="351"/>
      <c r="Q475" s="351"/>
      <c r="R475" s="351"/>
      <c r="S475" s="351"/>
      <c r="T475" s="351"/>
      <c r="U475" s="351"/>
    </row>
    <row r="476" spans="2:21">
      <c r="O476" s="96"/>
      <c r="P476" s="351"/>
      <c r="Q476" s="351"/>
      <c r="R476" s="351"/>
      <c r="S476" s="351"/>
      <c r="T476" s="351"/>
      <c r="U476" s="351"/>
    </row>
    <row r="477" spans="2:21">
      <c r="O477" s="96"/>
      <c r="P477" s="351"/>
      <c r="Q477" s="351"/>
      <c r="R477" s="351"/>
      <c r="S477" s="351"/>
      <c r="T477" s="351"/>
      <c r="U477" s="351"/>
    </row>
    <row r="478" spans="2:21">
      <c r="O478" s="96"/>
      <c r="P478" s="351"/>
      <c r="Q478" s="351"/>
      <c r="R478" s="351"/>
      <c r="S478" s="351"/>
      <c r="T478" s="351"/>
      <c r="U478" s="351"/>
    </row>
    <row r="479" spans="2:21">
      <c r="O479" s="96"/>
      <c r="P479" s="351"/>
      <c r="Q479" s="351"/>
      <c r="R479" s="351"/>
      <c r="S479" s="351"/>
      <c r="T479" s="351"/>
      <c r="U479" s="351"/>
    </row>
    <row r="480" spans="2:21">
      <c r="O480" s="96"/>
      <c r="P480" s="351"/>
      <c r="Q480" s="351"/>
      <c r="R480" s="351"/>
      <c r="S480" s="351"/>
      <c r="T480" s="351"/>
      <c r="U480" s="351"/>
    </row>
    <row r="481" spans="15:21">
      <c r="O481" s="96"/>
      <c r="P481" s="351"/>
      <c r="Q481" s="351"/>
      <c r="R481" s="351"/>
      <c r="S481" s="351"/>
      <c r="T481" s="351"/>
      <c r="U481" s="351"/>
    </row>
    <row r="482" spans="15:21">
      <c r="O482" s="96"/>
      <c r="P482" s="351"/>
      <c r="Q482" s="351"/>
      <c r="R482" s="351"/>
      <c r="S482" s="351"/>
      <c r="T482" s="351"/>
      <c r="U482" s="351"/>
    </row>
    <row r="483" spans="15:21">
      <c r="O483" s="96"/>
      <c r="P483" s="351"/>
      <c r="Q483" s="351"/>
      <c r="R483" s="351"/>
      <c r="S483" s="351"/>
      <c r="T483" s="351"/>
      <c r="U483" s="351"/>
    </row>
    <row r="484" spans="15:21">
      <c r="O484" s="96"/>
      <c r="P484" s="351"/>
      <c r="Q484" s="351"/>
      <c r="R484" s="351"/>
      <c r="S484" s="351"/>
      <c r="T484" s="351"/>
      <c r="U484" s="351"/>
    </row>
    <row r="485" spans="15:21">
      <c r="O485" s="96"/>
      <c r="P485" s="351"/>
      <c r="Q485" s="351"/>
      <c r="R485" s="351"/>
      <c r="S485" s="351"/>
      <c r="T485" s="351"/>
      <c r="U485" s="351"/>
    </row>
    <row r="486" spans="15:21">
      <c r="O486" s="96"/>
      <c r="P486" s="351"/>
      <c r="Q486" s="351"/>
      <c r="R486" s="351"/>
      <c r="S486" s="351"/>
      <c r="T486" s="351"/>
      <c r="U486" s="351"/>
    </row>
    <row r="487" spans="15:21">
      <c r="O487" s="96"/>
      <c r="P487" s="351"/>
      <c r="Q487" s="351"/>
      <c r="R487" s="351"/>
      <c r="S487" s="351"/>
      <c r="T487" s="351"/>
      <c r="U487" s="351"/>
    </row>
    <row r="488" spans="15:21">
      <c r="O488" s="96"/>
      <c r="P488" s="351"/>
      <c r="Q488" s="351"/>
      <c r="R488" s="351"/>
      <c r="S488" s="351"/>
      <c r="T488" s="351"/>
      <c r="U488" s="351"/>
    </row>
    <row r="489" spans="15:21">
      <c r="O489" s="96"/>
      <c r="P489" s="351"/>
      <c r="Q489" s="351"/>
      <c r="R489" s="351"/>
      <c r="S489" s="351"/>
      <c r="T489" s="351"/>
      <c r="U489" s="351"/>
    </row>
  </sheetData>
  <sheetProtection sheet="1" selectLockedCells="1"/>
  <sortState ref="B197:I201">
    <sortCondition descending="1" ref="I197:I201"/>
  </sortState>
  <mergeCells count="33">
    <mergeCell ref="AQ1:AQ4"/>
    <mergeCell ref="AM1:AM4"/>
    <mergeCell ref="AN1:AN4"/>
    <mergeCell ref="AO1:AO4"/>
    <mergeCell ref="AP1:AP4"/>
    <mergeCell ref="AG102:AG103"/>
    <mergeCell ref="V25:W25"/>
    <mergeCell ref="R39:S39"/>
    <mergeCell ref="R15:S15"/>
    <mergeCell ref="R13:S13"/>
    <mergeCell ref="R41:S41"/>
    <mergeCell ref="R17:S17"/>
    <mergeCell ref="P3:Q4"/>
    <mergeCell ref="R52:T52"/>
    <mergeCell ref="R61:T61"/>
    <mergeCell ref="R22:S22"/>
    <mergeCell ref="B6:D6"/>
    <mergeCell ref="B27:D27"/>
    <mergeCell ref="B48:D48"/>
    <mergeCell ref="R8:S8"/>
    <mergeCell ref="R9:S9"/>
    <mergeCell ref="R12:S12"/>
    <mergeCell ref="R10:S10"/>
    <mergeCell ref="R3:S4"/>
    <mergeCell ref="J5:J6"/>
    <mergeCell ref="R40:S40"/>
    <mergeCell ref="K2:M4"/>
    <mergeCell ref="R11:S11"/>
    <mergeCell ref="C5:D5"/>
    <mergeCell ref="B69:D69"/>
    <mergeCell ref="I5:I6"/>
    <mergeCell ref="G7:H7"/>
    <mergeCell ref="R42:S42"/>
  </mergeCells>
  <phoneticPr fontId="0" type="noConversion"/>
  <conditionalFormatting sqref="B21:H23">
    <cfRule type="expression" dxfId="33" priority="65">
      <formula>OR(NOT(ISNUMBER(B$21)),B$21=0,B$21&gt;=$F$6,B$21&lt;$G$6)</formula>
    </cfRule>
  </conditionalFormatting>
  <conditionalFormatting sqref="B18:H20">
    <cfRule type="expression" dxfId="32" priority="64">
      <formula>OR(NOT(ISNUMBER(B$18)),B$18=0,B$18&gt;=$F$6,B$18&lt;$G$6)</formula>
    </cfRule>
  </conditionalFormatting>
  <conditionalFormatting sqref="B15:H17">
    <cfRule type="expression" dxfId="31" priority="63">
      <formula>OR(NOT(ISNUMBER(B$15)),B$15=0,B$15&gt;=$F$6,B$15&lt;$G$6)</formula>
    </cfRule>
  </conditionalFormatting>
  <conditionalFormatting sqref="B12:H14">
    <cfRule type="expression" dxfId="30" priority="62">
      <formula>OR(NOT(ISNUMBER(B$12)),B$12=0,B$12&gt;=$F$6,B$12&lt;$G$6)</formula>
    </cfRule>
  </conditionalFormatting>
  <conditionalFormatting sqref="B9:H9 E10:H11">
    <cfRule type="expression" dxfId="29" priority="61">
      <formula>OR(NOT(ISNUMBER(B$9)),B$9=0,B$9&gt;=$F$6,B$9&lt;$G$6)</formula>
    </cfRule>
  </conditionalFormatting>
  <conditionalFormatting sqref="B84:H86">
    <cfRule type="expression" dxfId="28" priority="39">
      <formula>OR(NOT(ISNUMBER(B$84)),B$84=0,B$84&gt;=$F$6,B$84&lt;$G$6)</formula>
    </cfRule>
  </conditionalFormatting>
  <conditionalFormatting sqref="B81:H83">
    <cfRule type="expression" dxfId="27" priority="38">
      <formula>OR(NOT(ISNUMBER(B$81)),B$81=0,B$81&gt;=$F$6,B$81&lt;$G$6)</formula>
    </cfRule>
  </conditionalFormatting>
  <conditionalFormatting sqref="B78:H80">
    <cfRule type="expression" dxfId="26" priority="37">
      <formula>OR(NOT(ISNUMBER(B$78)),B$78=0,B$78&gt;=$F$6,B$78&lt;$G$6)</formula>
    </cfRule>
  </conditionalFormatting>
  <conditionalFormatting sqref="B75:H77">
    <cfRule type="expression" dxfId="25" priority="36">
      <formula>OR(NOT(ISNUMBER(B$75)),B$75=0,B$75&gt;=$F$6,B$75&lt;$G$6)</formula>
    </cfRule>
  </conditionalFormatting>
  <conditionalFormatting sqref="B72:H74">
    <cfRule type="expression" dxfId="24" priority="35">
      <formula>OR(NOT(ISNUMBER(B$72)),B$72=0,B$72&gt;=$F$6,B$72&lt;$G$6)</formula>
    </cfRule>
  </conditionalFormatting>
  <conditionalFormatting sqref="B63:H65">
    <cfRule type="expression" dxfId="23" priority="29">
      <formula>OR(NOT(ISNUMBER(B$63)),B$63=0,B$63&lt;$G$6,B$63&gt;=$F$6)</formula>
    </cfRule>
  </conditionalFormatting>
  <conditionalFormatting sqref="B60:H62">
    <cfRule type="expression" dxfId="22" priority="28">
      <formula>OR(NOT(ISNUMBER(B$60)),B$60=0,B$60&lt;$G$6,B$60&gt;=$F$6)</formula>
    </cfRule>
  </conditionalFormatting>
  <conditionalFormatting sqref="B57:H59">
    <cfRule type="expression" dxfId="21" priority="27">
      <formula>OR(NOT(ISNUMBER(B$57)),B$57=0,B$57&lt;$G$6,B$57&gt;=$F$6)</formula>
    </cfRule>
  </conditionalFormatting>
  <conditionalFormatting sqref="B54:H56">
    <cfRule type="expression" dxfId="20" priority="26">
      <formula>OR(NOT(ISNUMBER(B$54)),B$54=0,B$54&lt;$G$6,B$54&gt;=$F$6)</formula>
    </cfRule>
  </conditionalFormatting>
  <conditionalFormatting sqref="B51:B53">
    <cfRule type="expression" dxfId="19" priority="25">
      <formula>OR(NOT(ISNUMBER(B$51)),B$51=0,B$51&lt;$G$6,B$51&gt;=$F$6)</formula>
    </cfRule>
  </conditionalFormatting>
  <conditionalFormatting sqref="B42:H42">
    <cfRule type="expression" dxfId="18" priority="24">
      <formula>OR(NOT(ISNUMBER(B$42)),B$42=0,B$42&gt;=$F$6,B$42&lt;$G$6)</formula>
    </cfRule>
  </conditionalFormatting>
  <conditionalFormatting sqref="B39:H39">
    <cfRule type="expression" dxfId="17" priority="23">
      <formula>OR(NOT(ISNUMBER(B$39)),B$39=0,B$39&gt;=$F$6,B$39&lt;$G$6)</formula>
    </cfRule>
  </conditionalFormatting>
  <conditionalFormatting sqref="B36:H36">
    <cfRule type="expression" dxfId="16" priority="22">
      <formula>OR(NOT(ISNUMBER(B$36)),B$36=0,B$36&gt;=$F$6,B$36&lt;$G$6)</formula>
    </cfRule>
  </conditionalFormatting>
  <conditionalFormatting sqref="B33:H33">
    <cfRule type="expression" dxfId="15" priority="21">
      <formula>OR(NOT(ISNUMBER(B$33)),B$33=0,B$33&gt;=$F$6,B$33&lt;$G$6)</formula>
    </cfRule>
  </conditionalFormatting>
  <conditionalFormatting sqref="B30:H30 B31:E32">
    <cfRule type="expression" dxfId="14" priority="20">
      <formula>OR(NOT(ISNUMBER(B$30)),B$30=0,B$30&gt;=$F$6,B$30&lt;$G$6)</formula>
    </cfRule>
  </conditionalFormatting>
  <conditionalFormatting sqref="T3:U4">
    <cfRule type="expression" dxfId="13" priority="18">
      <formula>($H$6-90)&lt;&gt;0</formula>
    </cfRule>
  </conditionalFormatting>
  <conditionalFormatting sqref="B10:D10">
    <cfRule type="expression" dxfId="12" priority="15">
      <formula>OR(NOT(ISNUMBER(B$9)),B$9=0,B$9&gt;=$F$6,B$9&lt;$G$6)</formula>
    </cfRule>
  </conditionalFormatting>
  <conditionalFormatting sqref="F31:H31">
    <cfRule type="expression" dxfId="11" priority="14">
      <formula>OR(NOT(ISNUMBER(F$30)),F$30=0,F$30&gt;=$F$6,F$30&lt;$G$6)</formula>
    </cfRule>
  </conditionalFormatting>
  <conditionalFormatting sqref="B34:H34">
    <cfRule type="expression" dxfId="10" priority="13">
      <formula>OR(NOT(ISNUMBER(B$33)),B$33=0,B$33&gt;=$F$6,B$33&lt;$G$6)</formula>
    </cfRule>
  </conditionalFormatting>
  <conditionalFormatting sqref="B37:H37">
    <cfRule type="expression" dxfId="9" priority="12">
      <formula>OR(NOT(ISNUMBER(B$36)),B$36=0,B$36&gt;=$F$6,B$36&lt;$G$6)</formula>
    </cfRule>
  </conditionalFormatting>
  <conditionalFormatting sqref="B40:H40">
    <cfRule type="expression" dxfId="8" priority="11">
      <formula>OR(NOT(ISNUMBER(B$39)),B$39=0,B$39&gt;=$F$6,B$39&lt;$G$6)</formula>
    </cfRule>
  </conditionalFormatting>
  <conditionalFormatting sqref="B43:H43">
    <cfRule type="expression" dxfId="7" priority="10">
      <formula>OR(NOT(ISNUMBER(B$42)),B$42=0,B$42&gt;=$F$6,B$42&lt;$G$6)</formula>
    </cfRule>
  </conditionalFormatting>
  <conditionalFormatting sqref="B11:D11">
    <cfRule type="expression" dxfId="6" priority="8">
      <formula>OR(NOT(ISNUMBER(B$9)),B$9=0,B$9&gt;=$F$6,B$9&lt;$G$6)</formula>
    </cfRule>
  </conditionalFormatting>
  <conditionalFormatting sqref="F32:H32">
    <cfRule type="expression" dxfId="5" priority="7">
      <formula>OR(NOT(ISNUMBER(F$30)),F$30=0,F$30&gt;=$F$6,F$30&lt;$G$6)</formula>
    </cfRule>
  </conditionalFormatting>
  <conditionalFormatting sqref="B35:H35">
    <cfRule type="expression" dxfId="4" priority="6">
      <formula>OR(NOT(ISNUMBER(B$33)),B$33=0,B$33&gt;=$F$6,B$33&lt;$G$6)</formula>
    </cfRule>
  </conditionalFormatting>
  <conditionalFormatting sqref="B38:H38">
    <cfRule type="expression" dxfId="3" priority="5">
      <formula>OR(NOT(ISNUMBER(B$36)),B$36=0,B$36&gt;=$F$6,B$36&lt;$G$6)</formula>
    </cfRule>
  </conditionalFormatting>
  <conditionalFormatting sqref="B41:H41">
    <cfRule type="expression" dxfId="2" priority="4">
      <formula>OR(NOT(ISNUMBER(B$39)),B$39=0,B$39&gt;=$F$6,B$39&lt;$G$6)</formula>
    </cfRule>
  </conditionalFormatting>
  <conditionalFormatting sqref="B44:H44">
    <cfRule type="expression" dxfId="1" priority="3">
      <formula>OR(NOT(ISNUMBER(B$42)),B$42=0,B$42&gt;=$F$6,B$42&lt;$G$6)</formula>
    </cfRule>
  </conditionalFormatting>
  <conditionalFormatting sqref="C51:H53">
    <cfRule type="expression" dxfId="0" priority="1">
      <formula>OR(NOT(ISNUMBER(C$51)),C$51=0,C$51&lt;$G$6,C$51&gt;=$F$6)</formula>
    </cfRule>
  </conditionalFormatting>
  <dataValidations count="8">
    <dataValidation type="list" operator="equal" allowBlank="1" showInputMessage="1" showErrorMessage="1" sqref="H93">
      <formula1>"Yes, Click Here"</formula1>
    </dataValidation>
    <dataValidation type="custom" allowBlank="1" showErrorMessage="1" sqref="B48 B69 B27">
      <formula1>DAY(B27)=1</formula1>
    </dataValidation>
    <dataValidation type="list" showDropDown="1" showErrorMessage="1" errorTitle="Warning!" error="Please ensure that you have entered data into this cell or Please verify that the number you entered is correct. You cannot drink more than 45 drinks in one day." sqref="B92:H92 B77:H77 B74:H74 B88:H88 B86:H86 B83:H83 B80:H80 B56:H56 B41:H41 B67:H67 B23:H23 B20:H20 B17:H17 B14:H14 B25:H25 B44:H44 B11:H11 B32:H32 B35:H35 B38:H38 B46:F46 B90:H90 B65:H65 B62:H62 B59:H59 B53:H53">
      <formula1>"0,1,2,3,4,5,6,7,8,9,10,11,12,13,14,15,16,17,18,19,20,21,22,23,24,25,26,27,28,29,30,31,32,33,34,35,36,37,38,39,40,41,42,43,44,45"</formula1>
    </dataValidation>
    <dataValidation type="list" showDropDown="1" showInputMessage="1" showErrorMessage="1" errorTitle="Warning!" error="Please ensure that you have entered data into this cell or Please verify that the number you entered is correct. You cannot drink more than 45 drinks in one day." sqref="G46:H46">
      <formula1>"0,1,2,3,4,5,6,7,8,9,10,11,12,13,14,15,16,17,18,19,20,21,22,23,24,25,26,27,28,29,30,31,32,33,34,35,36,37,38,39,40,41,42,43,44,45,46,47,48,49,50"</formula1>
    </dataValidation>
    <dataValidation type="list" allowBlank="1" showInputMessage="1" showErrorMessage="1" sqref="E6">
      <formula1>"Male,Female"</formula1>
    </dataValidation>
    <dataValidation type="list" allowBlank="1" showInputMessage="1" showErrorMessage="1" sqref="F95">
      <formula1>"Yes, No, Click Cell to Enter"</formula1>
    </dataValidation>
    <dataValidation type="whole" errorStyle="warning" operator="equal" allowBlank="1" showInputMessage="1" showErrorMessage="1" errorTitle="Incomplete" error="Please recheck your calendars for any missing dates. Thank you. " sqref="H94">
      <formula1>1</formula1>
    </dataValidation>
    <dataValidation type="custom" allowBlank="1" showInputMessage="1" showErrorMessage="1" sqref="B6:D6">
      <formula1>DAY(B6)=1</formula1>
    </dataValidation>
  </dataValidations>
  <printOptions horizontalCentered="1" verticalCentered="1"/>
  <pageMargins left="0" right="0" top="0" bottom="0" header="0" footer="0"/>
  <pageSetup scale="49" orientation="portrait" r:id="rId1"/>
  <headerFooter alignWithMargins="0"/>
  <colBreaks count="1" manualBreakCount="1">
    <brk id="22" min="4" max="38" man="1"/>
  </colBreaks>
  <drawing r:id="rId2"/>
  <legacyDrawing r:id="rId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1"/>
  <dimension ref="B2:L56"/>
  <sheetViews>
    <sheetView zoomScale="85" zoomScaleNormal="85" workbookViewId="0">
      <selection activeCell="C2" sqref="C2"/>
    </sheetView>
  </sheetViews>
  <sheetFormatPr defaultRowHeight="15"/>
  <cols>
    <col min="1" max="1" width="3.375" style="2" customWidth="1"/>
    <col min="2" max="2" width="74.625" style="466" customWidth="1"/>
    <col min="3" max="3" width="25.75" style="2" customWidth="1"/>
    <col min="4" max="4" width="22.625" style="2" customWidth="1"/>
    <col min="5" max="5" width="22.75" style="2" customWidth="1"/>
    <col min="6" max="7" width="9" style="2"/>
    <col min="8" max="8" width="12.875" style="2" hidden="1" customWidth="1"/>
    <col min="9" max="9" width="16.75" style="2" hidden="1" customWidth="1"/>
    <col min="10" max="10" width="15.5" style="2" hidden="1" customWidth="1"/>
    <col min="11" max="11" width="13.375" style="2" hidden="1" customWidth="1"/>
    <col min="12" max="12" width="11.75" style="2" hidden="1" customWidth="1"/>
    <col min="13" max="16384" width="9" style="2"/>
  </cols>
  <sheetData>
    <row r="2" spans="2:4" ht="30">
      <c r="B2" s="466" t="s">
        <v>550</v>
      </c>
      <c r="C2" s="468"/>
    </row>
    <row r="4" spans="2:4">
      <c r="B4" s="466" t="s">
        <v>551</v>
      </c>
      <c r="C4" s="468"/>
    </row>
    <row r="6" spans="2:4">
      <c r="B6" s="466" t="s">
        <v>552</v>
      </c>
      <c r="C6" s="468"/>
    </row>
    <row r="8" spans="2:4">
      <c r="B8" s="466" t="s">
        <v>553</v>
      </c>
      <c r="C8" s="468"/>
    </row>
    <row r="10" spans="2:4" ht="45">
      <c r="B10" s="466" t="s">
        <v>569</v>
      </c>
      <c r="C10" s="468"/>
      <c r="D10" s="468"/>
    </row>
    <row r="12" spans="2:4">
      <c r="B12" s="466" t="s">
        <v>554</v>
      </c>
      <c r="C12" s="468"/>
    </row>
    <row r="14" spans="2:4">
      <c r="B14" s="466" t="s">
        <v>558</v>
      </c>
      <c r="C14" s="468"/>
    </row>
    <row r="16" spans="2:4">
      <c r="B16" s="466" t="s">
        <v>559</v>
      </c>
      <c r="C16" s="468"/>
    </row>
    <row r="18" spans="2:12" ht="30">
      <c r="B18" s="466" t="s">
        <v>572</v>
      </c>
      <c r="C18" s="468"/>
      <c r="D18" s="468"/>
    </row>
    <row r="20" spans="2:12" ht="45">
      <c r="B20" s="466" t="s">
        <v>560</v>
      </c>
      <c r="C20" s="468"/>
      <c r="D20" s="468"/>
      <c r="E20" s="468"/>
    </row>
    <row r="21" spans="2:12">
      <c r="C21" s="470"/>
      <c r="D21" s="470"/>
      <c r="E21" s="470"/>
    </row>
    <row r="22" spans="2:12">
      <c r="B22" s="467" t="s">
        <v>591</v>
      </c>
    </row>
    <row r="23" spans="2:12" ht="30">
      <c r="B23" s="467" t="s">
        <v>592</v>
      </c>
    </row>
    <row r="24" spans="2:12">
      <c r="B24" s="467" t="s">
        <v>593</v>
      </c>
    </row>
    <row r="25" spans="2:12">
      <c r="D25" s="11" t="s">
        <v>568</v>
      </c>
      <c r="E25" s="11" t="s">
        <v>627</v>
      </c>
      <c r="H25" s="2" t="s">
        <v>577</v>
      </c>
      <c r="I25" s="2" t="s">
        <v>578</v>
      </c>
      <c r="J25" s="2" t="s">
        <v>579</v>
      </c>
      <c r="K25" s="2" t="s">
        <v>581</v>
      </c>
      <c r="L25" s="2" t="s">
        <v>580</v>
      </c>
    </row>
    <row r="26" spans="2:12">
      <c r="C26" s="2">
        <v>1990</v>
      </c>
      <c r="D26" s="469"/>
      <c r="E26" s="469"/>
      <c r="H26" s="2">
        <f>COUNTIF(D26:D100,"&gt;0")</f>
        <v>0</v>
      </c>
      <c r="I26" s="2" t="e">
        <f>H26*J26*52</f>
        <v>#DIV/0!</v>
      </c>
      <c r="J26" s="2" t="e">
        <f>(SUM(D26:D100)/H26)</f>
        <v>#DIV/0!</v>
      </c>
      <c r="K26" s="2" t="e">
        <f>(SUM(E26:E100)/H26)</f>
        <v>#DIV/0!</v>
      </c>
      <c r="L26" s="2" t="e">
        <f>J26/K26</f>
        <v>#DIV/0!</v>
      </c>
    </row>
    <row r="27" spans="2:12">
      <c r="C27" s="2">
        <v>1991</v>
      </c>
      <c r="D27" s="469"/>
      <c r="E27" s="469"/>
    </row>
    <row r="28" spans="2:12">
      <c r="C28" s="2">
        <v>1992</v>
      </c>
      <c r="D28" s="469"/>
      <c r="E28" s="469"/>
    </row>
    <row r="29" spans="2:12">
      <c r="C29" s="2">
        <v>1993</v>
      </c>
      <c r="D29" s="469"/>
      <c r="E29" s="469"/>
    </row>
    <row r="30" spans="2:12">
      <c r="C30" s="2">
        <v>1994</v>
      </c>
      <c r="D30" s="469"/>
      <c r="E30" s="469"/>
    </row>
    <row r="31" spans="2:12">
      <c r="C31" s="2">
        <v>1995</v>
      </c>
      <c r="D31" s="469"/>
      <c r="E31" s="469"/>
    </row>
    <row r="32" spans="2:12">
      <c r="C32" s="2">
        <v>1996</v>
      </c>
      <c r="D32" s="469"/>
      <c r="E32" s="469"/>
    </row>
    <row r="33" spans="3:5">
      <c r="C33" s="2">
        <v>1997</v>
      </c>
      <c r="D33" s="469"/>
      <c r="E33" s="469"/>
    </row>
    <row r="34" spans="3:5">
      <c r="C34" s="2">
        <v>1998</v>
      </c>
      <c r="D34" s="469"/>
      <c r="E34" s="469"/>
    </row>
    <row r="35" spans="3:5">
      <c r="C35" s="2">
        <v>1999</v>
      </c>
      <c r="D35" s="469"/>
      <c r="E35" s="469"/>
    </row>
    <row r="36" spans="3:5">
      <c r="C36" s="2">
        <v>2000</v>
      </c>
      <c r="D36" s="469"/>
      <c r="E36" s="469"/>
    </row>
    <row r="37" spans="3:5">
      <c r="C37" s="2">
        <v>2001</v>
      </c>
      <c r="D37" s="469"/>
      <c r="E37" s="469"/>
    </row>
    <row r="38" spans="3:5">
      <c r="C38" s="2">
        <v>2002</v>
      </c>
      <c r="D38" s="469"/>
      <c r="E38" s="469"/>
    </row>
    <row r="39" spans="3:5">
      <c r="C39" s="2">
        <v>2003</v>
      </c>
      <c r="D39" s="469"/>
      <c r="E39" s="469"/>
    </row>
    <row r="40" spans="3:5">
      <c r="C40" s="2">
        <v>2004</v>
      </c>
      <c r="D40" s="469"/>
      <c r="E40" s="469"/>
    </row>
    <row r="41" spans="3:5">
      <c r="C41" s="2">
        <v>2005</v>
      </c>
      <c r="D41" s="469"/>
      <c r="E41" s="469"/>
    </row>
    <row r="42" spans="3:5">
      <c r="C42" s="2">
        <v>2006</v>
      </c>
      <c r="D42" s="469"/>
      <c r="E42" s="469"/>
    </row>
    <row r="43" spans="3:5">
      <c r="C43" s="2">
        <v>2007</v>
      </c>
      <c r="D43" s="469"/>
      <c r="E43" s="469"/>
    </row>
    <row r="44" spans="3:5">
      <c r="C44" s="2">
        <v>2008</v>
      </c>
      <c r="D44" s="469"/>
      <c r="E44" s="469"/>
    </row>
    <row r="45" spans="3:5">
      <c r="C45" s="2">
        <v>2009</v>
      </c>
      <c r="D45" s="469"/>
      <c r="E45" s="469"/>
    </row>
    <row r="46" spans="3:5">
      <c r="C46" s="2">
        <v>2010</v>
      </c>
      <c r="D46" s="469"/>
      <c r="E46" s="469"/>
    </row>
    <row r="47" spans="3:5">
      <c r="C47" s="2">
        <v>2011</v>
      </c>
      <c r="D47" s="469"/>
      <c r="E47" s="469"/>
    </row>
    <row r="48" spans="3:5">
      <c r="C48" s="2">
        <v>2012</v>
      </c>
      <c r="D48" s="469"/>
      <c r="E48" s="469"/>
    </row>
    <row r="49" spans="3:5">
      <c r="C49" s="2">
        <v>2013</v>
      </c>
      <c r="D49" s="469"/>
      <c r="E49" s="469"/>
    </row>
    <row r="50" spans="3:5">
      <c r="C50" s="2">
        <v>2014</v>
      </c>
      <c r="D50" s="469"/>
      <c r="E50" s="469"/>
    </row>
    <row r="51" spans="3:5">
      <c r="C51" s="2">
        <v>2015</v>
      </c>
      <c r="D51" s="469"/>
      <c r="E51" s="469"/>
    </row>
    <row r="52" spans="3:5">
      <c r="C52" s="2">
        <v>2016</v>
      </c>
      <c r="D52" s="469"/>
      <c r="E52" s="469"/>
    </row>
    <row r="53" spans="3:5">
      <c r="C53" s="2">
        <v>2017</v>
      </c>
      <c r="D53" s="469"/>
      <c r="E53" s="469"/>
    </row>
    <row r="54" spans="3:5">
      <c r="C54" s="2">
        <v>2018</v>
      </c>
      <c r="D54" s="469"/>
      <c r="E54" s="469"/>
    </row>
    <row r="55" spans="3:5">
      <c r="C55" s="2">
        <v>2019</v>
      </c>
      <c r="D55" s="469"/>
      <c r="E55" s="469"/>
    </row>
    <row r="56" spans="3:5">
      <c r="C56" s="2">
        <v>2020</v>
      </c>
      <c r="D56" s="469"/>
      <c r="E56" s="469"/>
    </row>
  </sheetData>
  <sheetProtection sheet="1" selectLockedCells="1"/>
  <dataValidations count="9">
    <dataValidation type="list" allowBlank="1" showInputMessage="1" showErrorMessage="1" promptTitle="Age" prompt="Input age" sqref="C10">
      <formula1>Ages</formula1>
    </dataValidation>
    <dataValidation type="list" allowBlank="1" showInputMessage="1" showErrorMessage="1" sqref="C4">
      <formula1>Ages</formula1>
    </dataValidation>
    <dataValidation type="list" allowBlank="1" showInputMessage="1" showErrorMessage="1" promptTitle="regular drinking year" prompt="Please enter year of onset of regular drinking" sqref="D10">
      <formula1>Years</formula1>
    </dataValidation>
    <dataValidation type="list" allowBlank="1" showInputMessage="1" showErrorMessage="1" sqref="C12">
      <formula1>Alcohol</formula1>
    </dataValidation>
    <dataValidation allowBlank="1" showInputMessage="1" showErrorMessage="1" promptTitle="Morning %" prompt="Morning %" sqref="C20:C21"/>
    <dataValidation allowBlank="1" showInputMessage="1" showErrorMessage="1" promptTitle="Afternoon %" prompt="Afternoon %" sqref="D20:D21"/>
    <dataValidation allowBlank="1" showInputMessage="1" showErrorMessage="1" promptTitle="Evening %" prompt="Evening %" sqref="E20:E21"/>
    <dataValidation allowBlank="1" showInputMessage="1" showErrorMessage="1" promptTitle="number drinks per week" prompt="Please enter number of drinks per week" sqref="C18"/>
    <dataValidation allowBlank="1" showInputMessage="1" showErrorMessage="1" promptTitle="Days drinking per week" prompt="Please enter number of days drinking per week" sqref="D18"/>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2"/>
  <dimension ref="A1:H57"/>
  <sheetViews>
    <sheetView workbookViewId="0">
      <selection activeCell="C18" sqref="C18"/>
    </sheetView>
  </sheetViews>
  <sheetFormatPr defaultColWidth="8.75" defaultRowHeight="12.75"/>
  <cols>
    <col min="1" max="1" width="40.25" customWidth="1"/>
    <col min="2" max="2" width="16.75" bestFit="1" customWidth="1"/>
    <col min="3" max="3" width="16.25" customWidth="1"/>
    <col min="4" max="4" width="24.5" customWidth="1"/>
    <col min="6" max="6" width="10.375" customWidth="1"/>
    <col min="7" max="7" width="10.5" customWidth="1"/>
  </cols>
  <sheetData>
    <row r="1" spans="1:8" ht="16.5" thickBot="1">
      <c r="A1" s="117" t="s">
        <v>501</v>
      </c>
      <c r="B1" s="119">
        <f>'TLFB data'!T8*12</f>
        <v>0</v>
      </c>
      <c r="D1" s="180" t="s">
        <v>327</v>
      </c>
    </row>
    <row r="2" spans="1:8" ht="15.75" thickBot="1">
      <c r="A2" s="117" t="s">
        <v>238</v>
      </c>
      <c r="B2" s="119">
        <f>'TLFB data'!T9</f>
        <v>0</v>
      </c>
      <c r="E2" s="184" t="s">
        <v>319</v>
      </c>
      <c r="F2" s="185">
        <f>'TLFB data'!C5</f>
        <v>0</v>
      </c>
    </row>
    <row r="3" spans="1:8" ht="15.75" thickBot="1">
      <c r="A3" s="117" t="s">
        <v>325</v>
      </c>
      <c r="B3" s="119" t="e">
        <f>40*B1/(E6*B2)</f>
        <v>#DIV/0!</v>
      </c>
      <c r="E3" s="182" t="s">
        <v>320</v>
      </c>
      <c r="F3" s="182" t="s">
        <v>321</v>
      </c>
      <c r="G3" s="182" t="s">
        <v>322</v>
      </c>
      <c r="H3" s="182" t="s">
        <v>323</v>
      </c>
    </row>
    <row r="4" spans="1:8" ht="15.75" thickBot="1">
      <c r="A4" s="117" t="s">
        <v>502</v>
      </c>
      <c r="B4" s="119">
        <f>'TLFB data'!T10</f>
        <v>0</v>
      </c>
      <c r="D4" s="181" t="s">
        <v>324</v>
      </c>
      <c r="E4" s="183"/>
      <c r="F4" s="183"/>
      <c r="G4" s="183"/>
      <c r="H4" s="213" t="str">
        <f>IF('TLFB data'!E6="Male","M","F")</f>
        <v>M</v>
      </c>
    </row>
    <row r="5" spans="1:8" ht="15">
      <c r="A5" s="117" t="s">
        <v>326</v>
      </c>
      <c r="B5" s="119" t="e">
        <f>'TLFB data'!#REF!</f>
        <v>#REF!</v>
      </c>
    </row>
    <row r="6" spans="1:8" ht="15">
      <c r="A6" s="117" t="s">
        <v>503</v>
      </c>
      <c r="B6" s="119" t="e">
        <f>'TLFB data'!#REF!</f>
        <v>#REF!</v>
      </c>
      <c r="D6" s="188" t="s">
        <v>328</v>
      </c>
      <c r="E6" s="186">
        <f>IF(OR($H$4="f",$H$4="F"),-2.097+0.1069*$F$4+0.2466*$G$4,IF(OR($H$4="M",$H$4="m"),2.447-0.09516*$E$4+0.1074*$F$4+0.3362*$G$4,"specify E4"))</f>
        <v>2.4470000000000001</v>
      </c>
    </row>
    <row r="7" spans="1:8" ht="15">
      <c r="A7" s="118" t="s">
        <v>332</v>
      </c>
      <c r="B7" s="119">
        <f>40*'TLFB data'!T15*12/(E6)</f>
        <v>0</v>
      </c>
    </row>
    <row r="8" spans="1:8" ht="15">
      <c r="A8" s="116" t="s">
        <v>167</v>
      </c>
      <c r="B8" s="120" t="e">
        <f>'TLFB data'!T22</f>
        <v>#DIV/0!</v>
      </c>
    </row>
    <row r="9" spans="1:8" ht="15">
      <c r="A9" s="116" t="s">
        <v>504</v>
      </c>
      <c r="B9" s="187" t="e">
        <f>'TLFB data'!T13</f>
        <v>#DIV/0!</v>
      </c>
    </row>
    <row r="11" spans="1:8" ht="13.5" thickBot="1"/>
    <row r="12" spans="1:8">
      <c r="D12" s="520" t="s">
        <v>331</v>
      </c>
      <c r="E12" s="521"/>
      <c r="F12" s="522"/>
    </row>
    <row r="13" spans="1:8" ht="15">
      <c r="A13" s="128" t="s">
        <v>333</v>
      </c>
      <c r="B13" s="124"/>
      <c r="D13" s="523"/>
      <c r="E13" s="524"/>
      <c r="F13" s="525"/>
    </row>
    <row r="14" spans="1:8" ht="15.75" thickBot="1">
      <c r="A14" s="127" t="s">
        <v>90</v>
      </c>
      <c r="B14" s="198" t="e">
        <f>40*'TLFB data'!W26*12/('TLFB data'!AA125*$E$6)</f>
        <v>#DIV/0!</v>
      </c>
      <c r="D14" s="526"/>
      <c r="E14" s="527"/>
      <c r="F14" s="528"/>
    </row>
    <row r="15" spans="1:8" ht="15">
      <c r="A15" s="118" t="s">
        <v>91</v>
      </c>
      <c r="B15" s="198" t="e">
        <f>40*'TLFB data'!W27*12/('TLFB data'!AB$125*$E$6)</f>
        <v>#DIV/0!</v>
      </c>
    </row>
    <row r="16" spans="1:8" ht="15">
      <c r="A16" s="118" t="s">
        <v>92</v>
      </c>
      <c r="B16" s="198" t="e">
        <f>40*'TLFB data'!W28*12/('TLFB data'!AC$125*$E$6)</f>
        <v>#DIV/0!</v>
      </c>
      <c r="D16" s="299" t="s">
        <v>514</v>
      </c>
      <c r="E16" s="299" t="s">
        <v>515</v>
      </c>
    </row>
    <row r="17" spans="1:5" ht="15">
      <c r="A17" s="118" t="s">
        <v>93</v>
      </c>
      <c r="B17" s="198" t="e">
        <f>40*'TLFB data'!W29*12/('TLFB data'!AD$125*$E$6)</f>
        <v>#DIV/0!</v>
      </c>
      <c r="D17" s="299" t="s">
        <v>516</v>
      </c>
      <c r="E17" s="299" t="s">
        <v>517</v>
      </c>
    </row>
    <row r="18" spans="1:5" ht="15">
      <c r="A18" s="118" t="s">
        <v>94</v>
      </c>
      <c r="B18" s="198" t="e">
        <f>40*'TLFB data'!W30*12/('TLFB data'!AE$125*$E$6)</f>
        <v>#DIV/0!</v>
      </c>
      <c r="D18" s="299" t="s">
        <v>518</v>
      </c>
      <c r="E18" s="299" t="s">
        <v>519</v>
      </c>
    </row>
    <row r="19" spans="1:5" ht="15">
      <c r="A19" s="118" t="s">
        <v>95</v>
      </c>
      <c r="B19" s="198" t="e">
        <f>40*'TLFB data'!W31*12/('TLFB data'!AF$125*$E$6)</f>
        <v>#DIV/0!</v>
      </c>
      <c r="D19" s="299" t="s">
        <v>520</v>
      </c>
      <c r="E19" s="299" t="s">
        <v>521</v>
      </c>
    </row>
    <row r="20" spans="1:5" ht="15">
      <c r="A20" s="118" t="s">
        <v>210</v>
      </c>
      <c r="B20" s="198" t="e">
        <f>40*'TLFB data'!W32*12/('TLFB data'!Z$125*$E$6)</f>
        <v>#DIV/0!</v>
      </c>
    </row>
    <row r="22" spans="1:5" ht="15">
      <c r="A22" s="126" t="s">
        <v>124</v>
      </c>
      <c r="B22" s="105"/>
      <c r="C22" s="1"/>
    </row>
    <row r="23" spans="1:5" ht="25.5">
      <c r="A23" s="125" t="s">
        <v>129</v>
      </c>
      <c r="B23" s="125" t="s">
        <v>130</v>
      </c>
      <c r="C23" s="123" t="s">
        <v>253</v>
      </c>
      <c r="D23" s="122" t="s">
        <v>134</v>
      </c>
    </row>
    <row r="24" spans="1:5">
      <c r="A24" s="121" t="s">
        <v>125</v>
      </c>
      <c r="B24" s="108">
        <v>0</v>
      </c>
      <c r="C24" s="137">
        <f>'TLFB data'!V39</f>
        <v>0</v>
      </c>
      <c r="D24" s="138">
        <f>'TLFB data'!W39</f>
        <v>0</v>
      </c>
    </row>
    <row r="25" spans="1:5">
      <c r="A25" s="121" t="s">
        <v>126</v>
      </c>
      <c r="B25" s="108" t="s">
        <v>131</v>
      </c>
      <c r="C25" s="137">
        <f>'TLFB data'!V40</f>
        <v>0</v>
      </c>
      <c r="D25" s="138">
        <f>'TLFB data'!W40</f>
        <v>0</v>
      </c>
    </row>
    <row r="26" spans="1:5">
      <c r="A26" s="121" t="s">
        <v>127</v>
      </c>
      <c r="B26" s="108" t="s">
        <v>132</v>
      </c>
      <c r="C26" s="137">
        <f>'TLFB data'!V41</f>
        <v>0</v>
      </c>
      <c r="D26" s="138">
        <f>'TLFB data'!W41</f>
        <v>0</v>
      </c>
    </row>
    <row r="27" spans="1:5">
      <c r="A27" s="121" t="s">
        <v>128</v>
      </c>
      <c r="B27" s="108" t="s">
        <v>133</v>
      </c>
      <c r="C27" s="137">
        <f>'TLFB data'!V42</f>
        <v>0</v>
      </c>
      <c r="D27" s="138">
        <f>'TLFB data'!W42</f>
        <v>0</v>
      </c>
    </row>
    <row r="30" spans="1:5" ht="15">
      <c r="A30" s="129" t="s">
        <v>168</v>
      </c>
      <c r="B30">
        <f>'TLFB data'!T50</f>
        <v>0</v>
      </c>
    </row>
    <row r="35" spans="1:2" ht="15">
      <c r="A35" s="131"/>
    </row>
    <row r="36" spans="1:2" ht="15.75">
      <c r="A36" s="130"/>
      <c r="B36" s="134"/>
    </row>
    <row r="38" spans="1:2" ht="15.75">
      <c r="A38" s="130"/>
      <c r="B38" s="134"/>
    </row>
    <row r="40" spans="1:2" ht="15.75">
      <c r="A40" s="130"/>
      <c r="B40" s="134"/>
    </row>
    <row r="42" spans="1:2" ht="15">
      <c r="A42" s="131"/>
    </row>
    <row r="43" spans="1:2" ht="15.75">
      <c r="A43" s="132"/>
      <c r="B43" s="134"/>
    </row>
    <row r="44" spans="1:2" ht="15">
      <c r="A44" s="133"/>
    </row>
    <row r="45" spans="1:2" ht="15.75">
      <c r="A45" s="132"/>
      <c r="B45" s="134"/>
    </row>
    <row r="46" spans="1:2" ht="15">
      <c r="A46" s="133"/>
    </row>
    <row r="47" spans="1:2" ht="15.75">
      <c r="A47" s="132"/>
      <c r="B47" s="134"/>
    </row>
    <row r="49" spans="1:4" ht="15.75">
      <c r="A49" s="178"/>
      <c r="B49" s="136"/>
      <c r="C49" s="136"/>
      <c r="D49" s="136"/>
    </row>
    <row r="50" spans="1:4" ht="14.25">
      <c r="A50" s="135"/>
      <c r="C50" s="139"/>
      <c r="D50" s="139"/>
    </row>
    <row r="51" spans="1:4" ht="14.25">
      <c r="A51" s="135"/>
      <c r="C51" s="139"/>
      <c r="D51" s="139"/>
    </row>
    <row r="52" spans="1:4" ht="14.25">
      <c r="A52" s="135"/>
      <c r="C52" s="139"/>
      <c r="D52" s="139"/>
    </row>
    <row r="53" spans="1:4" ht="14.25">
      <c r="A53" s="135"/>
      <c r="C53" s="139"/>
      <c r="D53" s="139"/>
    </row>
    <row r="54" spans="1:4" ht="14.25">
      <c r="A54" s="135"/>
      <c r="C54" s="139"/>
      <c r="D54" s="139"/>
    </row>
    <row r="55" spans="1:4" ht="14.25">
      <c r="A55" s="135"/>
    </row>
    <row r="56" spans="1:4" ht="14.25">
      <c r="A56" s="135"/>
      <c r="C56" s="139"/>
      <c r="D56" s="139"/>
    </row>
    <row r="57" spans="1:4" ht="14.25">
      <c r="A57" s="135"/>
      <c r="C57" s="139"/>
      <c r="D57" s="139"/>
    </row>
  </sheetData>
  <sheetProtection sheet="1" objects="1" scenarios="1"/>
  <mergeCells count="1">
    <mergeCell ref="D12:F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21">
    <pageSetUpPr fitToPage="1"/>
  </sheetPr>
  <dimension ref="A1:J138"/>
  <sheetViews>
    <sheetView showGridLines="0" zoomScale="85" workbookViewId="0">
      <selection activeCell="C28" sqref="C28"/>
    </sheetView>
  </sheetViews>
  <sheetFormatPr defaultColWidth="8.75" defaultRowHeight="12.75"/>
  <cols>
    <col min="1" max="1" width="12.375" style="2" bestFit="1" customWidth="1"/>
    <col min="2" max="16384" width="8.75" style="2"/>
  </cols>
  <sheetData>
    <row r="1" spans="1:10" ht="18">
      <c r="A1" s="22"/>
      <c r="B1" s="23" t="s">
        <v>30</v>
      </c>
      <c r="C1" s="22"/>
      <c r="D1" s="22"/>
      <c r="E1" s="22"/>
      <c r="F1" s="24"/>
      <c r="G1" s="24"/>
      <c r="H1" s="22"/>
    </row>
    <row r="4" spans="1:10">
      <c r="A4" s="25"/>
      <c r="B4" s="25" t="e">
        <f ca="1">colorIndex(B4)</f>
        <v>#NAME?</v>
      </c>
      <c r="C4" s="26"/>
      <c r="D4" s="26" t="e">
        <f ca="1">colorIndex(D4)</f>
        <v>#NAME?</v>
      </c>
      <c r="E4" s="27"/>
      <c r="F4" s="27" t="e">
        <f ca="1">colorIndex(F4)</f>
        <v>#NAME?</v>
      </c>
      <c r="G4" s="28"/>
      <c r="H4" s="28" t="e">
        <f ca="1">colorIndex(H4)</f>
        <v>#NAME?</v>
      </c>
      <c r="I4" s="29"/>
      <c r="J4" s="29" t="e">
        <f ca="1">colorIndex(J4)</f>
        <v>#NAME?</v>
      </c>
    </row>
    <row r="5" spans="1:10">
      <c r="A5" s="25" t="s">
        <v>213</v>
      </c>
      <c r="B5" s="30"/>
      <c r="C5" s="31"/>
      <c r="D5" s="31"/>
      <c r="E5" s="27"/>
      <c r="F5" s="27"/>
      <c r="G5" s="28"/>
      <c r="H5" s="28"/>
      <c r="I5" s="29"/>
      <c r="J5" s="32" t="s">
        <v>214</v>
      </c>
    </row>
    <row r="6" spans="1:10">
      <c r="A6" s="33" t="s">
        <v>102</v>
      </c>
      <c r="B6" s="33"/>
      <c r="C6" s="33" t="s">
        <v>106</v>
      </c>
      <c r="D6" s="33"/>
      <c r="E6" s="33" t="s">
        <v>110</v>
      </c>
      <c r="F6" s="33"/>
      <c r="G6" s="33" t="s">
        <v>114</v>
      </c>
      <c r="H6" s="33"/>
      <c r="I6" s="33" t="s">
        <v>118</v>
      </c>
      <c r="J6" s="33"/>
    </row>
    <row r="7" spans="1:10">
      <c r="A7" s="33" t="s">
        <v>103</v>
      </c>
      <c r="B7" s="33"/>
      <c r="C7" s="33" t="s">
        <v>107</v>
      </c>
      <c r="D7" s="33"/>
      <c r="E7" s="33" t="s">
        <v>111</v>
      </c>
      <c r="F7" s="33"/>
      <c r="G7" s="33" t="s">
        <v>115</v>
      </c>
      <c r="H7" s="33"/>
      <c r="I7" s="33" t="s">
        <v>119</v>
      </c>
      <c r="J7" s="33"/>
    </row>
    <row r="9" spans="1:10">
      <c r="A9" s="34" t="s">
        <v>212</v>
      </c>
      <c r="B9" s="35" t="s">
        <v>212</v>
      </c>
      <c r="C9" s="36" t="s">
        <v>212</v>
      </c>
      <c r="D9" s="37" t="s">
        <v>212</v>
      </c>
      <c r="E9" s="38" t="s">
        <v>212</v>
      </c>
      <c r="F9" s="39" t="s">
        <v>212</v>
      </c>
      <c r="G9" s="40" t="s">
        <v>212</v>
      </c>
      <c r="H9" s="41" t="s">
        <v>212</v>
      </c>
      <c r="I9" s="42" t="s">
        <v>212</v>
      </c>
      <c r="J9" s="43" t="s">
        <v>212</v>
      </c>
    </row>
    <row r="12" spans="1:10">
      <c r="A12" s="44"/>
      <c r="B12" s="45" t="e">
        <f ca="1">colorIndex(B12)</f>
        <v>#NAME?</v>
      </c>
      <c r="C12" s="46"/>
      <c r="D12" s="46" t="e">
        <f ca="1">colorIndex(D12)</f>
        <v>#NAME?</v>
      </c>
      <c r="E12" s="47"/>
      <c r="F12" s="47" t="e">
        <f ca="1">colorIndex(F12)</f>
        <v>#NAME?</v>
      </c>
      <c r="G12" s="48"/>
      <c r="H12" s="48" t="e">
        <f ca="1">colorIndex(H12)</f>
        <v>#NAME?</v>
      </c>
      <c r="I12" s="49"/>
      <c r="J12" s="49" t="e">
        <f ca="1">colorIndex(J12)</f>
        <v>#NAME?</v>
      </c>
    </row>
    <row r="13" spans="1:10">
      <c r="A13" s="45" t="s">
        <v>213</v>
      </c>
      <c r="B13" s="44"/>
      <c r="C13" s="50"/>
      <c r="D13" s="50"/>
      <c r="E13" s="47"/>
      <c r="F13" s="47"/>
      <c r="G13" s="48"/>
      <c r="H13" s="48"/>
      <c r="I13" s="49"/>
      <c r="J13" s="51" t="s">
        <v>214</v>
      </c>
    </row>
    <row r="14" spans="1:10">
      <c r="A14" s="52" t="s">
        <v>104</v>
      </c>
      <c r="B14" s="52"/>
      <c r="C14" s="52" t="s">
        <v>108</v>
      </c>
      <c r="D14" s="52"/>
      <c r="E14" s="52" t="s">
        <v>112</v>
      </c>
      <c r="F14" s="52"/>
      <c r="G14" s="52" t="s">
        <v>116</v>
      </c>
      <c r="H14" s="52"/>
      <c r="I14" s="52" t="s">
        <v>120</v>
      </c>
      <c r="J14" s="52"/>
    </row>
    <row r="15" spans="1:10">
      <c r="A15" s="52" t="s">
        <v>105</v>
      </c>
      <c r="B15" s="52"/>
      <c r="C15" s="52" t="s">
        <v>109</v>
      </c>
      <c r="D15" s="52"/>
      <c r="E15" s="52" t="s">
        <v>113</v>
      </c>
      <c r="F15" s="52"/>
      <c r="G15" s="52" t="s">
        <v>117</v>
      </c>
      <c r="H15" s="52"/>
      <c r="I15" s="52" t="s">
        <v>121</v>
      </c>
      <c r="J15" s="52"/>
    </row>
    <row r="18" spans="1:7">
      <c r="A18" s="53" t="s">
        <v>233</v>
      </c>
      <c r="C18" s="53" t="s">
        <v>227</v>
      </c>
      <c r="D18" s="54"/>
      <c r="F18" s="55" t="s">
        <v>228</v>
      </c>
      <c r="G18" s="56">
        <v>7</v>
      </c>
    </row>
    <row r="19" spans="1:7">
      <c r="A19" s="57">
        <f ca="1">TODAY()</f>
        <v>43216</v>
      </c>
      <c r="C19" s="58" t="s">
        <v>215</v>
      </c>
      <c r="F19" s="55" t="s">
        <v>229</v>
      </c>
      <c r="G19" s="56">
        <v>2005</v>
      </c>
    </row>
    <row r="20" spans="1:7">
      <c r="A20" s="59">
        <f ca="1">MONTH(TODAY())</f>
        <v>4</v>
      </c>
      <c r="C20" s="58" t="s">
        <v>216</v>
      </c>
      <c r="D20" s="60"/>
      <c r="F20" s="61" t="s">
        <v>231</v>
      </c>
      <c r="G20" s="62" t="str">
        <f>INDEX(monthNames,month)</f>
        <v>July</v>
      </c>
    </row>
    <row r="21" spans="1:7">
      <c r="A21" s="59" t="str">
        <f ca="1">INDEX(monthNames,A20)</f>
        <v>April</v>
      </c>
      <c r="C21" s="58" t="s">
        <v>217</v>
      </c>
      <c r="D21" s="60"/>
      <c r="F21" s="61" t="s">
        <v>230</v>
      </c>
      <c r="G21" s="63">
        <f>DATE(year,month,1)</f>
        <v>38534</v>
      </c>
    </row>
    <row r="22" spans="1:7">
      <c r="A22" s="59">
        <f ca="1">YEAR(TODAY())</f>
        <v>2018</v>
      </c>
      <c r="C22" s="58" t="s">
        <v>218</v>
      </c>
      <c r="D22" s="60"/>
      <c r="F22" s="61" t="s">
        <v>232</v>
      </c>
      <c r="G22" s="2">
        <f>WEEKDAY(startDate)</f>
        <v>6</v>
      </c>
    </row>
    <row r="23" spans="1:7">
      <c r="C23" s="58" t="s">
        <v>219</v>
      </c>
      <c r="F23" s="60"/>
    </row>
    <row r="24" spans="1:7">
      <c r="A24" s="64"/>
      <c r="C24" s="58" t="s">
        <v>220</v>
      </c>
    </row>
    <row r="25" spans="1:7">
      <c r="C25" s="58" t="s">
        <v>221</v>
      </c>
    </row>
    <row r="26" spans="1:7">
      <c r="C26" s="58" t="s">
        <v>222</v>
      </c>
    </row>
    <row r="27" spans="1:7">
      <c r="C27" s="58" t="s">
        <v>223</v>
      </c>
    </row>
    <row r="28" spans="1:7">
      <c r="C28" s="58" t="s">
        <v>224</v>
      </c>
    </row>
    <row r="29" spans="1:7">
      <c r="C29" s="58" t="s">
        <v>225</v>
      </c>
    </row>
    <row r="30" spans="1:7">
      <c r="C30" s="58" t="s">
        <v>226</v>
      </c>
    </row>
    <row r="33" spans="1:8">
      <c r="A33" s="65" t="s">
        <v>22</v>
      </c>
      <c r="B33" s="66" t="s">
        <v>23</v>
      </c>
      <c r="C33" s="66" t="s">
        <v>24</v>
      </c>
      <c r="D33" s="66" t="s">
        <v>25</v>
      </c>
      <c r="E33" s="66" t="s">
        <v>26</v>
      </c>
      <c r="F33" s="66" t="s">
        <v>27</v>
      </c>
      <c r="G33" s="66" t="s">
        <v>28</v>
      </c>
      <c r="H33" s="66" t="s">
        <v>29</v>
      </c>
    </row>
    <row r="34" spans="1:8">
      <c r="B34" s="67">
        <v>1</v>
      </c>
      <c r="C34" s="67">
        <v>2</v>
      </c>
      <c r="D34" s="67">
        <v>3</v>
      </c>
      <c r="E34" s="67">
        <v>4</v>
      </c>
      <c r="F34" s="67">
        <v>5</v>
      </c>
      <c r="G34" s="67">
        <v>6</v>
      </c>
      <c r="H34" s="67">
        <v>7</v>
      </c>
    </row>
    <row r="35" spans="1:8">
      <c r="A35" s="11">
        <v>1</v>
      </c>
      <c r="B35" s="68" t="str">
        <f t="array" ref="B35:H40">IF(MONTH(startDate)&lt;&gt;MONTH(startDate-startDayOfWeek+(WeekNo-1)*7+weekday),"",DAY(startDate-startDayOfWeek+(WeekNo-1)*7+weekday))</f>
        <v/>
      </c>
      <c r="C35" s="68" t="str">
        <v/>
      </c>
      <c r="D35" s="68" t="str">
        <v/>
      </c>
      <c r="E35" s="68" t="str">
        <v/>
      </c>
      <c r="F35" s="68" t="str">
        <v/>
      </c>
      <c r="G35" s="68">
        <v>1</v>
      </c>
      <c r="H35" s="68">
        <v>2</v>
      </c>
    </row>
    <row r="36" spans="1:8">
      <c r="A36" s="11">
        <v>2</v>
      </c>
      <c r="B36" s="68">
        <v>3</v>
      </c>
      <c r="C36" s="68">
        <v>4</v>
      </c>
      <c r="D36" s="68">
        <v>5</v>
      </c>
      <c r="E36" s="68">
        <v>6</v>
      </c>
      <c r="F36" s="68">
        <v>7</v>
      </c>
      <c r="G36" s="68">
        <v>8</v>
      </c>
      <c r="H36" s="68">
        <v>9</v>
      </c>
    </row>
    <row r="37" spans="1:8">
      <c r="A37" s="11">
        <v>3</v>
      </c>
      <c r="B37" s="68">
        <v>10</v>
      </c>
      <c r="C37" s="68">
        <v>11</v>
      </c>
      <c r="D37" s="68">
        <v>12</v>
      </c>
      <c r="E37" s="68">
        <v>13</v>
      </c>
      <c r="F37" s="68">
        <v>14</v>
      </c>
      <c r="G37" s="68">
        <v>15</v>
      </c>
      <c r="H37" s="68">
        <v>16</v>
      </c>
    </row>
    <row r="38" spans="1:8">
      <c r="A38" s="11">
        <v>4</v>
      </c>
      <c r="B38" s="68">
        <v>17</v>
      </c>
      <c r="C38" s="68">
        <v>18</v>
      </c>
      <c r="D38" s="68">
        <v>19</v>
      </c>
      <c r="E38" s="68">
        <v>20</v>
      </c>
      <c r="F38" s="68">
        <v>21</v>
      </c>
      <c r="G38" s="68">
        <v>22</v>
      </c>
      <c r="H38" s="68">
        <v>23</v>
      </c>
    </row>
    <row r="39" spans="1:8">
      <c r="A39" s="11">
        <v>5</v>
      </c>
      <c r="B39" s="68">
        <v>24</v>
      </c>
      <c r="C39" s="68">
        <v>25</v>
      </c>
      <c r="D39" s="68">
        <v>26</v>
      </c>
      <c r="E39" s="68">
        <v>27</v>
      </c>
      <c r="F39" s="68">
        <v>28</v>
      </c>
      <c r="G39" s="68">
        <v>29</v>
      </c>
      <c r="H39" s="68">
        <v>30</v>
      </c>
    </row>
    <row r="40" spans="1:8">
      <c r="A40" s="11">
        <v>6</v>
      </c>
      <c r="B40" s="68">
        <v>31</v>
      </c>
      <c r="C40" s="68" t="str">
        <v/>
      </c>
      <c r="D40" s="68" t="str">
        <v/>
      </c>
      <c r="E40" s="68" t="str">
        <v/>
      </c>
      <c r="F40" s="68" t="str">
        <v/>
      </c>
      <c r="G40" s="68" t="str">
        <v/>
      </c>
      <c r="H40" s="68" t="str">
        <v/>
      </c>
    </row>
    <row r="44" spans="1:8">
      <c r="A44" s="2" t="s">
        <v>44</v>
      </c>
    </row>
    <row r="45" spans="1:8">
      <c r="A45" s="2" t="s">
        <v>45</v>
      </c>
    </row>
    <row r="48" spans="1:8">
      <c r="A48" s="82" t="s">
        <v>154</v>
      </c>
      <c r="B48" s="82" t="s">
        <v>137</v>
      </c>
      <c r="C48" s="82"/>
    </row>
    <row r="49" spans="1:9">
      <c r="A49" s="82" t="s">
        <v>138</v>
      </c>
      <c r="B49" s="82">
        <v>95</v>
      </c>
      <c r="C49" s="82"/>
    </row>
    <row r="50" spans="1:9">
      <c r="A50" s="82" t="s">
        <v>139</v>
      </c>
      <c r="B50" s="82">
        <v>65</v>
      </c>
      <c r="C50" s="82"/>
    </row>
    <row r="51" spans="1:9">
      <c r="A51" s="82" t="s">
        <v>140</v>
      </c>
      <c r="B51" s="82">
        <v>146.97</v>
      </c>
      <c r="C51" s="82"/>
    </row>
    <row r="52" spans="1:9">
      <c r="A52" s="82" t="s">
        <v>141</v>
      </c>
      <c r="B52" s="82">
        <v>102.33</v>
      </c>
      <c r="C52" s="82"/>
    </row>
    <row r="53" spans="1:9">
      <c r="A53" s="82" t="s">
        <v>142</v>
      </c>
      <c r="B53" s="82">
        <v>61.82</v>
      </c>
      <c r="C53" s="82"/>
    </row>
    <row r="54" spans="1:9">
      <c r="A54" s="82" t="s">
        <v>32</v>
      </c>
      <c r="B54" s="82">
        <v>100</v>
      </c>
      <c r="C54" s="82"/>
    </row>
    <row r="55" spans="1:9">
      <c r="A55" s="82" t="s">
        <v>143</v>
      </c>
      <c r="B55" s="82">
        <v>80</v>
      </c>
      <c r="C55" s="82"/>
    </row>
    <row r="56" spans="1:9">
      <c r="A56" s="82" t="s">
        <v>144</v>
      </c>
      <c r="B56" s="82">
        <v>220</v>
      </c>
      <c r="C56" s="82"/>
    </row>
    <row r="59" spans="1:9">
      <c r="A59" s="70" t="s">
        <v>145</v>
      </c>
      <c r="B59" s="70" t="s">
        <v>146</v>
      </c>
      <c r="C59" s="70" t="s">
        <v>147</v>
      </c>
      <c r="D59" s="70" t="s">
        <v>148</v>
      </c>
      <c r="F59" s="70" t="s">
        <v>145</v>
      </c>
      <c r="G59" s="70" t="s">
        <v>146</v>
      </c>
      <c r="H59" s="70" t="s">
        <v>147</v>
      </c>
      <c r="I59" s="70" t="s">
        <v>148</v>
      </c>
    </row>
    <row r="60" spans="1:9">
      <c r="A60" s="70" t="s">
        <v>149</v>
      </c>
      <c r="B60" s="70" t="s">
        <v>150</v>
      </c>
      <c r="C60" s="70">
        <v>157</v>
      </c>
      <c r="D60" s="70">
        <v>5.9</v>
      </c>
      <c r="F60" s="70" t="s">
        <v>149</v>
      </c>
      <c r="G60" s="70" t="s">
        <v>151</v>
      </c>
      <c r="H60" s="70">
        <v>73</v>
      </c>
      <c r="I60" s="70">
        <v>0.4</v>
      </c>
    </row>
    <row r="61" spans="1:9">
      <c r="A61" s="70"/>
      <c r="B61" s="70" t="s">
        <v>247</v>
      </c>
      <c r="C61" s="70">
        <v>95</v>
      </c>
      <c r="D61" s="70">
        <v>4.2</v>
      </c>
      <c r="F61" s="70"/>
      <c r="G61" s="70" t="s">
        <v>248</v>
      </c>
      <c r="H61" s="70">
        <v>94</v>
      </c>
      <c r="I61" s="70"/>
    </row>
    <row r="62" spans="1:9">
      <c r="A62" s="70"/>
      <c r="B62" s="70" t="s">
        <v>249</v>
      </c>
      <c r="C62" s="70">
        <v>165</v>
      </c>
      <c r="D62" s="70">
        <v>5</v>
      </c>
      <c r="F62" s="70"/>
      <c r="G62" s="70" t="s">
        <v>247</v>
      </c>
      <c r="H62" s="70">
        <v>95</v>
      </c>
      <c r="I62" s="70">
        <v>4.2</v>
      </c>
    </row>
    <row r="63" spans="1:9">
      <c r="A63" s="70"/>
      <c r="B63" s="70" t="s">
        <v>246</v>
      </c>
      <c r="C63" s="70"/>
      <c r="D63" s="70"/>
      <c r="F63" s="70"/>
      <c r="G63" s="70" t="s">
        <v>254</v>
      </c>
      <c r="H63" s="70">
        <v>95</v>
      </c>
      <c r="I63" s="70">
        <v>4.2</v>
      </c>
    </row>
    <row r="64" spans="1:9">
      <c r="A64" s="70"/>
      <c r="B64" s="70" t="s">
        <v>255</v>
      </c>
      <c r="C64" s="70">
        <v>220</v>
      </c>
      <c r="D64" s="70">
        <v>5</v>
      </c>
      <c r="F64" s="70"/>
      <c r="G64" s="70" t="s">
        <v>256</v>
      </c>
      <c r="H64" s="70">
        <v>95</v>
      </c>
      <c r="I64" s="70">
        <v>4.0999999999999996</v>
      </c>
    </row>
    <row r="65" spans="1:9">
      <c r="A65" s="70"/>
      <c r="B65" s="70" t="s">
        <v>257</v>
      </c>
      <c r="C65" s="70">
        <v>96</v>
      </c>
      <c r="D65" s="70"/>
      <c r="F65" s="70"/>
      <c r="G65" s="70" t="s">
        <v>257</v>
      </c>
      <c r="H65" s="70">
        <v>96</v>
      </c>
      <c r="I65" s="70"/>
    </row>
    <row r="66" spans="1:9">
      <c r="A66" s="70"/>
      <c r="B66" s="70" t="s">
        <v>248</v>
      </c>
      <c r="C66" s="70">
        <v>94</v>
      </c>
      <c r="D66" s="70"/>
      <c r="F66" s="70"/>
      <c r="G66" s="70" t="s">
        <v>258</v>
      </c>
      <c r="H66" s="70">
        <v>96</v>
      </c>
      <c r="I66" s="70">
        <v>4.5</v>
      </c>
    </row>
    <row r="67" spans="1:9">
      <c r="A67" s="70"/>
      <c r="B67" s="70" t="s">
        <v>259</v>
      </c>
      <c r="C67" s="70">
        <v>225</v>
      </c>
      <c r="D67" s="70">
        <v>5</v>
      </c>
      <c r="F67" s="70"/>
      <c r="G67" s="70" t="s">
        <v>260</v>
      </c>
      <c r="H67" s="70">
        <v>99</v>
      </c>
      <c r="I67" s="70"/>
    </row>
    <row r="68" spans="1:9">
      <c r="A68" s="70"/>
      <c r="B68" s="70" t="s">
        <v>261</v>
      </c>
      <c r="C68" s="70"/>
      <c r="D68" s="70"/>
      <c r="F68" s="70"/>
      <c r="G68" s="70" t="s">
        <v>262</v>
      </c>
      <c r="H68" s="70">
        <v>100</v>
      </c>
      <c r="I68" s="70">
        <v>4.2</v>
      </c>
    </row>
    <row r="69" spans="1:9">
      <c r="A69" s="70"/>
      <c r="B69" s="70" t="s">
        <v>263</v>
      </c>
      <c r="C69" s="70"/>
      <c r="D69" s="70"/>
      <c r="F69" s="70"/>
      <c r="G69" s="70" t="s">
        <v>264</v>
      </c>
      <c r="H69" s="70">
        <v>102</v>
      </c>
      <c r="I69" s="70">
        <v>4.2</v>
      </c>
    </row>
    <row r="70" spans="1:9">
      <c r="A70" s="70"/>
      <c r="B70" s="70" t="s">
        <v>265</v>
      </c>
      <c r="C70" s="70">
        <v>130</v>
      </c>
      <c r="D70" s="70">
        <v>5</v>
      </c>
      <c r="F70" s="70"/>
      <c r="G70" s="70" t="s">
        <v>264</v>
      </c>
      <c r="H70" s="70">
        <v>109</v>
      </c>
      <c r="I70" s="70">
        <v>4.5</v>
      </c>
    </row>
    <row r="71" spans="1:9">
      <c r="A71" s="70"/>
      <c r="B71" s="70" t="s">
        <v>266</v>
      </c>
      <c r="C71" s="70">
        <v>148</v>
      </c>
      <c r="D71" s="70">
        <v>5.5</v>
      </c>
      <c r="F71" s="70"/>
      <c r="G71" s="70" t="s">
        <v>267</v>
      </c>
      <c r="H71" s="70">
        <v>109</v>
      </c>
      <c r="I71" s="70">
        <v>4.5</v>
      </c>
    </row>
    <row r="72" spans="1:9">
      <c r="A72" s="70"/>
      <c r="B72" s="70" t="s">
        <v>268</v>
      </c>
      <c r="C72" s="70">
        <v>112</v>
      </c>
      <c r="D72" s="70">
        <v>4.0999999999999996</v>
      </c>
      <c r="F72" s="70"/>
      <c r="G72" s="70" t="s">
        <v>269</v>
      </c>
      <c r="H72" s="70">
        <v>110</v>
      </c>
      <c r="I72" s="70">
        <v>4.2</v>
      </c>
    </row>
    <row r="73" spans="1:9">
      <c r="A73" s="70"/>
      <c r="B73" s="70" t="s">
        <v>269</v>
      </c>
      <c r="C73" s="70">
        <v>110</v>
      </c>
      <c r="D73" s="70">
        <v>4.2</v>
      </c>
      <c r="F73" s="70"/>
      <c r="G73" s="70" t="s">
        <v>270</v>
      </c>
      <c r="H73" s="70">
        <v>110</v>
      </c>
      <c r="I73" s="70">
        <v>4.0999999999999996</v>
      </c>
    </row>
    <row r="74" spans="1:9">
      <c r="A74" s="70"/>
      <c r="B74" s="70" t="s">
        <v>260</v>
      </c>
      <c r="C74" s="70">
        <v>99</v>
      </c>
      <c r="D74" s="70"/>
      <c r="F74" s="70"/>
      <c r="G74" s="70" t="s">
        <v>271</v>
      </c>
      <c r="H74" s="70">
        <v>110</v>
      </c>
      <c r="I74" s="70">
        <v>4.5</v>
      </c>
    </row>
    <row r="75" spans="1:9">
      <c r="A75" s="70"/>
      <c r="B75" s="70" t="s">
        <v>272</v>
      </c>
      <c r="C75" s="70">
        <v>145</v>
      </c>
      <c r="D75" s="70">
        <v>5</v>
      </c>
      <c r="F75" s="70"/>
      <c r="G75" s="70" t="s">
        <v>268</v>
      </c>
      <c r="H75" s="70">
        <v>112</v>
      </c>
      <c r="I75" s="70"/>
    </row>
    <row r="76" spans="1:9">
      <c r="A76" s="70"/>
      <c r="B76" s="70" t="s">
        <v>273</v>
      </c>
      <c r="C76" s="70">
        <v>169</v>
      </c>
      <c r="D76" s="70">
        <v>5.9</v>
      </c>
      <c r="F76" s="70"/>
      <c r="G76" s="70" t="s">
        <v>274</v>
      </c>
      <c r="H76" s="70">
        <v>113</v>
      </c>
      <c r="I76" s="70">
        <v>4.3</v>
      </c>
    </row>
    <row r="77" spans="1:9">
      <c r="A77" s="70"/>
      <c r="B77" s="70" t="s">
        <v>254</v>
      </c>
      <c r="C77" s="70">
        <v>95</v>
      </c>
      <c r="D77" s="70">
        <v>4.2</v>
      </c>
      <c r="F77" s="70"/>
      <c r="G77" s="70" t="s">
        <v>275</v>
      </c>
      <c r="H77" s="70">
        <v>124</v>
      </c>
      <c r="I77" s="70"/>
    </row>
    <row r="78" spans="1:9">
      <c r="A78" s="70"/>
      <c r="B78" s="70" t="s">
        <v>276</v>
      </c>
      <c r="C78" s="70">
        <v>148</v>
      </c>
      <c r="D78" s="70">
        <v>4.5999999999999996</v>
      </c>
      <c r="F78" s="70"/>
      <c r="G78" s="70"/>
      <c r="H78" s="70"/>
      <c r="I78" s="70"/>
    </row>
    <row r="79" spans="1:9">
      <c r="A79" s="70"/>
      <c r="B79" s="70" t="s">
        <v>277</v>
      </c>
      <c r="C79" s="70">
        <v>147</v>
      </c>
      <c r="D79" s="70">
        <v>5</v>
      </c>
      <c r="F79" s="70"/>
      <c r="G79" s="70"/>
      <c r="H79" s="70"/>
      <c r="I79" s="70"/>
    </row>
    <row r="80" spans="1:9">
      <c r="A80" s="70"/>
      <c r="B80" s="70" t="s">
        <v>264</v>
      </c>
      <c r="C80" s="70">
        <v>102</v>
      </c>
      <c r="D80" s="70">
        <v>4.2</v>
      </c>
      <c r="F80" s="70" t="s">
        <v>278</v>
      </c>
      <c r="G80" s="70"/>
      <c r="H80" s="70">
        <v>102.33333330000001</v>
      </c>
      <c r="I80" s="70"/>
    </row>
    <row r="81" spans="1:4">
      <c r="A81" s="70"/>
      <c r="B81" s="70" t="s">
        <v>264</v>
      </c>
      <c r="C81" s="70">
        <v>109</v>
      </c>
      <c r="D81" s="70">
        <v>4.5</v>
      </c>
    </row>
    <row r="82" spans="1:4">
      <c r="A82" s="70"/>
      <c r="B82" s="70" t="s">
        <v>151</v>
      </c>
      <c r="C82" s="70">
        <v>73</v>
      </c>
      <c r="D82" s="70">
        <v>0.4</v>
      </c>
    </row>
    <row r="83" spans="1:4">
      <c r="A83" s="70"/>
      <c r="B83" s="70" t="s">
        <v>279</v>
      </c>
      <c r="C83" s="70">
        <v>148</v>
      </c>
      <c r="D83" s="70">
        <v>5</v>
      </c>
    </row>
    <row r="84" spans="1:4">
      <c r="A84" s="70"/>
      <c r="B84" s="70" t="s">
        <v>280</v>
      </c>
      <c r="C84" s="70">
        <v>148</v>
      </c>
      <c r="D84" s="70">
        <v>4.5999999999999996</v>
      </c>
    </row>
    <row r="85" spans="1:4">
      <c r="A85" s="70"/>
      <c r="B85" s="70" t="s">
        <v>267</v>
      </c>
      <c r="C85" s="70">
        <v>109</v>
      </c>
      <c r="D85" s="70">
        <v>4.5</v>
      </c>
    </row>
    <row r="86" spans="1:4">
      <c r="A86" s="70"/>
      <c r="B86" s="70" t="s">
        <v>281</v>
      </c>
      <c r="C86" s="70">
        <v>156</v>
      </c>
      <c r="D86" s="70">
        <v>5.0999999999999996</v>
      </c>
    </row>
    <row r="87" spans="1:4">
      <c r="A87" s="70"/>
      <c r="B87" s="70" t="s">
        <v>282</v>
      </c>
      <c r="C87" s="70">
        <v>125</v>
      </c>
      <c r="D87" s="70">
        <v>4</v>
      </c>
    </row>
    <row r="88" spans="1:4">
      <c r="A88" s="70"/>
      <c r="B88" s="70" t="s">
        <v>283</v>
      </c>
      <c r="C88" s="70">
        <v>176</v>
      </c>
      <c r="D88" s="70">
        <v>7.5</v>
      </c>
    </row>
    <row r="89" spans="1:4">
      <c r="A89" s="70"/>
      <c r="B89" s="70" t="s">
        <v>284</v>
      </c>
      <c r="C89" s="70">
        <v>166</v>
      </c>
      <c r="D89" s="70">
        <v>5.4</v>
      </c>
    </row>
    <row r="90" spans="1:4">
      <c r="A90" s="70"/>
      <c r="B90" s="70" t="s">
        <v>285</v>
      </c>
      <c r="C90" s="70">
        <v>170.34</v>
      </c>
      <c r="D90" s="70">
        <v>5.0999999999999996</v>
      </c>
    </row>
    <row r="91" spans="1:4">
      <c r="A91" s="70"/>
      <c r="B91" s="70" t="s">
        <v>286</v>
      </c>
      <c r="C91" s="70">
        <v>158</v>
      </c>
      <c r="D91" s="70">
        <v>5.8</v>
      </c>
    </row>
    <row r="92" spans="1:4">
      <c r="A92" s="70"/>
      <c r="B92" s="70" t="s">
        <v>287</v>
      </c>
      <c r="C92" s="70"/>
      <c r="D92" s="70">
        <v>7.5</v>
      </c>
    </row>
    <row r="93" spans="1:4">
      <c r="A93" s="70"/>
      <c r="B93" s="70" t="s">
        <v>288</v>
      </c>
      <c r="C93" s="70">
        <v>132</v>
      </c>
      <c r="D93" s="70">
        <v>5</v>
      </c>
    </row>
    <row r="94" spans="1:4">
      <c r="A94" s="70"/>
      <c r="B94" s="70" t="s">
        <v>289</v>
      </c>
      <c r="C94" s="70">
        <v>149</v>
      </c>
      <c r="D94" s="70">
        <v>5.5</v>
      </c>
    </row>
    <row r="95" spans="1:4">
      <c r="A95" s="70"/>
      <c r="B95" s="70" t="s">
        <v>262</v>
      </c>
      <c r="C95" s="70">
        <v>100</v>
      </c>
      <c r="D95" s="70">
        <v>4.2</v>
      </c>
    </row>
    <row r="96" spans="1:4">
      <c r="A96" s="70"/>
      <c r="B96" s="70" t="s">
        <v>290</v>
      </c>
      <c r="C96" s="70">
        <v>163</v>
      </c>
      <c r="D96" s="70">
        <v>4.9000000000000004</v>
      </c>
    </row>
    <row r="97" spans="1:4">
      <c r="A97" s="70"/>
      <c r="B97" s="70" t="s">
        <v>291</v>
      </c>
      <c r="C97" s="70">
        <v>166</v>
      </c>
      <c r="D97" s="70">
        <v>5.9</v>
      </c>
    </row>
    <row r="98" spans="1:4">
      <c r="A98" s="70"/>
      <c r="B98" s="70" t="s">
        <v>292</v>
      </c>
      <c r="C98" s="70">
        <v>153</v>
      </c>
      <c r="D98" s="70">
        <v>5</v>
      </c>
    </row>
    <row r="99" spans="1:4">
      <c r="A99" s="70"/>
      <c r="B99" s="70" t="s">
        <v>293</v>
      </c>
      <c r="C99" s="70">
        <v>166</v>
      </c>
      <c r="D99" s="70">
        <v>5.2</v>
      </c>
    </row>
    <row r="100" spans="1:4">
      <c r="A100" s="70"/>
      <c r="B100" s="70" t="s">
        <v>294</v>
      </c>
      <c r="C100" s="70">
        <v>168</v>
      </c>
      <c r="D100" s="70">
        <v>5</v>
      </c>
    </row>
    <row r="101" spans="1:4">
      <c r="A101" s="70"/>
      <c r="B101" s="70" t="s">
        <v>295</v>
      </c>
      <c r="C101" s="70">
        <v>152</v>
      </c>
      <c r="D101" s="70">
        <v>4.7</v>
      </c>
    </row>
    <row r="102" spans="1:4">
      <c r="A102" s="70"/>
      <c r="B102" s="70" t="s">
        <v>270</v>
      </c>
      <c r="C102" s="70">
        <v>110</v>
      </c>
      <c r="D102" s="70">
        <v>4.0999999999999996</v>
      </c>
    </row>
    <row r="103" spans="1:4">
      <c r="A103" s="70"/>
      <c r="B103" s="70" t="s">
        <v>161</v>
      </c>
      <c r="C103" s="70">
        <v>152</v>
      </c>
      <c r="D103" s="70">
        <v>5</v>
      </c>
    </row>
    <row r="104" spans="1:4">
      <c r="A104" s="70"/>
      <c r="B104" s="70" t="s">
        <v>162</v>
      </c>
      <c r="C104" s="70">
        <v>175</v>
      </c>
      <c r="D104" s="70">
        <v>4.9000000000000004</v>
      </c>
    </row>
    <row r="105" spans="1:4">
      <c r="A105" s="70"/>
      <c r="B105" s="70" t="s">
        <v>163</v>
      </c>
      <c r="C105" s="70">
        <v>155</v>
      </c>
      <c r="D105" s="70">
        <v>5</v>
      </c>
    </row>
    <row r="106" spans="1:4">
      <c r="A106" s="70"/>
      <c r="B106" s="70" t="s">
        <v>274</v>
      </c>
      <c r="C106" s="70">
        <v>113</v>
      </c>
      <c r="D106" s="70">
        <v>4.3</v>
      </c>
    </row>
    <row r="107" spans="1:4">
      <c r="A107" s="70"/>
      <c r="B107" s="70" t="s">
        <v>256</v>
      </c>
      <c r="C107" s="70">
        <v>95</v>
      </c>
      <c r="D107" s="70">
        <v>4.0999999999999996</v>
      </c>
    </row>
    <row r="108" spans="1:4">
      <c r="A108" s="70"/>
      <c r="B108" s="70" t="s">
        <v>48</v>
      </c>
      <c r="C108" s="70">
        <v>157</v>
      </c>
      <c r="D108" s="70">
        <v>5.6</v>
      </c>
    </row>
    <row r="109" spans="1:4">
      <c r="A109" s="70"/>
      <c r="B109" s="70" t="s">
        <v>49</v>
      </c>
      <c r="C109" s="70">
        <v>165</v>
      </c>
      <c r="D109" s="70">
        <v>5.9</v>
      </c>
    </row>
    <row r="110" spans="1:4">
      <c r="A110" s="70"/>
      <c r="B110" s="70" t="s">
        <v>50</v>
      </c>
      <c r="C110" s="70">
        <v>143</v>
      </c>
      <c r="D110" s="70">
        <v>5</v>
      </c>
    </row>
    <row r="111" spans="1:4">
      <c r="A111" s="70"/>
      <c r="B111" s="70" t="s">
        <v>271</v>
      </c>
      <c r="C111" s="70">
        <v>110</v>
      </c>
      <c r="D111" s="70">
        <v>4.5</v>
      </c>
    </row>
    <row r="112" spans="1:4">
      <c r="A112" s="70"/>
      <c r="B112" s="70" t="s">
        <v>5</v>
      </c>
      <c r="C112" s="70">
        <v>156</v>
      </c>
      <c r="D112" s="70">
        <v>5.5</v>
      </c>
    </row>
    <row r="113" spans="1:4">
      <c r="A113" s="70"/>
      <c r="B113" s="70" t="s">
        <v>258</v>
      </c>
      <c r="C113" s="70">
        <v>96</v>
      </c>
      <c r="D113" s="70">
        <v>4.5</v>
      </c>
    </row>
    <row r="114" spans="1:4">
      <c r="A114" s="70"/>
      <c r="B114" s="70" t="s">
        <v>6</v>
      </c>
      <c r="C114" s="70">
        <v>157</v>
      </c>
      <c r="D114" s="70">
        <v>5.9</v>
      </c>
    </row>
    <row r="115" spans="1:4">
      <c r="A115" s="70"/>
      <c r="B115" s="70" t="s">
        <v>7</v>
      </c>
      <c r="C115" s="70">
        <v>95</v>
      </c>
      <c r="D115" s="70">
        <v>4.2</v>
      </c>
    </row>
    <row r="116" spans="1:4">
      <c r="A116" s="70"/>
      <c r="B116" s="70" t="s">
        <v>8</v>
      </c>
      <c r="C116" s="70">
        <v>156</v>
      </c>
      <c r="D116" s="70">
        <v>5</v>
      </c>
    </row>
    <row r="117" spans="1:4">
      <c r="A117" s="70"/>
      <c r="B117" s="70" t="s">
        <v>9</v>
      </c>
      <c r="C117" s="70">
        <v>160</v>
      </c>
      <c r="D117" s="70">
        <v>5.9</v>
      </c>
    </row>
    <row r="118" spans="1:4">
      <c r="A118" s="70"/>
      <c r="B118" s="70" t="s">
        <v>10</v>
      </c>
      <c r="C118" s="70">
        <v>216</v>
      </c>
      <c r="D118" s="70">
        <v>7.9</v>
      </c>
    </row>
    <row r="119" spans="1:4">
      <c r="A119" s="70"/>
      <c r="B119" s="70" t="s">
        <v>11</v>
      </c>
      <c r="C119" s="70">
        <v>147</v>
      </c>
      <c r="D119" s="70">
        <v>5</v>
      </c>
    </row>
    <row r="120" spans="1:4">
      <c r="A120" s="70"/>
      <c r="B120" s="70" t="s">
        <v>12</v>
      </c>
      <c r="C120" s="70">
        <v>188</v>
      </c>
      <c r="D120" s="70">
        <v>6.5</v>
      </c>
    </row>
    <row r="121" spans="1:4">
      <c r="A121" s="70"/>
      <c r="B121" s="70" t="s">
        <v>13</v>
      </c>
      <c r="C121" s="70">
        <v>160</v>
      </c>
      <c r="D121" s="70">
        <v>4.9000000000000004</v>
      </c>
    </row>
    <row r="122" spans="1:4">
      <c r="A122" s="70"/>
      <c r="B122" s="70" t="s">
        <v>14</v>
      </c>
      <c r="C122" s="70">
        <v>160</v>
      </c>
      <c r="D122" s="70">
        <v>4.8</v>
      </c>
    </row>
    <row r="123" spans="1:4">
      <c r="A123" s="70"/>
      <c r="B123" s="70" t="s">
        <v>15</v>
      </c>
      <c r="C123" s="70">
        <v>166</v>
      </c>
      <c r="D123" s="70">
        <v>5.2</v>
      </c>
    </row>
    <row r="124" spans="1:4">
      <c r="A124" s="70"/>
      <c r="B124" s="70" t="s">
        <v>16</v>
      </c>
      <c r="C124" s="70">
        <v>195</v>
      </c>
      <c r="D124" s="70">
        <v>4.7</v>
      </c>
    </row>
    <row r="125" spans="1:4">
      <c r="A125" s="70"/>
      <c r="B125" s="70" t="s">
        <v>17</v>
      </c>
      <c r="C125" s="70">
        <v>240</v>
      </c>
      <c r="D125" s="70">
        <v>8.5</v>
      </c>
    </row>
    <row r="126" spans="1:4">
      <c r="A126" s="70"/>
      <c r="B126" s="70" t="s">
        <v>18</v>
      </c>
      <c r="C126" s="70">
        <v>145</v>
      </c>
      <c r="D126" s="70">
        <v>4.5999999999999996</v>
      </c>
    </row>
    <row r="127" spans="1:4">
      <c r="A127" s="70"/>
      <c r="B127" s="70" t="s">
        <v>19</v>
      </c>
      <c r="C127" s="70">
        <v>175</v>
      </c>
      <c r="D127" s="70">
        <v>5.9</v>
      </c>
    </row>
    <row r="128" spans="1:4">
      <c r="A128" s="70"/>
      <c r="B128" s="70" t="s">
        <v>275</v>
      </c>
      <c r="C128" s="70">
        <v>124</v>
      </c>
      <c r="D128" s="70"/>
    </row>
    <row r="129" spans="1:4">
      <c r="A129" s="70"/>
      <c r="B129" s="70" t="s">
        <v>80</v>
      </c>
      <c r="C129" s="70">
        <v>165</v>
      </c>
      <c r="D129" s="70">
        <v>5.7</v>
      </c>
    </row>
    <row r="130" spans="1:4">
      <c r="A130" s="70"/>
      <c r="B130" s="70" t="s">
        <v>81</v>
      </c>
      <c r="C130" s="70">
        <v>145</v>
      </c>
      <c r="D130" s="70">
        <v>5.3</v>
      </c>
    </row>
    <row r="131" spans="1:4">
      <c r="A131" s="70"/>
      <c r="B131" s="70" t="s">
        <v>82</v>
      </c>
      <c r="C131" s="70">
        <v>170</v>
      </c>
      <c r="D131" s="70">
        <v>5.2</v>
      </c>
    </row>
    <row r="132" spans="1:4">
      <c r="A132" s="70"/>
      <c r="B132" s="70" t="s">
        <v>83</v>
      </c>
      <c r="C132" s="70">
        <v>150</v>
      </c>
      <c r="D132" s="70">
        <v>5.2</v>
      </c>
    </row>
    <row r="133" spans="1:4">
      <c r="A133" s="70"/>
      <c r="B133" s="70" t="s">
        <v>84</v>
      </c>
      <c r="C133" s="70">
        <v>340</v>
      </c>
      <c r="D133" s="70">
        <v>17.5</v>
      </c>
    </row>
    <row r="134" spans="1:4">
      <c r="A134" s="70"/>
      <c r="B134" s="70" t="s">
        <v>85</v>
      </c>
      <c r="C134" s="70">
        <v>190</v>
      </c>
      <c r="D134" s="70">
        <v>6.9</v>
      </c>
    </row>
    <row r="135" spans="1:4">
      <c r="A135" s="70"/>
      <c r="B135" s="70" t="s">
        <v>86</v>
      </c>
      <c r="C135" s="70">
        <v>125</v>
      </c>
      <c r="D135" s="70">
        <v>4.5</v>
      </c>
    </row>
    <row r="136" spans="1:4">
      <c r="A136" s="70"/>
      <c r="B136" s="70"/>
      <c r="C136" s="70"/>
      <c r="D136" s="70"/>
    </row>
    <row r="137" spans="1:4">
      <c r="A137" s="70"/>
      <c r="B137" s="70"/>
      <c r="C137" s="70"/>
      <c r="D137" s="70"/>
    </row>
    <row r="138" spans="1:4">
      <c r="A138" s="70" t="s">
        <v>87</v>
      </c>
      <c r="B138" s="70"/>
      <c r="C138" s="70">
        <v>149.17138890000001</v>
      </c>
      <c r="D138" s="70">
        <v>5.2942028990000001</v>
      </c>
    </row>
  </sheetData>
  <sheetProtection sheet="1" objects="1" scenarios="1"/>
  <phoneticPr fontId="0" type="noConversion"/>
  <pageMargins left="0.75" right="0.75" top="1" bottom="1" header="0.5" footer="0.5"/>
  <headerFooter alignWithMargins="0"/>
  <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4"/>
  <dimension ref="A1:D90"/>
  <sheetViews>
    <sheetView workbookViewId="0">
      <selection activeCell="C7" sqref="C7"/>
    </sheetView>
  </sheetViews>
  <sheetFormatPr defaultRowHeight="12.75"/>
  <cols>
    <col min="4" max="4" width="15.125" customWidth="1"/>
  </cols>
  <sheetData>
    <row r="1" spans="1:4">
      <c r="A1">
        <v>10</v>
      </c>
      <c r="B1">
        <v>1970</v>
      </c>
      <c r="C1" s="96" t="s">
        <v>555</v>
      </c>
      <c r="D1" s="96" t="s">
        <v>561</v>
      </c>
    </row>
    <row r="2" spans="1:4">
      <c r="A2">
        <v>11</v>
      </c>
      <c r="B2">
        <v>1971</v>
      </c>
      <c r="C2" s="96" t="s">
        <v>32</v>
      </c>
      <c r="D2" s="96" t="s">
        <v>562</v>
      </c>
    </row>
    <row r="3" spans="1:4">
      <c r="A3">
        <v>12</v>
      </c>
      <c r="B3">
        <v>1972</v>
      </c>
      <c r="C3" s="96" t="s">
        <v>556</v>
      </c>
      <c r="D3" s="96" t="s">
        <v>563</v>
      </c>
    </row>
    <row r="4" spans="1:4">
      <c r="A4">
        <v>13</v>
      </c>
      <c r="B4">
        <v>1973</v>
      </c>
      <c r="C4" s="96" t="s">
        <v>557</v>
      </c>
      <c r="D4" s="96" t="s">
        <v>564</v>
      </c>
    </row>
    <row r="5" spans="1:4">
      <c r="A5">
        <v>14</v>
      </c>
      <c r="B5">
        <v>1974</v>
      </c>
      <c r="D5" s="96" t="s">
        <v>565</v>
      </c>
    </row>
    <row r="6" spans="1:4">
      <c r="A6">
        <v>15</v>
      </c>
      <c r="B6">
        <v>1975</v>
      </c>
      <c r="D6" s="96" t="s">
        <v>566</v>
      </c>
    </row>
    <row r="7" spans="1:4">
      <c r="A7">
        <v>16</v>
      </c>
      <c r="B7">
        <v>1976</v>
      </c>
      <c r="D7" s="96" t="s">
        <v>567</v>
      </c>
    </row>
    <row r="8" spans="1:4">
      <c r="A8">
        <v>17</v>
      </c>
      <c r="B8">
        <v>1977</v>
      </c>
    </row>
    <row r="9" spans="1:4">
      <c r="A9">
        <v>18</v>
      </c>
      <c r="B9">
        <v>1978</v>
      </c>
    </row>
    <row r="10" spans="1:4">
      <c r="A10">
        <v>19</v>
      </c>
      <c r="B10">
        <v>1979</v>
      </c>
    </row>
    <row r="11" spans="1:4">
      <c r="A11">
        <v>20</v>
      </c>
      <c r="B11">
        <v>1980</v>
      </c>
    </row>
    <row r="12" spans="1:4">
      <c r="A12">
        <v>21</v>
      </c>
      <c r="B12">
        <v>1981</v>
      </c>
    </row>
    <row r="13" spans="1:4">
      <c r="A13">
        <v>22</v>
      </c>
      <c r="B13">
        <v>1982</v>
      </c>
    </row>
    <row r="14" spans="1:4">
      <c r="A14">
        <v>23</v>
      </c>
      <c r="B14">
        <v>1983</v>
      </c>
    </row>
    <row r="15" spans="1:4">
      <c r="A15">
        <v>24</v>
      </c>
      <c r="B15">
        <v>1984</v>
      </c>
    </row>
    <row r="16" spans="1:4">
      <c r="A16">
        <v>25</v>
      </c>
      <c r="B16">
        <v>1985</v>
      </c>
    </row>
    <row r="17" spans="1:2">
      <c r="A17">
        <v>26</v>
      </c>
      <c r="B17">
        <v>1986</v>
      </c>
    </row>
    <row r="18" spans="1:2">
      <c r="A18">
        <v>27</v>
      </c>
      <c r="B18">
        <v>1987</v>
      </c>
    </row>
    <row r="19" spans="1:2">
      <c r="A19">
        <v>28</v>
      </c>
      <c r="B19">
        <v>1988</v>
      </c>
    </row>
    <row r="20" spans="1:2">
      <c r="A20">
        <v>29</v>
      </c>
      <c r="B20">
        <v>1989</v>
      </c>
    </row>
    <row r="21" spans="1:2">
      <c r="A21">
        <v>30</v>
      </c>
      <c r="B21">
        <v>1990</v>
      </c>
    </row>
    <row r="22" spans="1:2">
      <c r="A22">
        <v>31</v>
      </c>
      <c r="B22">
        <v>1991</v>
      </c>
    </row>
    <row r="23" spans="1:2">
      <c r="A23">
        <v>32</v>
      </c>
      <c r="B23">
        <v>1992</v>
      </c>
    </row>
    <row r="24" spans="1:2">
      <c r="A24">
        <v>33</v>
      </c>
      <c r="B24">
        <v>1993</v>
      </c>
    </row>
    <row r="25" spans="1:2">
      <c r="A25">
        <v>34</v>
      </c>
      <c r="B25">
        <v>1994</v>
      </c>
    </row>
    <row r="26" spans="1:2">
      <c r="A26">
        <v>35</v>
      </c>
      <c r="B26">
        <v>1995</v>
      </c>
    </row>
    <row r="27" spans="1:2">
      <c r="A27">
        <v>36</v>
      </c>
      <c r="B27">
        <v>1996</v>
      </c>
    </row>
    <row r="28" spans="1:2">
      <c r="A28">
        <v>37</v>
      </c>
      <c r="B28">
        <v>1997</v>
      </c>
    </row>
    <row r="29" spans="1:2">
      <c r="A29">
        <v>38</v>
      </c>
      <c r="B29">
        <v>1998</v>
      </c>
    </row>
    <row r="30" spans="1:2">
      <c r="A30">
        <v>39</v>
      </c>
      <c r="B30">
        <v>1999</v>
      </c>
    </row>
    <row r="31" spans="1:2">
      <c r="A31">
        <v>40</v>
      </c>
      <c r="B31">
        <v>2000</v>
      </c>
    </row>
    <row r="32" spans="1:2">
      <c r="A32">
        <v>41</v>
      </c>
      <c r="B32">
        <v>2001</v>
      </c>
    </row>
    <row r="33" spans="1:2">
      <c r="A33">
        <v>42</v>
      </c>
      <c r="B33">
        <v>2002</v>
      </c>
    </row>
    <row r="34" spans="1:2">
      <c r="A34">
        <v>43</v>
      </c>
      <c r="B34">
        <v>2003</v>
      </c>
    </row>
    <row r="35" spans="1:2">
      <c r="A35">
        <v>44</v>
      </c>
      <c r="B35">
        <v>2004</v>
      </c>
    </row>
    <row r="36" spans="1:2">
      <c r="A36">
        <v>45</v>
      </c>
      <c r="B36">
        <v>2005</v>
      </c>
    </row>
    <row r="37" spans="1:2">
      <c r="A37">
        <v>46</v>
      </c>
      <c r="B37">
        <v>2006</v>
      </c>
    </row>
    <row r="38" spans="1:2">
      <c r="A38">
        <v>47</v>
      </c>
      <c r="B38">
        <v>2007</v>
      </c>
    </row>
    <row r="39" spans="1:2">
      <c r="A39">
        <v>48</v>
      </c>
      <c r="B39">
        <v>2008</v>
      </c>
    </row>
    <row r="40" spans="1:2">
      <c r="A40">
        <v>49</v>
      </c>
      <c r="B40">
        <v>2009</v>
      </c>
    </row>
    <row r="41" spans="1:2">
      <c r="A41">
        <v>50</v>
      </c>
      <c r="B41">
        <v>2010</v>
      </c>
    </row>
    <row r="42" spans="1:2">
      <c r="A42">
        <v>51</v>
      </c>
      <c r="B42">
        <v>2011</v>
      </c>
    </row>
    <row r="43" spans="1:2">
      <c r="A43">
        <v>52</v>
      </c>
      <c r="B43">
        <v>2012</v>
      </c>
    </row>
    <row r="44" spans="1:2">
      <c r="A44">
        <v>53</v>
      </c>
      <c r="B44">
        <v>2013</v>
      </c>
    </row>
    <row r="45" spans="1:2">
      <c r="A45">
        <v>54</v>
      </c>
      <c r="B45">
        <v>2014</v>
      </c>
    </row>
    <row r="46" spans="1:2">
      <c r="A46">
        <v>55</v>
      </c>
      <c r="B46">
        <v>2015</v>
      </c>
    </row>
    <row r="47" spans="1:2">
      <c r="A47">
        <v>56</v>
      </c>
      <c r="B47">
        <v>2016</v>
      </c>
    </row>
    <row r="48" spans="1:2">
      <c r="A48">
        <v>57</v>
      </c>
      <c r="B48">
        <v>2017</v>
      </c>
    </row>
    <row r="49" spans="1:2">
      <c r="A49">
        <v>58</v>
      </c>
      <c r="B49">
        <v>2018</v>
      </c>
    </row>
    <row r="50" spans="1:2">
      <c r="A50">
        <v>59</v>
      </c>
      <c r="B50">
        <v>2019</v>
      </c>
    </row>
    <row r="51" spans="1:2">
      <c r="A51">
        <v>60</v>
      </c>
      <c r="B51">
        <v>2020</v>
      </c>
    </row>
    <row r="52" spans="1:2">
      <c r="A52">
        <v>61</v>
      </c>
      <c r="B52">
        <v>2021</v>
      </c>
    </row>
    <row r="53" spans="1:2">
      <c r="A53">
        <v>62</v>
      </c>
      <c r="B53">
        <v>2022</v>
      </c>
    </row>
    <row r="54" spans="1:2">
      <c r="A54">
        <v>63</v>
      </c>
      <c r="B54">
        <v>2023</v>
      </c>
    </row>
    <row r="55" spans="1:2">
      <c r="A55">
        <v>64</v>
      </c>
      <c r="B55">
        <v>2024</v>
      </c>
    </row>
    <row r="56" spans="1:2">
      <c r="A56">
        <v>65</v>
      </c>
      <c r="B56">
        <v>2025</v>
      </c>
    </row>
    <row r="57" spans="1:2">
      <c r="A57">
        <v>66</v>
      </c>
      <c r="B57">
        <v>2026</v>
      </c>
    </row>
    <row r="58" spans="1:2">
      <c r="A58">
        <v>67</v>
      </c>
      <c r="B58">
        <v>2027</v>
      </c>
    </row>
    <row r="59" spans="1:2">
      <c r="A59">
        <v>68</v>
      </c>
      <c r="B59">
        <v>2028</v>
      </c>
    </row>
    <row r="60" spans="1:2">
      <c r="A60">
        <v>69</v>
      </c>
      <c r="B60">
        <v>2029</v>
      </c>
    </row>
    <row r="61" spans="1:2">
      <c r="A61">
        <v>70</v>
      </c>
      <c r="B61">
        <v>2030</v>
      </c>
    </row>
    <row r="62" spans="1:2">
      <c r="A62">
        <v>71</v>
      </c>
      <c r="B62">
        <v>2031</v>
      </c>
    </row>
    <row r="63" spans="1:2">
      <c r="A63">
        <v>72</v>
      </c>
      <c r="B63">
        <v>2032</v>
      </c>
    </row>
    <row r="64" spans="1:2">
      <c r="A64">
        <v>73</v>
      </c>
      <c r="B64">
        <v>2033</v>
      </c>
    </row>
    <row r="65" spans="1:2">
      <c r="A65">
        <v>74</v>
      </c>
      <c r="B65">
        <v>2034</v>
      </c>
    </row>
    <row r="66" spans="1:2">
      <c r="A66">
        <v>75</v>
      </c>
      <c r="B66">
        <v>2035</v>
      </c>
    </row>
    <row r="67" spans="1:2">
      <c r="A67">
        <v>76</v>
      </c>
      <c r="B67">
        <v>2036</v>
      </c>
    </row>
    <row r="68" spans="1:2">
      <c r="A68">
        <v>77</v>
      </c>
      <c r="B68">
        <v>2037</v>
      </c>
    </row>
    <row r="69" spans="1:2">
      <c r="A69">
        <v>78</v>
      </c>
      <c r="B69">
        <v>2038</v>
      </c>
    </row>
    <row r="70" spans="1:2">
      <c r="A70">
        <v>79</v>
      </c>
      <c r="B70">
        <v>2039</v>
      </c>
    </row>
    <row r="71" spans="1:2">
      <c r="A71">
        <v>80</v>
      </c>
      <c r="B71">
        <v>2040</v>
      </c>
    </row>
    <row r="72" spans="1:2">
      <c r="A72">
        <v>81</v>
      </c>
      <c r="B72">
        <v>2041</v>
      </c>
    </row>
    <row r="73" spans="1:2">
      <c r="A73">
        <v>82</v>
      </c>
      <c r="B73">
        <v>2042</v>
      </c>
    </row>
    <row r="74" spans="1:2">
      <c r="A74">
        <v>83</v>
      </c>
      <c r="B74">
        <v>2043</v>
      </c>
    </row>
    <row r="75" spans="1:2">
      <c r="A75">
        <v>84</v>
      </c>
      <c r="B75">
        <v>2044</v>
      </c>
    </row>
    <row r="76" spans="1:2">
      <c r="A76">
        <v>85</v>
      </c>
      <c r="B76">
        <v>2045</v>
      </c>
    </row>
    <row r="77" spans="1:2">
      <c r="A77">
        <v>86</v>
      </c>
      <c r="B77">
        <v>2046</v>
      </c>
    </row>
    <row r="78" spans="1:2">
      <c r="A78">
        <v>87</v>
      </c>
      <c r="B78">
        <v>2047</v>
      </c>
    </row>
    <row r="79" spans="1:2">
      <c r="A79">
        <v>88</v>
      </c>
      <c r="B79">
        <v>2048</v>
      </c>
    </row>
    <row r="80" spans="1:2">
      <c r="A80">
        <v>89</v>
      </c>
      <c r="B80">
        <v>2049</v>
      </c>
    </row>
    <row r="81" spans="1:2">
      <c r="A81">
        <v>90</v>
      </c>
      <c r="B81">
        <v>2050</v>
      </c>
    </row>
    <row r="82" spans="1:2">
      <c r="A82">
        <v>91</v>
      </c>
      <c r="B82">
        <v>2051</v>
      </c>
    </row>
    <row r="83" spans="1:2">
      <c r="A83">
        <v>92</v>
      </c>
      <c r="B83">
        <v>2052</v>
      </c>
    </row>
    <row r="84" spans="1:2">
      <c r="A84">
        <v>93</v>
      </c>
      <c r="B84">
        <v>2053</v>
      </c>
    </row>
    <row r="85" spans="1:2">
      <c r="A85">
        <v>94</v>
      </c>
      <c r="B85">
        <v>2054</v>
      </c>
    </row>
    <row r="86" spans="1:2">
      <c r="A86">
        <v>95</v>
      </c>
      <c r="B86">
        <v>2055</v>
      </c>
    </row>
    <row r="87" spans="1:2">
      <c r="A87">
        <v>96</v>
      </c>
      <c r="B87">
        <v>2056</v>
      </c>
    </row>
    <row r="88" spans="1:2">
      <c r="A88">
        <v>97</v>
      </c>
      <c r="B88">
        <v>2057</v>
      </c>
    </row>
    <row r="89" spans="1:2">
      <c r="A89">
        <v>98</v>
      </c>
      <c r="B89">
        <v>2058</v>
      </c>
    </row>
    <row r="90" spans="1:2">
      <c r="A90">
        <v>99</v>
      </c>
      <c r="B90">
        <v>2059</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5"/>
  <dimension ref="C2:J11"/>
  <sheetViews>
    <sheetView workbookViewId="0">
      <selection activeCell="F21" sqref="F21"/>
    </sheetView>
  </sheetViews>
  <sheetFormatPr defaultRowHeight="12.75"/>
  <cols>
    <col min="3" max="3" width="39.75" customWidth="1"/>
    <col min="6" max="6" width="16.5" customWidth="1"/>
    <col min="7" max="7" width="10.625" customWidth="1"/>
    <col min="8" max="8" width="46.375" customWidth="1"/>
    <col min="9" max="9" width="9.375" bestFit="1" customWidth="1"/>
    <col min="10" max="10" width="9.375" customWidth="1"/>
    <col min="11" max="11" width="9.375" bestFit="1" customWidth="1"/>
  </cols>
  <sheetData>
    <row r="2" spans="3:10">
      <c r="C2" s="349">
        <v>43216</v>
      </c>
      <c r="E2" s="349">
        <v>43140</v>
      </c>
      <c r="G2" s="349">
        <v>42804</v>
      </c>
      <c r="I2" s="349">
        <v>42510</v>
      </c>
      <c r="J2" s="349"/>
    </row>
    <row r="4" spans="3:10">
      <c r="C4" t="s">
        <v>628</v>
      </c>
      <c r="E4" t="s">
        <v>626</v>
      </c>
      <c r="G4" s="96" t="s">
        <v>597</v>
      </c>
      <c r="I4" s="96" t="s">
        <v>582</v>
      </c>
    </row>
    <row r="5" spans="3:10">
      <c r="G5" t="s">
        <v>571</v>
      </c>
    </row>
    <row r="6" spans="3:10">
      <c r="G6" t="s">
        <v>583</v>
      </c>
    </row>
    <row r="7" spans="3:10">
      <c r="G7" t="s">
        <v>584</v>
      </c>
    </row>
    <row r="8" spans="3:10">
      <c r="G8" t="s">
        <v>585</v>
      </c>
    </row>
    <row r="9" spans="3:10">
      <c r="G9" s="96" t="s">
        <v>589</v>
      </c>
    </row>
    <row r="10" spans="3:10">
      <c r="G10" s="96" t="s">
        <v>590</v>
      </c>
    </row>
    <row r="11" spans="3:10">
      <c r="G11" s="96" t="s">
        <v>598</v>
      </c>
    </row>
  </sheetData>
  <sheetProtection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6"/>
  <dimension ref="A1:C86"/>
  <sheetViews>
    <sheetView workbookViewId="0"/>
  </sheetViews>
  <sheetFormatPr defaultRowHeight="12.75"/>
  <cols>
    <col min="1" max="1" width="27.5" style="143" customWidth="1"/>
    <col min="2" max="2" width="30.625" customWidth="1"/>
    <col min="3" max="3" width="57.375" customWidth="1"/>
  </cols>
  <sheetData>
    <row r="1" spans="1:3">
      <c r="A1" s="474" t="s">
        <v>594</v>
      </c>
      <c r="B1" s="471" t="s">
        <v>596</v>
      </c>
      <c r="C1" s="472" t="s">
        <v>599</v>
      </c>
    </row>
    <row r="2" spans="1:3">
      <c r="A2" s="143" t="s">
        <v>595</v>
      </c>
      <c r="B2" s="96" t="s">
        <v>603</v>
      </c>
    </row>
    <row r="3" spans="1:3">
      <c r="B3" t="s">
        <v>624</v>
      </c>
    </row>
    <row r="6" spans="1:3">
      <c r="B6" s="237"/>
    </row>
    <row r="7" spans="1:3">
      <c r="A7" s="307" t="s">
        <v>318</v>
      </c>
      <c r="B7" t="s">
        <v>318</v>
      </c>
    </row>
    <row r="8" spans="1:3">
      <c r="A8" s="475"/>
    </row>
    <row r="9" spans="1:3">
      <c r="A9" s="476" t="str">
        <f>IF($E$6="Male","heavydrinkdays (&gt;5)","heavydrinkdays (&gt;4)")</f>
        <v>heavydrinkdays (&gt;4)</v>
      </c>
      <c r="B9" t="str">
        <f>IF($E$6="Male","heavydrinkdays (&gt;4)","heavydrinkdays (&gt;3)")</f>
        <v>heavydrinkdays (&gt;3)</v>
      </c>
    </row>
    <row r="10" spans="1:3">
      <c r="A10" s="477">
        <f>(IF($E$6="Male",COUNTIF($B11:$H11,"&gt;5"),COUNTIF($B11:$H11,"&gt;4")))</f>
        <v>0</v>
      </c>
      <c r="B10" s="237"/>
    </row>
    <row r="11" spans="1:3">
      <c r="A11" s="477"/>
      <c r="B11" s="237" t="s">
        <v>614</v>
      </c>
      <c r="C11" s="96" t="s">
        <v>600</v>
      </c>
    </row>
    <row r="12" spans="1:3">
      <c r="A12" s="477">
        <f>(IF($E$6="Male",COUNTIF($B14:$H14,"&gt;5"),COUNTIF($B14:$H14,"&gt;4")))</f>
        <v>0</v>
      </c>
      <c r="B12" s="237"/>
      <c r="C12" s="96"/>
    </row>
    <row r="13" spans="1:3">
      <c r="A13" s="477"/>
      <c r="B13" s="237"/>
    </row>
    <row r="14" spans="1:3">
      <c r="A14" s="477">
        <f>(IF($E$6="Male",COUNTIF($B17:$H17,"&gt;5"),COUNTIF($B17:$H17,"&gt;4")))</f>
        <v>0</v>
      </c>
      <c r="B14" s="237" t="s">
        <v>615</v>
      </c>
      <c r="C14" s="96" t="s">
        <v>600</v>
      </c>
    </row>
    <row r="15" spans="1:3">
      <c r="A15" s="477"/>
      <c r="B15" s="237"/>
    </row>
    <row r="16" spans="1:3">
      <c r="A16" s="477">
        <f>(IF($E$6="Male",COUNTIF($B20:$H20,"&gt;5"),COUNTIF($B20:$H20,"&gt;4")))</f>
        <v>0</v>
      </c>
      <c r="B16" s="237"/>
      <c r="C16" s="96"/>
    </row>
    <row r="17" spans="1:3">
      <c r="A17" s="477"/>
      <c r="B17" s="237" t="s">
        <v>616</v>
      </c>
      <c r="C17" s="96" t="s">
        <v>600</v>
      </c>
    </row>
    <row r="18" spans="1:3">
      <c r="A18" s="477">
        <f>(IF($E$6="Male",COUNTIF($B23:$H23,"&gt;5"),COUNTIF($B23:$H23,"&gt;4")))</f>
        <v>0</v>
      </c>
      <c r="B18" s="237"/>
      <c r="C18" s="96"/>
    </row>
    <row r="19" spans="1:3">
      <c r="A19" s="477"/>
      <c r="B19" s="237"/>
    </row>
    <row r="20" spans="1:3">
      <c r="A20" s="478">
        <v>0</v>
      </c>
      <c r="B20" s="237" t="s">
        <v>617</v>
      </c>
      <c r="C20" s="96" t="s">
        <v>600</v>
      </c>
    </row>
    <row r="21" spans="1:3">
      <c r="A21" s="475"/>
    </row>
    <row r="22" spans="1:3">
      <c r="A22" s="475"/>
    </row>
    <row r="23" spans="1:3">
      <c r="A23" s="475"/>
      <c r="B23" t="s">
        <v>618</v>
      </c>
      <c r="C23" s="96" t="s">
        <v>600</v>
      </c>
    </row>
    <row r="24" spans="1:3">
      <c r="A24" s="475"/>
      <c r="C24" s="96"/>
    </row>
    <row r="25" spans="1:3">
      <c r="A25" s="476" t="str">
        <f>IF($E$6="Male","heavydrinkdays (&gt;5)","heavydrinkdays (&gt;4)")</f>
        <v>heavydrinkdays (&gt;4)</v>
      </c>
    </row>
    <row r="26" spans="1:3">
      <c r="A26" s="477">
        <f>(IF($E$6="Male",COUNTIF($B32:$H32,"&gt;4"),COUNTIF($B32:$H32,"&gt;4")))</f>
        <v>0</v>
      </c>
      <c r="B26" s="237"/>
      <c r="C26" s="96"/>
    </row>
    <row r="27" spans="1:3">
      <c r="A27" s="476"/>
    </row>
    <row r="28" spans="1:3">
      <c r="A28" s="477">
        <f>IF($E$6="Male",COUNTIF($B35:$H35,"&gt;4"),COUNTIF($B35:$H35,"&gt;4"))</f>
        <v>0</v>
      </c>
      <c r="B28" s="237"/>
    </row>
    <row r="29" spans="1:3">
      <c r="A29" s="476"/>
    </row>
    <row r="30" spans="1:3">
      <c r="A30" s="477">
        <f>(IF($E$6="Male",COUNTIF($B38:$H38,"&gt;4"),COUNTIF($B38:$H38,"&gt;4")))</f>
        <v>0</v>
      </c>
      <c r="B30" s="237"/>
    </row>
    <row r="31" spans="1:3">
      <c r="A31" s="476"/>
    </row>
    <row r="32" spans="1:3">
      <c r="A32" s="477">
        <f>(IF($E$6="Male",COUNTIF($B41:$H41,"&gt;4"),COUNTIF($B41:$H41,"&gt;4")))</f>
        <v>0</v>
      </c>
      <c r="B32" s="237" t="s">
        <v>619</v>
      </c>
      <c r="C32" s="96" t="s">
        <v>601</v>
      </c>
    </row>
    <row r="33" spans="1:3">
      <c r="A33" s="476"/>
    </row>
    <row r="34" spans="1:3">
      <c r="A34" s="477">
        <f>(IF($E$6="Male",COUNTIF($B44:$H44,"&gt;4"),COUNTIF($B44:$H44,"&gt;4")))</f>
        <v>0</v>
      </c>
      <c r="B34" s="237"/>
      <c r="C34" s="96"/>
    </row>
    <row r="35" spans="1:3">
      <c r="A35" s="476"/>
      <c r="B35" t="s">
        <v>620</v>
      </c>
      <c r="C35" s="96" t="s">
        <v>601</v>
      </c>
    </row>
    <row r="36" spans="1:3">
      <c r="A36" s="478">
        <v>0</v>
      </c>
      <c r="B36" s="237"/>
    </row>
    <row r="37" spans="1:3">
      <c r="A37" s="479"/>
    </row>
    <row r="38" spans="1:3">
      <c r="A38" s="307"/>
      <c r="B38" t="s">
        <v>621</v>
      </c>
      <c r="C38" s="96" t="s">
        <v>601</v>
      </c>
    </row>
    <row r="39" spans="1:3">
      <c r="A39" s="307"/>
    </row>
    <row r="40" spans="1:3">
      <c r="A40" s="307"/>
    </row>
    <row r="41" spans="1:3">
      <c r="A41" s="476" t="str">
        <f>IF($E$6="Male","heavydrinkdays (&gt;5)","heavydrinkdays (&gt;4)")</f>
        <v>heavydrinkdays (&gt;4)</v>
      </c>
      <c r="B41" t="s">
        <v>622</v>
      </c>
      <c r="C41" s="96" t="s">
        <v>601</v>
      </c>
    </row>
    <row r="42" spans="1:3">
      <c r="A42" s="480" t="e">
        <f>(IF(#REF!=1,COUNTIF($B53:$H53,"&gt;4"),COUNTIF($B53:$H53,"&gt;=4")))</f>
        <v>#REF!</v>
      </c>
      <c r="B42" s="237"/>
    </row>
    <row r="43" spans="1:3">
      <c r="A43" s="481"/>
    </row>
    <row r="44" spans="1:3">
      <c r="A44" s="480" t="e">
        <f>(IF(#REF!=1,COUNTIF($B56:$H56,"&gt;4"),COUNTIF($B56:$H56,"&gt;=4")))</f>
        <v>#REF!</v>
      </c>
      <c r="B44" s="237" t="s">
        <v>623</v>
      </c>
      <c r="C44" s="96" t="s">
        <v>601</v>
      </c>
    </row>
    <row r="45" spans="1:3">
      <c r="A45" s="481"/>
    </row>
    <row r="46" spans="1:3">
      <c r="A46" s="480" t="e">
        <f>(IF(#REF!=1,COUNTIF($B59:$H59,"&gt;4"),COUNTIF($B59:$H59,"&gt;=4")))</f>
        <v>#REF!</v>
      </c>
      <c r="B46" s="237"/>
    </row>
    <row r="47" spans="1:3">
      <c r="A47" s="481"/>
    </row>
    <row r="48" spans="1:3">
      <c r="A48" s="480" t="e">
        <f>(IF(#REF!=1,COUNTIF($B62:$H62,"&gt;4"),COUNTIF($B62:$H62,"&gt;=4")))</f>
        <v>#REF!</v>
      </c>
      <c r="B48" s="237"/>
    </row>
    <row r="49" spans="1:3">
      <c r="A49" s="481"/>
    </row>
    <row r="50" spans="1:3">
      <c r="A50" s="480" t="e">
        <f>(IF(#REF!=1,COUNTIF($B65:$H65,"&gt;4"),COUNTIF($B65:$H65,"&gt;=4")))</f>
        <v>#REF!</v>
      </c>
      <c r="B50" s="237"/>
    </row>
    <row r="51" spans="1:3">
      <c r="A51" s="481"/>
      <c r="B51" t="str">
        <f>IF($E$6="Male","heavydrinkdays (&gt;4)","heavydrinkdays (&gt;3)")</f>
        <v>heavydrinkdays (&gt;3)</v>
      </c>
    </row>
    <row r="52" spans="1:3">
      <c r="A52" s="478">
        <v>0</v>
      </c>
      <c r="B52" s="237"/>
    </row>
    <row r="53" spans="1:3">
      <c r="A53" s="479"/>
      <c r="B53" t="s">
        <v>607</v>
      </c>
      <c r="C53" s="96" t="s">
        <v>602</v>
      </c>
    </row>
    <row r="54" spans="1:3">
      <c r="A54" s="307"/>
    </row>
    <row r="55" spans="1:3">
      <c r="A55" s="307"/>
    </row>
    <row r="56" spans="1:3">
      <c r="A56" s="307"/>
      <c r="B56" t="s">
        <v>606</v>
      </c>
      <c r="C56" s="96" t="s">
        <v>602</v>
      </c>
    </row>
    <row r="57" spans="1:3">
      <c r="A57" s="476" t="str">
        <f>IF($E$6="Male","heavydrinkdays (&gt;5)","heavydrinkdays (&gt;4)")</f>
        <v>heavydrinkdays (&gt;4)</v>
      </c>
    </row>
    <row r="58" spans="1:3">
      <c r="A58" s="480" t="e">
        <f>(IF(#REF!=1,COUNTIF($B74:$H74,"&gt;4"),COUNTIF($B74:$H74,"&gt;=4")))</f>
        <v>#REF!</v>
      </c>
      <c r="B58" s="237"/>
    </row>
    <row r="59" spans="1:3">
      <c r="A59" s="481"/>
      <c r="B59" t="s">
        <v>605</v>
      </c>
      <c r="C59" s="96" t="s">
        <v>602</v>
      </c>
    </row>
    <row r="60" spans="1:3">
      <c r="A60" s="480" t="e">
        <f>(IF(#REF!=1,COUNTIF($B77:$H77,"&gt;4"),COUNTIF($B77:$H77,"&gt;=4")))</f>
        <v>#REF!</v>
      </c>
      <c r="B60" s="237"/>
    </row>
    <row r="61" spans="1:3">
      <c r="A61" s="481"/>
    </row>
    <row r="62" spans="1:3">
      <c r="A62" s="480" t="e">
        <f>(IF(#REF!=1,COUNTIF($B80:$H80,"&gt;4"),COUNTIF($B80:$H80,"&gt;=4")))</f>
        <v>#REF!</v>
      </c>
      <c r="B62" s="237" t="s">
        <v>608</v>
      </c>
      <c r="C62" s="96" t="s">
        <v>602</v>
      </c>
    </row>
    <row r="63" spans="1:3">
      <c r="A63" s="481"/>
    </row>
    <row r="64" spans="1:3">
      <c r="A64" s="480" t="e">
        <f>(IF(#REF!=1,COUNTIF($B83:$H83,"&gt;4"),COUNTIF($B83:$H83,"&gt;=4")))</f>
        <v>#REF!</v>
      </c>
      <c r="B64" s="237"/>
    </row>
    <row r="65" spans="1:3">
      <c r="A65" s="481"/>
      <c r="B65" t="s">
        <v>604</v>
      </c>
      <c r="C65" s="96" t="s">
        <v>602</v>
      </c>
    </row>
    <row r="66" spans="1:3">
      <c r="A66" s="480" t="e">
        <f>(IF(#REF!=1,COUNTIF($B86:$H86,"&gt;4"),COUNTIF($B86:$H86,"&gt;=4")))</f>
        <v>#REF!</v>
      </c>
      <c r="B66" s="237"/>
    </row>
    <row r="67" spans="1:3">
      <c r="A67" s="481"/>
    </row>
    <row r="68" spans="1:3" ht="13.5" thickBot="1">
      <c r="A68" s="482">
        <v>0</v>
      </c>
      <c r="B68" s="237">
        <v>0</v>
      </c>
      <c r="C68" s="96" t="s">
        <v>602</v>
      </c>
    </row>
    <row r="72" spans="1:3">
      <c r="B72" t="str">
        <f>IF($E$6="Male","heavydrinkdays (&gt;4)","heavydrinkdays (&gt;3)")</f>
        <v>heavydrinkdays (&gt;3)</v>
      </c>
    </row>
    <row r="74" spans="1:3">
      <c r="B74" t="s">
        <v>609</v>
      </c>
      <c r="C74" s="96" t="s">
        <v>602</v>
      </c>
    </row>
    <row r="77" spans="1:3">
      <c r="B77" t="s">
        <v>610</v>
      </c>
      <c r="C77" s="96" t="s">
        <v>602</v>
      </c>
    </row>
    <row r="80" spans="1:3">
      <c r="B80" t="s">
        <v>611</v>
      </c>
      <c r="C80" s="96" t="s">
        <v>602</v>
      </c>
    </row>
    <row r="83" spans="2:3">
      <c r="B83" t="s">
        <v>612</v>
      </c>
      <c r="C83" s="96" t="s">
        <v>602</v>
      </c>
    </row>
    <row r="86" spans="2:3">
      <c r="B86" t="s">
        <v>613</v>
      </c>
      <c r="C86" s="96" t="s">
        <v>602</v>
      </c>
    </row>
  </sheetData>
  <sheetProtection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Instructions</vt:lpstr>
      <vt:lpstr>TLFB data</vt:lpstr>
      <vt:lpstr>Lifetime</vt:lpstr>
      <vt:lpstr>Exposure Summary</vt:lpstr>
      <vt:lpstr>Settings-Do not Adjust</vt:lpstr>
      <vt:lpstr>Lists</vt:lpstr>
      <vt:lpstr>Versions</vt:lpstr>
      <vt:lpstr>Coding revision 20170310</vt:lpstr>
      <vt:lpstr>Ages</vt:lpstr>
      <vt:lpstr>Alcohol</vt:lpstr>
      <vt:lpstr>Alcohol1</vt:lpstr>
      <vt:lpstr>daysInMonth</vt:lpstr>
      <vt:lpstr>month</vt:lpstr>
      <vt:lpstr>monthName</vt:lpstr>
      <vt:lpstr>monthNames</vt:lpstr>
      <vt:lpstr>Instructions!Print_Area</vt:lpstr>
      <vt:lpstr>'TLFB data'!Print_Area</vt:lpstr>
      <vt:lpstr>Qty</vt:lpstr>
      <vt:lpstr>rgb_13</vt:lpstr>
      <vt:lpstr>rgb_13hex</vt:lpstr>
      <vt:lpstr>rgb_39</vt:lpstr>
      <vt:lpstr>rgb_39hex</vt:lpstr>
      <vt:lpstr>rgb_40</vt:lpstr>
      <vt:lpstr>rgb_40hex</vt:lpstr>
      <vt:lpstr>rgb_44</vt:lpstr>
      <vt:lpstr>rgb_44hex</vt:lpstr>
      <vt:lpstr>rgb_45</vt:lpstr>
      <vt:lpstr>rgb_45hex</vt:lpstr>
      <vt:lpstr>rgb_46</vt:lpstr>
      <vt:lpstr>rgb_46hex</vt:lpstr>
      <vt:lpstr>rgb_47</vt:lpstr>
      <vt:lpstr>rgb_47hex</vt:lpstr>
      <vt:lpstr>rgb_53</vt:lpstr>
      <vt:lpstr>rgb_53hex</vt:lpstr>
      <vt:lpstr>rgb_54</vt:lpstr>
      <vt:lpstr>rgb_54hex</vt:lpstr>
      <vt:lpstr>rgb_55</vt:lpstr>
      <vt:lpstr>rgb_55hex</vt:lpstr>
      <vt:lpstr>startDate</vt:lpstr>
      <vt:lpstr>startDayOfWeek</vt:lpstr>
      <vt:lpstr>thisMonth</vt:lpstr>
      <vt:lpstr>thisMonthName</vt:lpstr>
      <vt:lpstr>thisYear</vt:lpstr>
      <vt:lpstr>weekday</vt:lpstr>
      <vt:lpstr>WeekNo</vt:lpstr>
      <vt:lpstr>year</vt:lpstr>
      <vt:lpstr>Years</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Timeline Followback Template</dc:title>
  <dc:subject>Alcoholism</dc:subject>
  <dc:creator>Joseph</dc:creator>
  <dc:description>This is a measuring device used to evaluate the behaviors of those who drink alcohol and to provide feedback on how much they spend and how many calories they consume.</dc:description>
  <cp:lastModifiedBy>Hays, James M</cp:lastModifiedBy>
  <cp:lastPrinted>2013-09-06T18:58:26Z</cp:lastPrinted>
  <dcterms:created xsi:type="dcterms:W3CDTF">2003-10-24T07:59:35Z</dcterms:created>
  <dcterms:modified xsi:type="dcterms:W3CDTF">2018-04-26T18:24:37Z</dcterms:modified>
  <cp:category>Alcohol</cp:category>
</cp:coreProperties>
</file>