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lauret\Google Drive\Projects\Python Projects\Current Projects\Automator_3\packages\metrics\"/>
    </mc:Choice>
  </mc:AlternateContent>
  <xr:revisionPtr revIDLastSave="0" documentId="8_{BBD1C09E-CA45-46A6-9B95-D0FA0073E699}" xr6:coauthVersionLast="36" xr6:coauthVersionMax="36" xr10:uidLastSave="{00000000-0000-0000-0000-000000000000}"/>
  <bookViews>
    <workbookView xWindow="0" yWindow="0" windowWidth="24000" windowHeight="9525" xr2:uid="{4981D5CF-7E1D-4BE3-AE5B-8B3D25E42BD3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9" i="1"/>
  <c r="B18" i="1"/>
  <c r="B20" i="1"/>
  <c r="C18" i="1"/>
  <c r="D18" i="1"/>
  <c r="E18" i="1"/>
  <c r="F18" i="1"/>
  <c r="F25" i="1"/>
  <c r="F29" i="1"/>
  <c r="F30" i="1"/>
  <c r="F28" i="1"/>
  <c r="F27" i="1"/>
  <c r="F26" i="1"/>
  <c r="E25" i="1"/>
  <c r="E29" i="1"/>
  <c r="E30" i="1"/>
  <c r="E28" i="1"/>
  <c r="E27" i="1"/>
  <c r="E26" i="1"/>
  <c r="D25" i="1"/>
  <c r="D29" i="1"/>
  <c r="D30" i="1"/>
  <c r="D28" i="1"/>
  <c r="D27" i="1"/>
  <c r="D26" i="1"/>
  <c r="C25" i="1"/>
  <c r="C29" i="1"/>
  <c r="C30" i="1"/>
  <c r="C28" i="1"/>
  <c r="C27" i="1"/>
  <c r="C26" i="1"/>
  <c r="F17" i="1"/>
  <c r="F19" i="1"/>
  <c r="F20" i="1"/>
  <c r="E17" i="1"/>
  <c r="E19" i="1"/>
  <c r="E20" i="1"/>
  <c r="D17" i="1"/>
  <c r="D19" i="1"/>
  <c r="D20" i="1"/>
  <c r="C20" i="1"/>
  <c r="C19" i="1"/>
  <c r="C17" i="1"/>
  <c r="B26" i="1"/>
  <c r="B27" i="1"/>
  <c r="B28" i="1"/>
  <c r="B30" i="1"/>
  <c r="B29" i="1"/>
  <c r="B25" i="1"/>
  <c r="D21" i="1" l="1"/>
  <c r="C21" i="1"/>
  <c r="E21" i="1"/>
  <c r="F21" i="1"/>
  <c r="E31" i="1"/>
  <c r="F31" i="1"/>
  <c r="D31" i="1"/>
  <c r="C31" i="1"/>
  <c r="F13" i="1"/>
  <c r="E13" i="1"/>
  <c r="D13" i="1"/>
  <c r="C13" i="1"/>
</calcChain>
</file>

<file path=xl/sharedStrings.xml><?xml version="1.0" encoding="utf-8"?>
<sst xmlns="http://schemas.openxmlformats.org/spreadsheetml/2006/main" count="55" uniqueCount="24">
  <si>
    <t>Mack</t>
  </si>
  <si>
    <t>JD</t>
  </si>
  <si>
    <t>Gavin</t>
  </si>
  <si>
    <t>Grace</t>
  </si>
  <si>
    <t>Landon</t>
  </si>
  <si>
    <t>Matthew Keeler</t>
  </si>
  <si>
    <t>APPROX PAY/HOUR</t>
  </si>
  <si>
    <t>Daniel Provoste</t>
  </si>
  <si>
    <t>Total</t>
  </si>
  <si>
    <t>HOURS SAVED/WEEK</t>
  </si>
  <si>
    <t>COST SAVED/WEEK</t>
  </si>
  <si>
    <t>SAVINGS/YEAR</t>
  </si>
  <si>
    <t>DEPARTMENT</t>
  </si>
  <si>
    <t>BA/PMO</t>
  </si>
  <si>
    <t>Performance</t>
  </si>
  <si>
    <t>AVERAGE PAY/DEPT.</t>
  </si>
  <si>
    <t>Sales Concierge</t>
  </si>
  <si>
    <t>By Task Owner and Department</t>
  </si>
  <si>
    <t>By Department</t>
  </si>
  <si>
    <t>Click</t>
  </si>
  <si>
    <t>TASK OWNERS</t>
  </si>
  <si>
    <t>By Employee</t>
  </si>
  <si>
    <t>Business Analysts</t>
  </si>
  <si>
    <t>HOURS SAVED/YEAR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</si>
</sst>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NumberFormat="1" applyFont="1"/>
    <xf numFmtId="44" fontId="0" fillId="0" borderId="0" xfId="0" applyNumberFormat="1"/>
    <xf numFmtId="0" fontId="1" fillId="0" borderId="0" xfId="0" applyNumberFormat="1" applyFont="1"/>
    <xf numFmtId="44" fontId="1" fillId="0" borderId="0" xfId="0" applyNumberFormat="1" applyFont="1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center"/>
    </xf>
    <xf numFmtId="44" fontId="1" fillId="0" borderId="0" xfId="1" applyFont="1"/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5999938962981048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1A2E6-AE46-4E21-8659-D70C84C988F3}" name="Table1" displayName="Table1" ref="A2:G13" totalsRowCount="1">
  <autoFilter ref="A2:G12" xr:uid="{7F8D8D68-186A-4941-A45E-971DE968C76D}"/>
  <sortState ref="A3:G12">
    <sortCondition ref="A2:A12"/>
  </sortState>
  <tableColumns count="7">
    <tableColumn id="1" xr3:uid="{625EB3D7-E8CB-4B85-AB50-561234D77F88}" name="TASK OWNERS" totalsRowLabel="Total"/>
    <tableColumn id="2" xr3:uid="{B46A3373-23BA-41D8-BC18-91990ED13F20}" name="APPROX PAY/HOUR" dataDxfId="31" totalsRowDxfId="30" dataCellStyle="Currency"/>
    <tableColumn id="3" xr3:uid="{3522A3AF-BBFF-47E7-8A94-4E090A8B8BD9}" name="HOURS SAVED/WEEK" totalsRowFunction="custom" dataDxfId="29">
      <totalsRowFormula>SUM(Table1[HOURS SAVED/WEEK])</totalsRowFormula>
    </tableColumn>
    <tableColumn id="4" xr3:uid="{98ABE13A-907B-4573-BD1A-884C75783D06}" name="COST SAVED/WEEK" totalsRowFunction="custom" dataDxfId="28" totalsRowDxfId="27" dataCellStyle="Currency" totalsRowCellStyle="Currency">
      <totalsRowFormula>SUM(Table1[COST SAVED/WEEK])</totalsRowFormula>
    </tableColumn>
    <tableColumn id="5" xr3:uid="{521A4E09-BCC8-4D4C-84F6-EA3C67A3A153}" name="HOURS SAVED/YEAR" totalsRowFunction="custom" dataDxfId="26">
      <totalsRowFormula>SUM(Table1[HOURS SAVED/YEAR])</totalsRowFormula>
    </tableColumn>
    <tableColumn id="6" xr3:uid="{FF410F88-56CB-4EF0-B020-50063D6BD906}" name="SAVINGS/YEAR" totalsRowFunction="custom" dataDxfId="25" totalsRowDxfId="24" dataCellStyle="Currency" totalsRowCellStyle="Currency">
      <totalsRowFormula>SUM(Table1[SAVINGS/YEAR])</totalsRowFormula>
    </tableColumn>
    <tableColumn id="7" xr3:uid="{4163E53F-5CCF-4CAF-83B8-BE497B44184B}" name="DEPARTMENT"/>
  </tableColumns>
  <tableStyleInfo name="TableStyleDark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C994B-79FD-4619-B6DB-E88A24FE376A}" name="Table2" displayName="Table2" ref="A16:F21" totalsRowCount="1" dataDxfId="23" dataCellStyle="Currency">
  <autoFilter ref="A16:F20" xr:uid="{D0A39A65-6AE3-4BCC-9380-D3AD581AF1B3}"/>
  <sortState ref="A17:F20">
    <sortCondition ref="A16:A20"/>
  </sortState>
  <tableColumns count="6">
    <tableColumn id="1" xr3:uid="{97734CA6-CBC0-4120-B38C-79E28058CF39}" name="DEPARTMENT" totalsRowLabel="Total" dataDxfId="22"/>
    <tableColumn id="2" xr3:uid="{3470C167-9420-47C3-A83E-F5143ABB52F0}" name="AVERAGE PAY/DEPT." dataDxfId="21" totalsRowDxfId="20" dataCellStyle="Currency">
      <calculatedColumnFormula>AVERAGEIF(Table1[DEPARTMENT],Table2[[#This Row],[DEPARTMENT]],Table1[APPROX PAY/HOUR])</calculatedColumnFormula>
    </tableColumn>
    <tableColumn id="3" xr3:uid="{276F22AA-6334-471E-B317-2C7047DC2E60}" name="HOURS SAVED/WEEK" totalsRowFunction="sum" dataDxfId="19">
      <calculatedColumnFormula>SUMIF(Table1[DEPARTMENT],Table2[[#This Row],[DEPARTMENT]],Table1[HOURS SAVED/WEEK])</calculatedColumnFormula>
    </tableColumn>
    <tableColumn id="4" xr3:uid="{FFAE5CC7-79C9-4F03-8185-D1F311476AAF}" name="COST SAVED/WEEK" totalsRowFunction="sum" dataDxfId="18" totalsRowDxfId="17" dataCellStyle="Currency">
      <calculatedColumnFormula>SUMIF(Table1[DEPARTMENT],Table2[[#This Row],[DEPARTMENT]],Table1[COST SAVED/WEEK])</calculatedColumnFormula>
    </tableColumn>
    <tableColumn id="5" xr3:uid="{B32A74F9-1FE2-4846-989D-57AA12ED1EE2}" name="HOURS SAVED/YEAR" totalsRowFunction="sum" dataDxfId="16">
      <calculatedColumnFormula>SUMIF(Table1[DEPARTMENT],Table2[[#This Row],[DEPARTMENT]],Table1[HOURS SAVED/YEAR])</calculatedColumnFormula>
    </tableColumn>
    <tableColumn id="6" xr3:uid="{EF075AD8-2992-4893-8BE2-D54733A88B93}" name="SAVINGS/YEAR" totalsRowFunction="sum" dataDxfId="15" totalsRowDxfId="14" dataCellStyle="Currency">
      <calculatedColumnFormula>SUMIF(Table1[DEPARTMENT],Table2[[#This Row],[DEPARTMENT]],Table1[SAVINGS/YEAR])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F59E18-9BCA-4CF8-ABE1-90B4BA1248B2}" name="Table3" displayName="Table3" ref="A24:F31" totalsRowCount="1" headerRowDxfId="13" dataDxfId="12" dataCellStyle="Currency">
  <autoFilter ref="A24:F30" xr:uid="{B2AF2199-068F-41C2-A776-0ACB7FDE0D37}"/>
  <sortState ref="A25:F30">
    <sortCondition ref="A24:A30"/>
  </sortState>
  <tableColumns count="6">
    <tableColumn id="1" xr3:uid="{750CBEA4-80AF-4E0D-8CEF-A473AF2390BE}" name="Business Analysts" totalsRowLabel="Total" dataDxfId="11" totalsRowDxfId="10"/>
    <tableColumn id="2" xr3:uid="{280EBF5A-3996-4E6F-9C24-CFD5201EB2C3}" name="APPROX PAY/HOUR" dataDxfId="9" totalsRowDxfId="8" dataCellStyle="Currency" totalsRowCellStyle="Currency">
      <calculatedColumnFormula>VLOOKUP(A25,Table1[[TASK OWNERS]:[SAVINGS/YEAR]],2,FALSE)</calculatedColumnFormula>
    </tableColumn>
    <tableColumn id="3" xr3:uid="{DF832E76-AA01-4891-A7C9-1D89F7909A9D}" name="HOURS SAVED/WEEK" totalsRowFunction="sum" dataDxfId="7" totalsRowDxfId="6">
      <calculatedColumnFormula>SUMIF(Table1[TASK OWNERS],Table3[[#This Row],[Business Analysts]],Table1[HOURS SAVED/WEEK])</calculatedColumnFormula>
    </tableColumn>
    <tableColumn id="4" xr3:uid="{4549992A-954B-461F-A5BA-D8955FC4EEE7}" name="COST SAVED/WEEK" totalsRowFunction="sum" dataDxfId="5" totalsRowDxfId="4" dataCellStyle="Currency" totalsRowCellStyle="Currency">
      <calculatedColumnFormula>SUMIF(Table1[TASK OWNERS],Table3[[#This Row],[Business Analysts]],Table1[COST SAVED/WEEK])</calculatedColumnFormula>
    </tableColumn>
    <tableColumn id="5" xr3:uid="{171E26C5-17F3-4B56-9FF5-10B8AD4FB7B4}" name="HOURS SAVED/YEAR" totalsRowFunction="sum" dataDxfId="3" totalsRowDxfId="2">
      <calculatedColumnFormula>SUMIF(Table1[TASK OWNERS],Table3[[#This Row],[Business Analysts]],Table1[HOURS SAVED/YEAR])</calculatedColumnFormula>
    </tableColumn>
    <tableColumn id="6" xr3:uid="{7CB11D42-CC0C-4A1A-A042-397366C8CE32}" name="SAVINGS/YEAR" totalsRowFunction="sum" dataDxfId="1" totalsRowDxfId="0" dataCellStyle="Currency" totalsRowCellStyle="Currency">
      <calculatedColumnFormula>SUMIF(Table1[TASK OWNERS],Table3[[#This Row],[Business Analysts]],Table1[SAVINGS/YEAR])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AC7D-B439-4D0B-B3B9-474BABAD2826}">
  <dimension ref="A1:N43"/>
  <sheetViews>
    <sheetView showGridLines="0" tabSelected="1" workbookViewId="0">
      <selection activeCell="D14" sqref="D14"/>
    </sheetView>
  </sheetViews>
  <sheetFormatPr defaultColWidth="0" defaultRowHeight="15" zeroHeight="1" x14ac:dyDescent="0.25"/>
  <cols>
    <col min="1" max="1" width="18.7109375" customWidth="1"/>
    <col min="2" max="2" width="21.5703125" bestFit="1" customWidth="1"/>
    <col min="3" max="3" width="21.85546875" bestFit="1" customWidth="1"/>
    <col min="4" max="4" width="20.28515625" bestFit="1" customWidth="1"/>
    <col min="5" max="5" width="20.85546875" customWidth="1"/>
    <col min="6" max="6" width="16.5703125" bestFit="1" customWidth="1"/>
    <col min="7" max="7" width="15.5703125" bestFit="1" customWidth="1"/>
    <col min="8" max="8" width="2.140625" customWidth="1"/>
    <col min="9" max="9" width="15.140625" hidden="1" customWidth="1"/>
    <col min="10" max="10" width="21.140625" hidden="1" customWidth="1"/>
    <col min="11" max="11" width="21.42578125" hidden="1" customWidth="1"/>
    <col min="12" max="12" width="19.85546875" hidden="1" customWidth="1"/>
    <col min="13" max="13" width="19.5703125" hidden="1" customWidth="1"/>
    <col min="14" max="14" width="16.28515625" hidden="1" customWidth="1"/>
    <col min="15" max="16384" width="9.140625" hidden="1"/>
  </cols>
  <sheetData>
    <row r="1" spans="1:8" ht="22.5" customHeight="1" x14ac:dyDescent="0.35">
      <c r="A1" s="16" t="s">
        <v>17</v>
      </c>
      <c r="B1" s="16"/>
      <c r="C1" s="16"/>
      <c r="D1" s="16"/>
      <c r="E1" s="16"/>
      <c r="F1" s="16"/>
      <c r="G1" s="11"/>
      <c r="H1" s="9"/>
    </row>
    <row r="2" spans="1:8" ht="16.5" customHeight="1" x14ac:dyDescent="0.25">
      <c r="A2" t="s">
        <v>20</v>
      </c>
      <c r="B2" t="s">
        <v>6</v>
      </c>
      <c r="C2" t="s">
        <v>9</v>
      </c>
      <c r="D2" t="s">
        <v>10</v>
      </c>
      <c r="E2" t="s">
        <v>23</v>
      </c>
      <c r="F2" t="s">
        <v>11</v>
      </c>
      <c r="G2" t="s">
        <v>12</v>
      </c>
      <c r="H2" s="10"/>
    </row>
    <row r="3" spans="1:8" ht="16.5" customHeight="1" x14ac:dyDescent="0.25">
      <c r="A3" t="s">
        <v>2</v>
      </c>
      <c r="B3" s="13">
        <v>21</v>
      </c>
      <c r="C3" s="14">
        <v>6.05</v>
      </c>
      <c r="D3" s="13">
        <v>127.05</v>
      </c>
      <c r="E3" s="14">
        <v>314.60000000000002</v>
      </c>
      <c r="F3" s="13">
        <v>6606.6</v>
      </c>
      <c r="G3" t="s">
        <v>13</v>
      </c>
      <c r="H3" s="10"/>
    </row>
    <row r="4" spans="1:8" ht="16.5" customHeight="1" x14ac:dyDescent="0.25">
      <c r="A4" t="s">
        <v>0</v>
      </c>
      <c r="B4" s="13">
        <v>21</v>
      </c>
      <c r="C4" s="14">
        <v>29.35</v>
      </c>
      <c r="D4" s="13">
        <v>616.35</v>
      </c>
      <c r="E4" s="14">
        <v>1526.2</v>
      </c>
      <c r="F4" s="13">
        <v>32050.2</v>
      </c>
      <c r="G4" t="s">
        <v>13</v>
      </c>
      <c r="H4" s="10"/>
    </row>
    <row r="5" spans="1:8" ht="16.5" customHeight="1" x14ac:dyDescent="0.25">
      <c r="A5" t="s">
        <v>5</v>
      </c>
      <c r="B5" s="13">
        <v>17</v>
      </c>
      <c r="C5" s="14">
        <v>25.17</v>
      </c>
      <c r="D5" s="13">
        <v>427.89</v>
      </c>
      <c r="E5" s="14">
        <v>1308.8399999999999</v>
      </c>
      <c r="F5" s="13">
        <v>22250.28</v>
      </c>
      <c r="G5" t="s">
        <v>13</v>
      </c>
      <c r="H5" s="10"/>
    </row>
    <row r="6" spans="1:8" ht="16.5" customHeight="1" x14ac:dyDescent="0.25">
      <c r="A6" t="s">
        <v>4</v>
      </c>
      <c r="B6" s="13">
        <v>26</v>
      </c>
      <c r="C6" s="14">
        <v>6.81</v>
      </c>
      <c r="D6" s="13">
        <v>177.06</v>
      </c>
      <c r="E6" s="14">
        <v>354.12</v>
      </c>
      <c r="F6" s="13">
        <v>9207.1200000000008</v>
      </c>
      <c r="G6" t="s">
        <v>13</v>
      </c>
      <c r="H6" s="10"/>
    </row>
    <row r="7" spans="1:8" ht="16.5" customHeight="1" x14ac:dyDescent="0.25">
      <c r="A7" t="s">
        <v>1</v>
      </c>
      <c r="B7" s="13">
        <v>21</v>
      </c>
      <c r="C7" s="14">
        <v>33.340000000000003</v>
      </c>
      <c r="D7" s="13">
        <v>700.14</v>
      </c>
      <c r="E7" s="14">
        <v>1733.68</v>
      </c>
      <c r="F7" s="13">
        <v>36407.279999999999</v>
      </c>
      <c r="G7" t="s">
        <v>13</v>
      </c>
      <c r="H7" s="10"/>
    </row>
    <row r="8" spans="1:8" ht="16.5" customHeight="1" x14ac:dyDescent="0.25">
      <c r="A8" t="s">
        <v>7</v>
      </c>
      <c r="B8" s="13">
        <v>15</v>
      </c>
      <c r="C8" s="14">
        <v>0.56000000000000005</v>
      </c>
      <c r="D8" s="13">
        <v>8.4</v>
      </c>
      <c r="E8" s="14">
        <v>29.12</v>
      </c>
      <c r="F8" s="13">
        <v>436.8</v>
      </c>
      <c r="G8" t="s">
        <v>14</v>
      </c>
      <c r="H8" s="10"/>
    </row>
    <row r="9" spans="1:8" ht="16.5" customHeight="1" x14ac:dyDescent="0.25">
      <c r="A9" t="s">
        <v>4</v>
      </c>
      <c r="B9" s="13">
        <v>26</v>
      </c>
      <c r="C9" s="14">
        <v>0.04</v>
      </c>
      <c r="D9" s="13">
        <v>1.04</v>
      </c>
      <c r="E9" s="14">
        <v>2.08</v>
      </c>
      <c r="F9" s="13">
        <v>54.08</v>
      </c>
      <c r="G9" t="s">
        <v>16</v>
      </c>
      <c r="H9" s="10"/>
    </row>
    <row r="10" spans="1:8" ht="16.5" customHeight="1" x14ac:dyDescent="0.25">
      <c r="A10" t="s">
        <v>1</v>
      </c>
      <c r="B10" s="13">
        <v>21</v>
      </c>
      <c r="C10" s="14">
        <v>0.84</v>
      </c>
      <c r="D10" s="13">
        <v>17.64</v>
      </c>
      <c r="E10" s="14">
        <v>43.68</v>
      </c>
      <c r="F10" s="13">
        <v>917.28</v>
      </c>
      <c r="G10" t="s">
        <v>19</v>
      </c>
      <c r="H10" s="10"/>
    </row>
    <row r="11" spans="1:8" ht="16.5" customHeight="1" x14ac:dyDescent="0.25">
      <c r="A11" t="s">
        <v>3</v>
      </c>
      <c r="B11" s="13">
        <v>17</v>
      </c>
      <c r="C11" s="14">
        <v>0.89</v>
      </c>
      <c r="D11" s="13">
        <v>15.13</v>
      </c>
      <c r="E11" s="14">
        <v>46.28</v>
      </c>
      <c r="F11" s="13">
        <v>786.76</v>
      </c>
      <c r="G11" t="s">
        <v>13</v>
      </c>
      <c r="H11" s="10"/>
    </row>
    <row r="12" spans="1:8" ht="16.5" customHeight="1" x14ac:dyDescent="0.25">
      <c r="A12" t="s">
        <v>4</v>
      </c>
      <c r="B12" s="13">
        <v>26</v>
      </c>
      <c r="C12" s="14">
        <v>0.08</v>
      </c>
      <c r="D12" s="13">
        <v>2.08</v>
      </c>
      <c r="E12" s="14">
        <v>4.16</v>
      </c>
      <c r="F12" s="13">
        <v>108.16</v>
      </c>
      <c r="G12" t="s">
        <v>14</v>
      </c>
      <c r="H12" s="10"/>
    </row>
    <row r="13" spans="1:8" ht="16.5" customHeight="1" x14ac:dyDescent="0.25">
      <c r="A13" t="s">
        <v>8</v>
      </c>
      <c r="B13" s="15"/>
      <c r="C13" s="14">
        <f>SUM(Table1[HOURS SAVED/WEEK])</f>
        <v>103.13000000000001</v>
      </c>
      <c r="D13" s="13">
        <f>SUM(Table1[COST SAVED/WEEK])</f>
        <v>2092.7799999999997</v>
      </c>
      <c r="E13" s="14">
        <f>SUM(Table1[HOURS SAVED/YEAR])</f>
        <v>5362.76</v>
      </c>
      <c r="F13" s="13">
        <f>SUM(Table1[SAVINGS/YEAR])</f>
        <v>108824.56</v>
      </c>
      <c r="H13" s="10"/>
    </row>
    <row r="14" spans="1:8" ht="16.5" customHeight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22.5" customHeight="1" x14ac:dyDescent="0.35">
      <c r="A15" s="16" t="s">
        <v>18</v>
      </c>
      <c r="B15" s="16"/>
      <c r="C15" s="16"/>
      <c r="D15" s="16"/>
      <c r="E15" s="16"/>
      <c r="F15" s="16"/>
      <c r="G15" s="10"/>
      <c r="H15" s="10"/>
    </row>
    <row r="16" spans="1:8" ht="16.5" customHeight="1" x14ac:dyDescent="0.25">
      <c r="A16" t="s">
        <v>12</v>
      </c>
      <c r="B16" t="s">
        <v>15</v>
      </c>
      <c r="C16" t="s">
        <v>9</v>
      </c>
      <c r="D16" t="s">
        <v>10</v>
      </c>
      <c r="E16" t="s">
        <v>23</v>
      </c>
      <c r="F16" t="s">
        <v>11</v>
      </c>
      <c r="G16" s="10"/>
      <c r="H16" s="10"/>
    </row>
    <row r="17" spans="1:8" ht="16.5" customHeight="1" x14ac:dyDescent="0.25">
      <c r="A17" s="4" t="s">
        <v>13</v>
      </c>
      <c r="B17" s="1">
        <f>AVERAGEIF(Table1[DEPARTMENT],Table2[[#This Row],[DEPARTMENT]],Table1[APPROX PAY/HOUR])</f>
        <v>20.5</v>
      </c>
      <c r="C17" s="2">
        <f>SUMIF(Table1[DEPARTMENT],Table2[[#This Row],[DEPARTMENT]],Table1[HOURS SAVED/WEEK])</f>
        <v>101.61</v>
      </c>
      <c r="D17" s="1">
        <f>SUMIF(Table1[DEPARTMENT],Table2[[#This Row],[DEPARTMENT]],Table1[COST SAVED/WEEK])</f>
        <v>2063.62</v>
      </c>
      <c r="E17" s="2">
        <f>SUMIF(Table1[DEPARTMENT],Table2[[#This Row],[DEPARTMENT]],Table1[HOURS SAVED/YEAR])</f>
        <v>5283.72</v>
      </c>
      <c r="F17" s="1">
        <f>SUMIF(Table1[DEPARTMENT],Table2[[#This Row],[DEPARTMENT]],Table1[SAVINGS/YEAR])</f>
        <v>107308.23999999999</v>
      </c>
      <c r="G17" s="10"/>
      <c r="H17" s="10"/>
    </row>
    <row r="18" spans="1:8" ht="16.5" customHeight="1" x14ac:dyDescent="0.25">
      <c r="A18" s="4" t="s">
        <v>19</v>
      </c>
      <c r="B18" s="1">
        <f>AVERAGEIF(Table1[DEPARTMENT],Table2[[#This Row],[DEPARTMENT]],Table1[APPROX PAY/HOUR])</f>
        <v>21</v>
      </c>
      <c r="C18" s="2">
        <f>SUMIF(Table1[DEPARTMENT],Table2[[#This Row],[DEPARTMENT]],Table1[HOURS SAVED/WEEK])</f>
        <v>0.84</v>
      </c>
      <c r="D18" s="5">
        <f>SUMIF(Table1[DEPARTMENT],Table2[[#This Row],[DEPARTMENT]],Table1[COST SAVED/WEEK])</f>
        <v>17.64</v>
      </c>
      <c r="E18" s="2">
        <f>SUMIF(Table1[DEPARTMENT],Table2[[#This Row],[DEPARTMENT]],Table1[HOURS SAVED/YEAR])</f>
        <v>43.68</v>
      </c>
      <c r="F18" s="5">
        <f>SUMIF(Table1[DEPARTMENT],Table2[[#This Row],[DEPARTMENT]],Table1[SAVINGS/YEAR])</f>
        <v>917.28</v>
      </c>
      <c r="G18" s="10"/>
      <c r="H18" s="10"/>
    </row>
    <row r="19" spans="1:8" ht="16.5" customHeight="1" x14ac:dyDescent="0.25">
      <c r="A19" s="4" t="s">
        <v>14</v>
      </c>
      <c r="B19" s="1">
        <f>AVERAGEIF(Table1[DEPARTMENT],Table2[[#This Row],[DEPARTMENT]],Table1[APPROX PAY/HOUR])</f>
        <v>20.5</v>
      </c>
      <c r="C19" s="2">
        <f>SUMIF(Table1[DEPARTMENT],Table2[[#This Row],[DEPARTMENT]],Table1[HOURS SAVED/WEEK])</f>
        <v>0.64</v>
      </c>
      <c r="D19" s="1">
        <f>SUMIF(Table1[DEPARTMENT],Table2[[#This Row],[DEPARTMENT]],Table1[COST SAVED/WEEK])</f>
        <v>10.48</v>
      </c>
      <c r="E19" s="2">
        <f>SUMIF(Table1[DEPARTMENT],Table2[[#This Row],[DEPARTMENT]],Table1[HOURS SAVED/YEAR])</f>
        <v>33.28</v>
      </c>
      <c r="F19" s="1">
        <f>SUMIF(Table1[DEPARTMENT],Table2[[#This Row],[DEPARTMENT]],Table1[SAVINGS/YEAR])</f>
        <v>544.96</v>
      </c>
      <c r="G19" s="10"/>
      <c r="H19" s="10"/>
    </row>
    <row r="20" spans="1:8" ht="16.5" customHeight="1" x14ac:dyDescent="0.25">
      <c r="A20" s="4" t="s">
        <v>16</v>
      </c>
      <c r="B20" s="1">
        <f>AVERAGEIF(Table1[DEPARTMENT],Table2[[#This Row],[DEPARTMENT]],Table1[APPROX PAY/HOUR])</f>
        <v>26</v>
      </c>
      <c r="C20" s="2">
        <f>SUMIF(Table1[DEPARTMENT],Table2[[#This Row],[DEPARTMENT]],Table1[HOURS SAVED/WEEK])</f>
        <v>0.04</v>
      </c>
      <c r="D20" s="1">
        <f>SUMIF(Table1[DEPARTMENT],Table2[[#This Row],[DEPARTMENT]],Table1[COST SAVED/WEEK])</f>
        <v>1.04</v>
      </c>
      <c r="E20" s="2">
        <f>SUMIF(Table1[DEPARTMENT],Table2[[#This Row],[DEPARTMENT]],Table1[HOURS SAVED/YEAR])</f>
        <v>2.08</v>
      </c>
      <c r="F20" s="1">
        <f>SUMIF(Table1[DEPARTMENT],Table2[[#This Row],[DEPARTMENT]],Table1[SAVINGS/YEAR])</f>
        <v>54.08</v>
      </c>
      <c r="G20" s="10"/>
      <c r="H20" s="10"/>
    </row>
    <row r="21" spans="1:8" ht="16.5" customHeight="1" x14ac:dyDescent="0.25">
      <c r="A21" t="s">
        <v>8</v>
      </c>
      <c r="B21" s="7"/>
      <c r="C21">
        <f>SUBTOTAL(109,Table2[HOURS SAVED/WEEK])</f>
        <v>103.13000000000001</v>
      </c>
      <c r="D21" s="6">
        <f>SUBTOTAL(109,Table2[COST SAVED/WEEK])</f>
        <v>2092.7799999999997</v>
      </c>
      <c r="E21">
        <f>SUBTOTAL(109,Table2[HOURS SAVED/YEAR])</f>
        <v>5362.76</v>
      </c>
      <c r="F21" s="8">
        <f>SUBTOTAL(109,Table2[SAVINGS/YEAR])</f>
        <v>108824.56</v>
      </c>
      <c r="G21" s="10"/>
      <c r="H21" s="10"/>
    </row>
    <row r="22" spans="1:8" ht="12" customHeight="1" x14ac:dyDescent="0.25">
      <c r="A22" s="10"/>
      <c r="B22" s="10"/>
      <c r="C22" s="10"/>
      <c r="D22" s="10"/>
      <c r="E22" s="10"/>
      <c r="F22" s="10"/>
      <c r="G22" s="10"/>
      <c r="H22" s="10"/>
    </row>
    <row r="23" spans="1:8" ht="24" customHeight="1" x14ac:dyDescent="0.35">
      <c r="A23" s="16" t="s">
        <v>21</v>
      </c>
      <c r="B23" s="16"/>
      <c r="C23" s="16"/>
      <c r="D23" s="16"/>
      <c r="E23" s="16"/>
      <c r="F23" s="16"/>
      <c r="G23" s="10"/>
      <c r="H23" s="10"/>
    </row>
    <row r="24" spans="1:8" ht="16.5" customHeight="1" x14ac:dyDescent="0.25">
      <c r="A24" t="s">
        <v>22</v>
      </c>
      <c r="B24" t="s">
        <v>6</v>
      </c>
      <c r="C24" t="s">
        <v>9</v>
      </c>
      <c r="D24" t="s">
        <v>10</v>
      </c>
      <c r="E24" t="s">
        <v>23</v>
      </c>
      <c r="F24" t="s">
        <v>11</v>
      </c>
      <c r="G24" s="10"/>
      <c r="H24" s="10"/>
    </row>
    <row r="25" spans="1:8" ht="16.5" customHeight="1" x14ac:dyDescent="0.25">
      <c r="A25" s="4" t="s">
        <v>2</v>
      </c>
      <c r="B25" s="1">
        <f>VLOOKUP(A25,Table1[[TASK OWNERS]:[SAVINGS/YEAR]],2,FALSE)</f>
        <v>21</v>
      </c>
      <c r="C25" s="2">
        <f>SUMIF(Table1[TASK OWNERS],Table3[[#This Row],[Business Analysts]],Table1[HOURS SAVED/WEEK])</f>
        <v>6.05</v>
      </c>
      <c r="D25" s="1">
        <f>SUMIF(Table1[TASK OWNERS],Table3[[#This Row],[Business Analysts]],Table1[COST SAVED/WEEK])</f>
        <v>127.05</v>
      </c>
      <c r="E25" s="2">
        <f>SUMIF(Table1[TASK OWNERS],Table3[[#This Row],[Business Analysts]],Table1[HOURS SAVED/YEAR])</f>
        <v>314.60000000000002</v>
      </c>
      <c r="F25" s="1">
        <f>SUMIF(Table1[TASK OWNERS],Table3[[#This Row],[Business Analysts]],Table1[SAVINGS/YEAR])</f>
        <v>6606.6</v>
      </c>
      <c r="G25" s="10"/>
      <c r="H25" s="10"/>
    </row>
    <row r="26" spans="1:8" ht="16.5" customHeight="1" x14ac:dyDescent="0.25">
      <c r="A26" s="4" t="s">
        <v>3</v>
      </c>
      <c r="B26" s="1">
        <f>VLOOKUP(A26,Table1[[TASK OWNERS]:[SAVINGS/YEAR]],2,FALSE)</f>
        <v>17</v>
      </c>
      <c r="C26" s="2">
        <f>SUMIF(Table1[TASK OWNERS],Table3[[#This Row],[Business Analysts]],Table1[HOURS SAVED/WEEK])</f>
        <v>0.89</v>
      </c>
      <c r="D26" s="1">
        <f>SUMIF(Table1[TASK OWNERS],Table3[[#This Row],[Business Analysts]],Table1[COST SAVED/WEEK])</f>
        <v>15.13</v>
      </c>
      <c r="E26" s="2">
        <f>SUMIF(Table1[TASK OWNERS],Table3[[#This Row],[Business Analysts]],Table1[HOURS SAVED/YEAR])</f>
        <v>46.28</v>
      </c>
      <c r="F26" s="1">
        <f>SUMIF(Table1[TASK OWNERS],Table3[[#This Row],[Business Analysts]],Table1[SAVINGS/YEAR])</f>
        <v>786.76</v>
      </c>
      <c r="G26" s="10"/>
      <c r="H26" s="10"/>
    </row>
    <row r="27" spans="1:8" ht="16.5" customHeight="1" x14ac:dyDescent="0.25">
      <c r="A27" t="s">
        <v>1</v>
      </c>
      <c r="B27" s="1">
        <f>VLOOKUP(A27,Table1[[TASK OWNERS]:[SAVINGS/YEAR]],2,FALSE)</f>
        <v>21</v>
      </c>
      <c r="C27">
        <f>SUMIF(Table1[TASK OWNERS],Table3[[#This Row],[Business Analysts]],Table1[HOURS SAVED/WEEK])</f>
        <v>34.180000000000007</v>
      </c>
      <c r="D27" s="1">
        <f>SUMIF(Table1[TASK OWNERS],Table3[[#This Row],[Business Analysts]],Table1[COST SAVED/WEEK])</f>
        <v>717.78</v>
      </c>
      <c r="E27">
        <f>SUMIF(Table1[TASK OWNERS],Table3[[#This Row],[Business Analysts]],Table1[HOURS SAVED/YEAR])</f>
        <v>1777.3600000000001</v>
      </c>
      <c r="F27" s="1">
        <f>SUMIF(Table1[TASK OWNERS],Table3[[#This Row],[Business Analysts]],Table1[SAVINGS/YEAR])</f>
        <v>37324.559999999998</v>
      </c>
      <c r="G27" s="10"/>
      <c r="H27" s="10"/>
    </row>
    <row r="28" spans="1:8" ht="16.5" customHeight="1" x14ac:dyDescent="0.25">
      <c r="A28" t="s">
        <v>4</v>
      </c>
      <c r="B28" s="12">
        <f>VLOOKUP(A28,Table1[[TASK OWNERS]:[SAVINGS/YEAR]],2,FALSE)</f>
        <v>26</v>
      </c>
      <c r="C28">
        <f>SUMIF(Table1[TASK OWNERS],Table3[[#This Row],[Business Analysts]],Table1[HOURS SAVED/WEEK])</f>
        <v>6.93</v>
      </c>
      <c r="D28" s="1">
        <f>SUMIF(Table1[TASK OWNERS],Table3[[#This Row],[Business Analysts]],Table1[COST SAVED/WEEK])</f>
        <v>180.18</v>
      </c>
      <c r="E28">
        <f>SUMIF(Table1[TASK OWNERS],Table3[[#This Row],[Business Analysts]],Table1[HOURS SAVED/YEAR])</f>
        <v>360.36</v>
      </c>
      <c r="F28" s="12">
        <f>SUMIF(Table1[TASK OWNERS],Table3[[#This Row],[Business Analysts]],Table1[SAVINGS/YEAR])</f>
        <v>9369.36</v>
      </c>
      <c r="G28" s="10"/>
      <c r="H28" s="10"/>
    </row>
    <row r="29" spans="1:8" ht="16.5" customHeight="1" x14ac:dyDescent="0.25">
      <c r="A29" s="4" t="s">
        <v>0</v>
      </c>
      <c r="B29" s="1">
        <f>VLOOKUP(A29,Table1[[TASK OWNERS]:[SAVINGS/YEAR]],2,FALSE)</f>
        <v>21</v>
      </c>
      <c r="C29" s="2">
        <f>SUMIF(Table1[TASK OWNERS],Table3[[#This Row],[Business Analysts]],Table1[HOURS SAVED/WEEK])</f>
        <v>29.35</v>
      </c>
      <c r="D29" s="1">
        <f>SUMIF(Table1[TASK OWNERS],Table3[[#This Row],[Business Analysts]],Table1[COST SAVED/WEEK])</f>
        <v>616.35</v>
      </c>
      <c r="E29" s="2">
        <f>SUMIF(Table1[TASK OWNERS],Table3[[#This Row],[Business Analysts]],Table1[HOURS SAVED/YEAR])</f>
        <v>1526.2</v>
      </c>
      <c r="F29" s="1">
        <f>SUMIF(Table1[TASK OWNERS],Table3[[#This Row],[Business Analysts]],Table1[SAVINGS/YEAR])</f>
        <v>32050.2</v>
      </c>
      <c r="G29" s="10"/>
      <c r="H29" s="10"/>
    </row>
    <row r="30" spans="1:8" ht="16.5" customHeight="1" x14ac:dyDescent="0.25">
      <c r="A30" s="4" t="s">
        <v>5</v>
      </c>
      <c r="B30" s="1">
        <f>VLOOKUP(A30,Table1[[TASK OWNERS]:[SAVINGS/YEAR]],2,FALSE)</f>
        <v>17</v>
      </c>
      <c r="C30" s="2">
        <f>SUMIF(Table1[TASK OWNERS],Table3[[#This Row],[Business Analysts]],Table1[HOURS SAVED/WEEK])</f>
        <v>25.17</v>
      </c>
      <c r="D30" s="1">
        <f>SUMIF(Table1[TASK OWNERS],Table3[[#This Row],[Business Analysts]],Table1[COST SAVED/WEEK])</f>
        <v>427.89</v>
      </c>
      <c r="E30" s="2">
        <f>SUMIF(Table1[TASK OWNERS],Table3[[#This Row],[Business Analysts]],Table1[HOURS SAVED/YEAR])</f>
        <v>1308.8399999999999</v>
      </c>
      <c r="F30" s="1">
        <f>SUMIF(Table1[TASK OWNERS],Table3[[#This Row],[Business Analysts]],Table1[SAVINGS/YEAR])</f>
        <v>22250.28</v>
      </c>
      <c r="G30" s="10"/>
      <c r="H30" s="10"/>
    </row>
    <row r="31" spans="1:8" ht="16.5" customHeight="1" x14ac:dyDescent="0.25">
      <c r="A31" s="4" t="s">
        <v>8</v>
      </c>
      <c r="B31" s="1"/>
      <c r="C31" s="2">
        <f>SUBTOTAL(109,Table3[HOURS SAVED/WEEK])</f>
        <v>102.57000000000001</v>
      </c>
      <c r="D31" s="1">
        <f>SUBTOTAL(109,Table3[COST SAVED/WEEK])</f>
        <v>2084.38</v>
      </c>
      <c r="E31" s="2">
        <f>SUBTOTAL(109,Table3[HOURS SAVED/YEAR])</f>
        <v>5333.64</v>
      </c>
      <c r="F31" s="1">
        <f>SUBTOTAL(109,Table3[SAVINGS/YEAR])</f>
        <v>108387.76</v>
      </c>
      <c r="G31" s="10"/>
      <c r="H31" s="10"/>
    </row>
    <row r="32" spans="1:8" ht="16.5" customHeight="1" x14ac:dyDescent="0.25">
      <c r="A32" s="10"/>
      <c r="B32" s="10"/>
      <c r="C32" s="10"/>
      <c r="D32" s="10"/>
      <c r="E32" s="10"/>
      <c r="F32" s="10"/>
      <c r="G32" s="10"/>
      <c r="H32" s="10"/>
    </row>
    <row r="33" spans="1:6" ht="16.5" hidden="1" customHeight="1" x14ac:dyDescent="0.25">
      <c r="B33" s="7"/>
      <c r="D33" s="6"/>
      <c r="F33" s="8"/>
    </row>
    <row r="34" spans="1:6" ht="16.5" hidden="1" customHeight="1" x14ac:dyDescent="0.35">
      <c r="A34" s="3"/>
      <c r="B34" s="3"/>
      <c r="C34" s="3"/>
      <c r="D34" s="3"/>
      <c r="E34" s="3"/>
      <c r="F34" s="3"/>
    </row>
    <row r="35" spans="1:6" ht="16.5" hidden="1" customHeight="1" x14ac:dyDescent="0.35">
      <c r="A35" s="3"/>
      <c r="B35" s="3"/>
      <c r="C35" s="3"/>
      <c r="D35" s="3"/>
      <c r="E35" s="3"/>
      <c r="F35" s="3"/>
    </row>
    <row r="36" spans="1:6" hidden="1" x14ac:dyDescent="0.25">
      <c r="B36" s="1"/>
      <c r="C36" s="2"/>
      <c r="D36" s="1"/>
      <c r="E36" s="2"/>
      <c r="F36" s="1"/>
    </row>
    <row r="37" spans="1:6" hidden="1" x14ac:dyDescent="0.25"/>
    <row r="38" spans="1:6" hidden="1" x14ac:dyDescent="0.25"/>
    <row r="39" spans="1:6" hidden="1" x14ac:dyDescent="0.25"/>
    <row r="40" spans="1:6" hidden="1" x14ac:dyDescent="0.25"/>
    <row r="41" spans="1:6" ht="25.5" hidden="1" customHeight="1" x14ac:dyDescent="0.25"/>
    <row r="42" spans="1:6" hidden="1" x14ac:dyDescent="0.25"/>
    <row r="43" spans="1:6" hidden="1" x14ac:dyDescent="0.25"/>
  </sheetData>
  <mergeCells count="3">
    <mergeCell ref="A15:F15"/>
    <mergeCell ref="A23:F23"/>
    <mergeCell ref="A1:F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Lauret</dc:creator>
  <cp:lastModifiedBy>JD Lauret</cp:lastModifiedBy>
  <dcterms:created xsi:type="dcterms:W3CDTF">2018-10-31T22:46:39Z</dcterms:created>
  <dcterms:modified xsi:type="dcterms:W3CDTF">2018-12-12T21:26:01Z</dcterms:modified>
</cp:coreProperties>
</file>